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b551\Desktop\"/>
    </mc:Choice>
  </mc:AlternateContent>
  <bookViews>
    <workbookView xWindow="0" yWindow="0" windowWidth="25200" windowHeight="11880" tabRatio="776"/>
  </bookViews>
  <sheets>
    <sheet name="Schema CE" sheetId="1" r:id="rId1"/>
    <sheet name="CE Min" sheetId="4" r:id="rId2"/>
    <sheet name="Alimentazione CE Costi" sheetId="3" r:id="rId3"/>
    <sheet name="Alimentazione CE Ricavi" sheetId="2" r:id="rId4"/>
    <sheet name="Schema SP" sheetId="5" r:id="rId5"/>
    <sheet name="SP Min" sheetId="6" r:id="rId6"/>
    <sheet name="SP Attivo Alim" sheetId="7" r:id="rId7"/>
    <sheet name="Alimentazione SP P" sheetId="8" r:id="rId8"/>
    <sheet name="Rendiconto finanziario" sheetId="9" r:id="rId9"/>
  </sheets>
  <externalReferences>
    <externalReference r:id="rId10"/>
  </externalReferences>
  <definedNames>
    <definedName name="_xlnm._FilterDatabase" localSheetId="1" hidden="1">'CE Min'!$M$1:$M$654</definedName>
    <definedName name="_xlnm._FilterDatabase" localSheetId="5" hidden="1">'SP Min'!$K$1:$K$676</definedName>
    <definedName name="_xlnm.Print_Area" localSheetId="2">'Alimentazione CE Costi'!$A$1:$L$894</definedName>
    <definedName name="_xlnm.Print_Area" localSheetId="3">'Alimentazione CE Ricavi'!$A$1:$L$272</definedName>
    <definedName name="_xlnm.Print_Area" localSheetId="1">'CE Min'!$A$1:$R$587</definedName>
    <definedName name="_xlnm.Print_Area" localSheetId="8">'Rendiconto finanziario'!$A$1:$D$115</definedName>
    <definedName name="_xlnm.Print_Area" localSheetId="5">'SP Min'!$A$1:$W$344</definedName>
    <definedName name="_xlnm.Print_Titles" localSheetId="2">'Alimentazione CE Costi'!$1:$2</definedName>
    <definedName name="_xlnm.Print_Titles" localSheetId="3">'Alimentazione CE Ricavi'!$1:$2</definedName>
    <definedName name="_xlnm.Print_Titles" localSheetId="7">'Alimentazione SP P'!$1:$2</definedName>
    <definedName name="_xlnm.Print_Titles" localSheetId="1">'CE Min'!$23:$23</definedName>
    <definedName name="_xlnm.Print_Titles" localSheetId="6">'SP Attivo Alim'!$1:$2</definedName>
    <definedName name="_xlnm.Print_Titles" localSheetId="5">'SP Min'!$27:$27</definedName>
  </definedNames>
  <calcPr calcId="162913"/>
</workbook>
</file>

<file path=xl/calcChain.xml><?xml version="1.0" encoding="utf-8"?>
<calcChain xmlns="http://schemas.openxmlformats.org/spreadsheetml/2006/main">
  <c r="H23" i="2" l="1"/>
  <c r="H7" i="2"/>
  <c r="H38" i="2"/>
  <c r="D39" i="1" l="1"/>
  <c r="D83" i="1"/>
  <c r="D54" i="1"/>
  <c r="D53" i="1"/>
  <c r="D49" i="1"/>
  <c r="C99" i="9" l="1"/>
  <c r="C98" i="9"/>
  <c r="I262" i="7" l="1"/>
  <c r="I261" i="7"/>
  <c r="I263" i="7" s="1"/>
  <c r="H263" i="7"/>
  <c r="H262" i="7"/>
  <c r="H261" i="7"/>
  <c r="H210" i="7" l="1"/>
  <c r="H209" i="7"/>
  <c r="H208" i="7"/>
  <c r="H206" i="7"/>
  <c r="H197" i="7"/>
  <c r="E105" i="1" l="1"/>
  <c r="H247" i="7"/>
  <c r="I247" i="7"/>
  <c r="H66" i="5" l="1"/>
  <c r="H58" i="5" s="1"/>
  <c r="C11" i="9" l="1"/>
  <c r="C10" i="9"/>
  <c r="C104" i="9" s="1"/>
  <c r="D11" i="9"/>
  <c r="D10" i="9"/>
  <c r="I541" i="4" l="1"/>
  <c r="I540" i="4"/>
  <c r="I539" i="4"/>
  <c r="I538" i="4"/>
  <c r="I537" i="4"/>
  <c r="I536" i="4"/>
  <c r="I535" i="4"/>
  <c r="I534" i="4"/>
  <c r="I532" i="4"/>
  <c r="I530" i="4"/>
  <c r="I529" i="4"/>
  <c r="I528" i="4"/>
  <c r="I527" i="4"/>
  <c r="I526" i="4"/>
  <c r="I525" i="4"/>
  <c r="I524" i="4"/>
  <c r="I522" i="4"/>
  <c r="I521" i="4"/>
  <c r="I519" i="4"/>
  <c r="I517" i="4"/>
  <c r="I101" i="1" s="1"/>
  <c r="I512" i="4"/>
  <c r="I502" i="4"/>
  <c r="I501" i="4"/>
  <c r="I500" i="4"/>
  <c r="I499" i="4"/>
  <c r="I498" i="4"/>
  <c r="I496" i="4"/>
  <c r="I495" i="4"/>
  <c r="I494" i="4"/>
  <c r="I156" i="4"/>
  <c r="I155" i="4"/>
  <c r="I154" i="4"/>
  <c r="I152" i="4"/>
  <c r="I33" i="1" s="1"/>
  <c r="I151" i="4"/>
  <c r="I150" i="4"/>
  <c r="I149" i="4"/>
  <c r="I148" i="4"/>
  <c r="I147" i="4"/>
  <c r="I146" i="4"/>
  <c r="I144" i="4"/>
  <c r="I143" i="4"/>
  <c r="I142" i="4"/>
  <c r="I140" i="4"/>
  <c r="I139" i="4"/>
  <c r="I138" i="4"/>
  <c r="I137" i="4"/>
  <c r="I136" i="4"/>
  <c r="I133" i="4"/>
  <c r="I132" i="4"/>
  <c r="I131" i="4"/>
  <c r="I129" i="4"/>
  <c r="I128" i="4"/>
  <c r="I127" i="4"/>
  <c r="I126" i="4"/>
  <c r="I124" i="4"/>
  <c r="I123" i="4"/>
  <c r="I121" i="4"/>
  <c r="I119" i="4"/>
  <c r="I118" i="4"/>
  <c r="I117" i="4"/>
  <c r="I116" i="4"/>
  <c r="I115" i="4"/>
  <c r="I114" i="4"/>
  <c r="I113" i="4"/>
  <c r="I111" i="4"/>
  <c r="I110" i="4"/>
  <c r="I109" i="4"/>
  <c r="I108" i="4"/>
  <c r="I107" i="4"/>
  <c r="I106" i="4"/>
  <c r="I104" i="4"/>
  <c r="I103" i="4"/>
  <c r="I102" i="4"/>
  <c r="I101" i="4"/>
  <c r="I100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4" i="4"/>
  <c r="I63" i="4"/>
  <c r="I62" i="4"/>
  <c r="I61" i="4"/>
  <c r="I60" i="4"/>
  <c r="I58" i="4"/>
  <c r="I57" i="4"/>
  <c r="I55" i="4"/>
  <c r="I23" i="1" s="1"/>
  <c r="I54" i="4"/>
  <c r="I22" i="1" s="1"/>
  <c r="I53" i="4"/>
  <c r="I21" i="1" s="1"/>
  <c r="I52" i="4"/>
  <c r="I20" i="1" s="1"/>
  <c r="I51" i="4"/>
  <c r="I19" i="1" s="1"/>
  <c r="I49" i="4"/>
  <c r="I48" i="4"/>
  <c r="I47" i="4"/>
  <c r="I46" i="4"/>
  <c r="I45" i="4"/>
  <c r="I43" i="4"/>
  <c r="I42" i="4"/>
  <c r="I40" i="4"/>
  <c r="I15" i="1" s="1"/>
  <c r="I39" i="4"/>
  <c r="I14" i="1" s="1"/>
  <c r="I38" i="4"/>
  <c r="I13" i="1" s="1"/>
  <c r="I37" i="4"/>
  <c r="I12" i="1" s="1"/>
  <c r="I34" i="4"/>
  <c r="I33" i="4"/>
  <c r="I32" i="4"/>
  <c r="I31" i="4"/>
  <c r="I29" i="4"/>
  <c r="I28" i="4"/>
  <c r="L273" i="2"/>
  <c r="L895" i="3"/>
  <c r="L274" i="2" s="1"/>
  <c r="I585" i="4"/>
  <c r="I117" i="1" s="1"/>
  <c r="I584" i="4"/>
  <c r="I583" i="4"/>
  <c r="I581" i="4"/>
  <c r="I115" i="1" s="1"/>
  <c r="I580" i="4"/>
  <c r="I114" i="1" s="1"/>
  <c r="I579" i="4"/>
  <c r="I113" i="1" s="1"/>
  <c r="I578" i="4"/>
  <c r="I112" i="1" s="1"/>
  <c r="I573" i="4"/>
  <c r="I572" i="4"/>
  <c r="I571" i="4"/>
  <c r="I570" i="4"/>
  <c r="I569" i="4"/>
  <c r="I568" i="4"/>
  <c r="I567" i="4"/>
  <c r="I566" i="4"/>
  <c r="I564" i="4"/>
  <c r="I563" i="4"/>
  <c r="I561" i="4"/>
  <c r="I560" i="4"/>
  <c r="I559" i="4"/>
  <c r="I558" i="4"/>
  <c r="I557" i="4"/>
  <c r="I556" i="4"/>
  <c r="I555" i="4"/>
  <c r="I554" i="4"/>
  <c r="I552" i="4"/>
  <c r="I550" i="4"/>
  <c r="I549" i="4"/>
  <c r="I546" i="4"/>
  <c r="I545" i="4"/>
  <c r="I543" i="4"/>
  <c r="I104" i="1" s="1"/>
  <c r="I513" i="4"/>
  <c r="I96" i="1" s="1"/>
  <c r="I509" i="4"/>
  <c r="I508" i="4"/>
  <c r="I506" i="4"/>
  <c r="I505" i="4"/>
  <c r="I504" i="4"/>
  <c r="I490" i="4"/>
  <c r="I489" i="4"/>
  <c r="I488" i="4"/>
  <c r="I487" i="4"/>
  <c r="I486" i="4"/>
  <c r="I485" i="4"/>
  <c r="I484" i="4"/>
  <c r="I483" i="4"/>
  <c r="I482" i="4"/>
  <c r="I481" i="4"/>
  <c r="I479" i="4"/>
  <c r="I478" i="4"/>
  <c r="I477" i="4"/>
  <c r="I476" i="4"/>
  <c r="I475" i="4"/>
  <c r="I474" i="4"/>
  <c r="I472" i="4"/>
  <c r="I82" i="1" s="1"/>
  <c r="I471" i="4"/>
  <c r="I470" i="4"/>
  <c r="I469" i="4"/>
  <c r="I468" i="4"/>
  <c r="I467" i="4"/>
  <c r="I466" i="4"/>
  <c r="I465" i="4"/>
  <c r="I462" i="4"/>
  <c r="I461" i="4"/>
  <c r="I460" i="4"/>
  <c r="I459" i="4"/>
  <c r="I458" i="4"/>
  <c r="I457" i="4"/>
  <c r="I455" i="4"/>
  <c r="I454" i="4"/>
  <c r="I453" i="4"/>
  <c r="I452" i="4"/>
  <c r="I451" i="4"/>
  <c r="I450" i="4"/>
  <c r="I449" i="4"/>
  <c r="I448" i="4"/>
  <c r="I445" i="4"/>
  <c r="I444" i="4"/>
  <c r="I442" i="4"/>
  <c r="I75" i="1" s="1"/>
  <c r="I441" i="4"/>
  <c r="I440" i="4"/>
  <c r="I437" i="4"/>
  <c r="I73" i="1" s="1"/>
  <c r="I435" i="4"/>
  <c r="I434" i="4"/>
  <c r="I433" i="4"/>
  <c r="I432" i="4"/>
  <c r="I430" i="4"/>
  <c r="I429" i="4"/>
  <c r="I427" i="4"/>
  <c r="I426" i="4"/>
  <c r="I425" i="4"/>
  <c r="I423" i="4"/>
  <c r="I422" i="4"/>
  <c r="I421" i="4"/>
  <c r="I418" i="4"/>
  <c r="I417" i="4"/>
  <c r="I416" i="4"/>
  <c r="I414" i="4"/>
  <c r="I413" i="4"/>
  <c r="I412" i="4"/>
  <c r="I409" i="4"/>
  <c r="I408" i="4"/>
  <c r="I407" i="4"/>
  <c r="I405" i="4"/>
  <c r="I404" i="4"/>
  <c r="I403" i="4"/>
  <c r="I400" i="4"/>
  <c r="I399" i="4"/>
  <c r="I398" i="4"/>
  <c r="I396" i="4"/>
  <c r="I395" i="4"/>
  <c r="I394" i="4"/>
  <c r="I392" i="4"/>
  <c r="I391" i="4"/>
  <c r="I390" i="4"/>
  <c r="I385" i="4"/>
  <c r="I384" i="4"/>
  <c r="I383" i="4"/>
  <c r="I382" i="4"/>
  <c r="I380" i="4"/>
  <c r="I379" i="4"/>
  <c r="I377" i="4"/>
  <c r="I375" i="4"/>
  <c r="I374" i="4"/>
  <c r="I373" i="4"/>
  <c r="I372" i="4"/>
  <c r="I371" i="4"/>
  <c r="I370" i="4"/>
  <c r="I369" i="4"/>
  <c r="I367" i="4"/>
  <c r="I366" i="4"/>
  <c r="I364" i="4"/>
  <c r="I363" i="4"/>
  <c r="I362" i="4"/>
  <c r="I360" i="4"/>
  <c r="I359" i="4"/>
  <c r="I358" i="4"/>
  <c r="I357" i="4"/>
  <c r="I356" i="4"/>
  <c r="I355" i="4"/>
  <c r="I353" i="4"/>
  <c r="I352" i="4"/>
  <c r="I350" i="4"/>
  <c r="I349" i="4"/>
  <c r="I348" i="4"/>
  <c r="I346" i="4"/>
  <c r="I345" i="4"/>
  <c r="I343" i="4"/>
  <c r="I342" i="4"/>
  <c r="I341" i="4"/>
  <c r="I340" i="4"/>
  <c r="I339" i="4"/>
  <c r="I338" i="4"/>
  <c r="I337" i="4"/>
  <c r="I336" i="4"/>
  <c r="I335" i="4"/>
  <c r="I333" i="4"/>
  <c r="I332" i="4"/>
  <c r="I329" i="4"/>
  <c r="I58" i="1" s="1"/>
  <c r="I328" i="4"/>
  <c r="I327" i="4"/>
  <c r="I326" i="4"/>
  <c r="I325" i="4"/>
  <c r="I324" i="4"/>
  <c r="I323" i="4"/>
  <c r="I322" i="4"/>
  <c r="I320" i="4"/>
  <c r="I319" i="4"/>
  <c r="I318" i="4"/>
  <c r="I316" i="4"/>
  <c r="I315" i="4"/>
  <c r="I314" i="4"/>
  <c r="I313" i="4"/>
  <c r="I312" i="4"/>
  <c r="I311" i="4"/>
  <c r="I309" i="4"/>
  <c r="I308" i="4"/>
  <c r="I306" i="4"/>
  <c r="I305" i="4"/>
  <c r="I304" i="4"/>
  <c r="I303" i="4"/>
  <c r="I302" i="4"/>
  <c r="I301" i="4"/>
  <c r="I300" i="4"/>
  <c r="I298" i="4"/>
  <c r="I297" i="4"/>
  <c r="I296" i="4"/>
  <c r="I295" i="4"/>
  <c r="I294" i="4"/>
  <c r="I293" i="4"/>
  <c r="I292" i="4"/>
  <c r="I290" i="4"/>
  <c r="I289" i="4"/>
  <c r="I288" i="4"/>
  <c r="I287" i="4"/>
  <c r="I286" i="4"/>
  <c r="I285" i="4"/>
  <c r="I284" i="4"/>
  <c r="I281" i="4"/>
  <c r="I280" i="4"/>
  <c r="I279" i="4"/>
  <c r="I278" i="4"/>
  <c r="I276" i="4"/>
  <c r="I275" i="4"/>
  <c r="I274" i="4"/>
  <c r="I273" i="4"/>
  <c r="I272" i="4"/>
  <c r="I270" i="4"/>
  <c r="I269" i="4"/>
  <c r="I268" i="4"/>
  <c r="I267" i="4"/>
  <c r="I266" i="4"/>
  <c r="I265" i="4"/>
  <c r="I263" i="4"/>
  <c r="I262" i="4"/>
  <c r="I261" i="4"/>
  <c r="I260" i="4"/>
  <c r="I259" i="4"/>
  <c r="I257" i="4"/>
  <c r="I256" i="4"/>
  <c r="I255" i="4"/>
  <c r="I254" i="4"/>
  <c r="I253" i="4"/>
  <c r="I251" i="4"/>
  <c r="I250" i="4"/>
  <c r="I249" i="4"/>
  <c r="I247" i="4"/>
  <c r="I246" i="4"/>
  <c r="I245" i="4"/>
  <c r="I244" i="4"/>
  <c r="I242" i="4"/>
  <c r="I241" i="4"/>
  <c r="I240" i="4"/>
  <c r="I239" i="4"/>
  <c r="I237" i="4"/>
  <c r="I236" i="4"/>
  <c r="I235" i="4"/>
  <c r="I234" i="4"/>
  <c r="I233" i="4"/>
  <c r="I231" i="4"/>
  <c r="I230" i="4"/>
  <c r="I229" i="4"/>
  <c r="I228" i="4"/>
  <c r="I227" i="4"/>
  <c r="I226" i="4"/>
  <c r="I225" i="4"/>
  <c r="I224" i="4"/>
  <c r="I223" i="4"/>
  <c r="I222" i="4"/>
  <c r="I220" i="4"/>
  <c r="I219" i="4"/>
  <c r="I218" i="4"/>
  <c r="I217" i="4"/>
  <c r="I216" i="4"/>
  <c r="I215" i="4"/>
  <c r="I214" i="4"/>
  <c r="I212" i="4"/>
  <c r="I211" i="4"/>
  <c r="I210" i="4"/>
  <c r="I208" i="4"/>
  <c r="I207" i="4"/>
  <c r="I206" i="4"/>
  <c r="I205" i="4"/>
  <c r="I204" i="4"/>
  <c r="I203" i="4"/>
  <c r="I198" i="4"/>
  <c r="I197" i="4"/>
  <c r="I196" i="4"/>
  <c r="I195" i="4"/>
  <c r="I194" i="4"/>
  <c r="I193" i="4"/>
  <c r="I192" i="4"/>
  <c r="I190" i="4"/>
  <c r="I189" i="4"/>
  <c r="I188" i="4"/>
  <c r="I187" i="4"/>
  <c r="I186" i="4"/>
  <c r="I185" i="4"/>
  <c r="I183" i="4"/>
  <c r="I181" i="4"/>
  <c r="I180" i="4"/>
  <c r="I179" i="4"/>
  <c r="I178" i="4"/>
  <c r="I177" i="4"/>
  <c r="I176" i="4"/>
  <c r="I175" i="4"/>
  <c r="I174" i="4"/>
  <c r="I172" i="4"/>
  <c r="I171" i="4"/>
  <c r="I170" i="4"/>
  <c r="I168" i="4"/>
  <c r="I167" i="4"/>
  <c r="I166" i="4"/>
  <c r="I164" i="4"/>
  <c r="I163" i="4"/>
  <c r="I162" i="4"/>
  <c r="I95" i="1"/>
  <c r="I112" i="4" l="1"/>
  <c r="I28" i="1" s="1"/>
  <c r="I191" i="4"/>
  <c r="I40" i="1" s="1"/>
  <c r="I393" i="4"/>
  <c r="I67" i="1" s="1"/>
  <c r="I411" i="4"/>
  <c r="I41" i="4"/>
  <c r="I16" i="1" s="1"/>
  <c r="I67" i="4"/>
  <c r="I125" i="4"/>
  <c r="I145" i="4"/>
  <c r="I32" i="1" s="1"/>
  <c r="I497" i="4"/>
  <c r="I50" i="4"/>
  <c r="I30" i="4"/>
  <c r="I27" i="4" s="1"/>
  <c r="I26" i="4" s="1"/>
  <c r="I44" i="4"/>
  <c r="I17" i="1" s="1"/>
  <c r="I56" i="4"/>
  <c r="I24" i="1" s="1"/>
  <c r="I99" i="4"/>
  <c r="I84" i="4" s="1"/>
  <c r="I66" i="4" s="1"/>
  <c r="I105" i="4"/>
  <c r="I29" i="1" s="1"/>
  <c r="I122" i="4"/>
  <c r="I135" i="4"/>
  <c r="I134" i="4" s="1"/>
  <c r="I493" i="4"/>
  <c r="I182" i="4"/>
  <c r="I389" i="4"/>
  <c r="I66" i="1" s="1"/>
  <c r="I397" i="4"/>
  <c r="I68" i="1" s="1"/>
  <c r="I415" i="4"/>
  <c r="I410" i="4" s="1"/>
  <c r="I577" i="4"/>
  <c r="I59" i="4"/>
  <c r="I25" i="1" s="1"/>
  <c r="I523" i="4"/>
  <c r="I520" i="4" s="1"/>
  <c r="I533" i="4"/>
  <c r="I531" i="4" s="1"/>
  <c r="I141" i="4"/>
  <c r="I31" i="1" s="1"/>
  <c r="L275" i="2"/>
  <c r="I165" i="4"/>
  <c r="I161" i="4" s="1"/>
  <c r="I173" i="4"/>
  <c r="I202" i="4"/>
  <c r="I201" i="4" s="1"/>
  <c r="I42" i="1" s="1"/>
  <c r="I209" i="4"/>
  <c r="I43" i="1" s="1"/>
  <c r="I221" i="4"/>
  <c r="I213" i="4" s="1"/>
  <c r="I44" i="1" s="1"/>
  <c r="I271" i="4"/>
  <c r="I51" i="1" s="1"/>
  <c r="I381" i="4"/>
  <c r="I402" i="4"/>
  <c r="I431" i="4"/>
  <c r="I428" i="4" s="1"/>
  <c r="I71" i="1" s="1"/>
  <c r="I447" i="4"/>
  <c r="I78" i="1" s="1"/>
  <c r="I473" i="4"/>
  <c r="I83" i="1" s="1"/>
  <c r="I480" i="4"/>
  <c r="I84" i="1" s="1"/>
  <c r="I503" i="4"/>
  <c r="I565" i="4"/>
  <c r="I562" i="4" s="1"/>
  <c r="I153" i="4"/>
  <c r="I34" i="1" s="1"/>
  <c r="I130" i="4"/>
  <c r="I18" i="1"/>
  <c r="I36" i="4"/>
  <c r="I243" i="4"/>
  <c r="I47" i="1" s="1"/>
  <c r="I277" i="4"/>
  <c r="I52" i="1" s="1"/>
  <c r="I283" i="4"/>
  <c r="I282" i="4" s="1"/>
  <c r="I53" i="1" s="1"/>
  <c r="I299" i="4"/>
  <c r="I55" i="1" s="1"/>
  <c r="I321" i="4"/>
  <c r="I57" i="1" s="1"/>
  <c r="I334" i="4"/>
  <c r="I361" i="4"/>
  <c r="I424" i="4"/>
  <c r="I439" i="4"/>
  <c r="I438" i="4" s="1"/>
  <c r="I436" i="4" s="1"/>
  <c r="I238" i="4"/>
  <c r="I46" i="1" s="1"/>
  <c r="I252" i="4"/>
  <c r="I248" i="4" s="1"/>
  <c r="I48" i="1" s="1"/>
  <c r="I264" i="4"/>
  <c r="I50" i="1" s="1"/>
  <c r="I291" i="4"/>
  <c r="I54" i="1" s="1"/>
  <c r="I317" i="4"/>
  <c r="I347" i="4"/>
  <c r="I365" i="4"/>
  <c r="I62" i="1" s="1"/>
  <c r="I368" i="4"/>
  <c r="I63" i="1" s="1"/>
  <c r="I378" i="4"/>
  <c r="I376" i="4" s="1"/>
  <c r="I64" i="1" s="1"/>
  <c r="I443" i="4"/>
  <c r="I76" i="1" s="1"/>
  <c r="I548" i="4"/>
  <c r="I169" i="4"/>
  <c r="I232" i="4"/>
  <c r="I45" i="1" s="1"/>
  <c r="I258" i="4"/>
  <c r="I49" i="1" s="1"/>
  <c r="I310" i="4"/>
  <c r="I344" i="4"/>
  <c r="I354" i="4"/>
  <c r="I406" i="4"/>
  <c r="I420" i="4"/>
  <c r="I456" i="4"/>
  <c r="I79" i="1" s="1"/>
  <c r="I464" i="4"/>
  <c r="I81" i="1" s="1"/>
  <c r="I507" i="4"/>
  <c r="I514" i="4"/>
  <c r="I553" i="4"/>
  <c r="I551" i="4" s="1"/>
  <c r="I582" i="4"/>
  <c r="I116" i="1" s="1"/>
  <c r="I10" i="1"/>
  <c r="I111" i="1"/>
  <c r="I97" i="1"/>
  <c r="I90" i="1" l="1"/>
  <c r="I388" i="4"/>
  <c r="I387" i="4" s="1"/>
  <c r="I419" i="4"/>
  <c r="I74" i="1"/>
  <c r="I72" i="1" s="1"/>
  <c r="I351" i="4"/>
  <c r="I61" i="1" s="1"/>
  <c r="I11" i="1"/>
  <c r="I9" i="1" s="1"/>
  <c r="I547" i="4"/>
  <c r="I544" i="4" s="1"/>
  <c r="I105" i="1" s="1"/>
  <c r="I103" i="1" s="1"/>
  <c r="I91" i="1"/>
  <c r="I92" i="1" s="1"/>
  <c r="I35" i="4"/>
  <c r="I25" i="4" s="1"/>
  <c r="I401" i="4"/>
  <c r="I518" i="4"/>
  <c r="I102" i="1" s="1"/>
  <c r="I100" i="1" s="1"/>
  <c r="I80" i="1"/>
  <c r="I118" i="1"/>
  <c r="I120" i="4"/>
  <c r="I30" i="1" s="1"/>
  <c r="I463" i="4"/>
  <c r="I331" i="4"/>
  <c r="I60" i="1" s="1"/>
  <c r="I59" i="1" s="1"/>
  <c r="I510" i="4"/>
  <c r="I160" i="4"/>
  <c r="I159" i="4" s="1"/>
  <c r="I77" i="1"/>
  <c r="I70" i="1"/>
  <c r="I307" i="4"/>
  <c r="I56" i="1" s="1"/>
  <c r="I41" i="1" s="1"/>
  <c r="I586" i="4"/>
  <c r="I69" i="1"/>
  <c r="I446" i="4"/>
  <c r="I27" i="1"/>
  <c r="I26" i="1" s="1"/>
  <c r="I65" i="4"/>
  <c r="I301" i="8"/>
  <c r="I200" i="4" l="1"/>
  <c r="I199" i="4" s="1"/>
  <c r="I330" i="4"/>
  <c r="I39" i="1"/>
  <c r="I38" i="1" s="1"/>
  <c r="I386" i="4"/>
  <c r="I106" i="1"/>
  <c r="I516" i="4"/>
  <c r="I157" i="4"/>
  <c r="I542" i="4"/>
  <c r="I65" i="1"/>
  <c r="I85" i="1" s="1"/>
  <c r="I35" i="1"/>
  <c r="E29" i="4"/>
  <c r="D29" i="4"/>
  <c r="E28" i="4"/>
  <c r="D28" i="4"/>
  <c r="I491" i="4" l="1"/>
  <c r="I574" i="4"/>
  <c r="I87" i="1"/>
  <c r="I108" i="1" s="1"/>
  <c r="I120" i="1" s="1"/>
  <c r="D6" i="9"/>
  <c r="D7" i="9"/>
  <c r="D8" i="9"/>
  <c r="D13" i="9"/>
  <c r="D15" i="9"/>
  <c r="D19" i="9"/>
  <c r="D22" i="9"/>
  <c r="D64" i="9"/>
  <c r="D70" i="9"/>
  <c r="D79" i="9"/>
  <c r="D87" i="9"/>
  <c r="D90" i="9"/>
  <c r="D93" i="9"/>
  <c r="I575" i="4" l="1"/>
  <c r="I587" i="4" s="1"/>
  <c r="D95" i="9"/>
  <c r="D21" i="9"/>
  <c r="D17" i="9"/>
  <c r="D9" i="9"/>
  <c r="D106" i="9"/>
  <c r="D12" i="9"/>
  <c r="C90" i="9"/>
  <c r="C22" i="9"/>
  <c r="C19" i="9" l="1"/>
  <c r="C15" i="9"/>
  <c r="C16" i="9" s="1"/>
  <c r="C13" i="9"/>
  <c r="C14" i="9" s="1"/>
  <c r="C8" i="9"/>
  <c r="C7" i="9"/>
  <c r="C6" i="9"/>
  <c r="C93" i="9"/>
  <c r="C87" i="9"/>
  <c r="C79" i="9"/>
  <c r="C70" i="9"/>
  <c r="C64" i="9"/>
  <c r="L162" i="5"/>
  <c r="L160" i="5"/>
  <c r="L156" i="5"/>
  <c r="L136" i="5"/>
  <c r="L135" i="5"/>
  <c r="L131" i="5"/>
  <c r="L124" i="5"/>
  <c r="K162" i="5"/>
  <c r="K160" i="5"/>
  <c r="K156" i="5"/>
  <c r="K136" i="5"/>
  <c r="K135" i="5"/>
  <c r="K131" i="5"/>
  <c r="K124" i="5"/>
  <c r="E344" i="6"/>
  <c r="E343" i="6"/>
  <c r="E342" i="6"/>
  <c r="J165" i="5" s="1"/>
  <c r="E341" i="6"/>
  <c r="J164" i="5" s="1"/>
  <c r="L164" i="5" s="1"/>
  <c r="E340" i="6"/>
  <c r="J163" i="5" s="1"/>
  <c r="E337" i="6"/>
  <c r="E336" i="6"/>
  <c r="E335" i="6"/>
  <c r="E333" i="6"/>
  <c r="E332" i="6"/>
  <c r="E329" i="6"/>
  <c r="E328" i="6"/>
  <c r="E327" i="6"/>
  <c r="E326" i="6"/>
  <c r="J152" i="5" s="1"/>
  <c r="E324" i="6"/>
  <c r="J153" i="5" s="1"/>
  <c r="E323" i="6"/>
  <c r="J151" i="5" s="1"/>
  <c r="E322" i="6"/>
  <c r="J150" i="5" s="1"/>
  <c r="E321" i="6"/>
  <c r="E320" i="6"/>
  <c r="E318" i="6"/>
  <c r="E317" i="6"/>
  <c r="E314" i="6"/>
  <c r="E313" i="6"/>
  <c r="E312" i="6"/>
  <c r="E310" i="6"/>
  <c r="E309" i="6"/>
  <c r="E308" i="6"/>
  <c r="E307" i="6"/>
  <c r="E306" i="6"/>
  <c r="E304" i="6"/>
  <c r="J147" i="5" s="1"/>
  <c r="E303" i="6"/>
  <c r="E302" i="6"/>
  <c r="E301" i="6"/>
  <c r="E300" i="6"/>
  <c r="E299" i="6"/>
  <c r="E298" i="6"/>
  <c r="E297" i="6"/>
  <c r="J144" i="5" s="1"/>
  <c r="E296" i="6"/>
  <c r="J143" i="5" s="1"/>
  <c r="E295" i="6"/>
  <c r="E292" i="6"/>
  <c r="J140" i="5" s="1"/>
  <c r="E291" i="6"/>
  <c r="E290" i="6"/>
  <c r="E289" i="6"/>
  <c r="E288" i="6"/>
  <c r="E287" i="6"/>
  <c r="E286" i="6"/>
  <c r="E285" i="6"/>
  <c r="E284" i="6"/>
  <c r="E283" i="6"/>
  <c r="E282" i="6"/>
  <c r="E280" i="6"/>
  <c r="E279" i="6"/>
  <c r="E278" i="6"/>
  <c r="E277" i="6"/>
  <c r="E276" i="6"/>
  <c r="E274" i="6"/>
  <c r="J137" i="5" s="1"/>
  <c r="E272" i="6"/>
  <c r="E271" i="6"/>
  <c r="E270" i="6"/>
  <c r="J132" i="5" s="1"/>
  <c r="E268" i="6"/>
  <c r="E267" i="6"/>
  <c r="E266" i="6"/>
  <c r="E265" i="6"/>
  <c r="E264" i="6"/>
  <c r="E262" i="6"/>
  <c r="E260" i="6"/>
  <c r="E259" i="6"/>
  <c r="E258" i="6"/>
  <c r="E257" i="6"/>
  <c r="E256" i="6"/>
  <c r="E254" i="6"/>
  <c r="E253" i="6"/>
  <c r="E252" i="6"/>
  <c r="E251" i="6"/>
  <c r="E250" i="6"/>
  <c r="E249" i="6"/>
  <c r="E248" i="6"/>
  <c r="E247" i="6"/>
  <c r="E245" i="6"/>
  <c r="E244" i="6"/>
  <c r="E243" i="6"/>
  <c r="E242" i="6"/>
  <c r="E241" i="6"/>
  <c r="E240" i="6"/>
  <c r="E239" i="6"/>
  <c r="E237" i="6"/>
  <c r="J125" i="5" s="1"/>
  <c r="E235" i="6"/>
  <c r="J122" i="5" s="1"/>
  <c r="D4" i="9" s="1"/>
  <c r="E234" i="6"/>
  <c r="J121" i="5" s="1"/>
  <c r="E233" i="6"/>
  <c r="E232" i="6"/>
  <c r="E231" i="6"/>
  <c r="E229" i="6"/>
  <c r="E228" i="6"/>
  <c r="E227" i="6"/>
  <c r="E226" i="6"/>
  <c r="E225" i="6"/>
  <c r="E223" i="6"/>
  <c r="J118" i="5" s="1"/>
  <c r="E222" i="6"/>
  <c r="J117" i="5" s="1"/>
  <c r="E221" i="6"/>
  <c r="J116" i="5" s="1"/>
  <c r="E220" i="6"/>
  <c r="J115" i="5" s="1"/>
  <c r="E219" i="6"/>
  <c r="J114" i="5" s="1"/>
  <c r="E218" i="6"/>
  <c r="J113" i="5" s="1"/>
  <c r="E217" i="6"/>
  <c r="J112" i="5" s="1"/>
  <c r="E215" i="6"/>
  <c r="J110" i="5" s="1"/>
  <c r="E213" i="6"/>
  <c r="J108" i="5" s="1"/>
  <c r="E211" i="6"/>
  <c r="E210" i="6"/>
  <c r="E209" i="6"/>
  <c r="J96" i="5" s="1"/>
  <c r="E208" i="6"/>
  <c r="J95" i="5" s="1"/>
  <c r="E207" i="6"/>
  <c r="J94" i="5" s="1"/>
  <c r="E204" i="6"/>
  <c r="E203" i="6"/>
  <c r="E201" i="6"/>
  <c r="E200" i="6"/>
  <c r="E197" i="6"/>
  <c r="J85" i="5" s="1"/>
  <c r="E196" i="6"/>
  <c r="J84" i="5" s="1"/>
  <c r="E195" i="6"/>
  <c r="J83" i="5" s="1"/>
  <c r="E194" i="6"/>
  <c r="J82" i="5" s="1"/>
  <c r="E192" i="6"/>
  <c r="J80" i="5" s="1"/>
  <c r="E191" i="6"/>
  <c r="E189" i="6"/>
  <c r="E188" i="6"/>
  <c r="E186" i="6"/>
  <c r="E185" i="6"/>
  <c r="E183" i="6"/>
  <c r="E182" i="6"/>
  <c r="E181" i="6"/>
  <c r="E180" i="6"/>
  <c r="E178" i="6"/>
  <c r="J76" i="5" s="1"/>
  <c r="E177" i="6"/>
  <c r="E176" i="6"/>
  <c r="E175" i="6"/>
  <c r="E173" i="6"/>
  <c r="E172" i="6"/>
  <c r="J74" i="5" s="1"/>
  <c r="E171" i="6"/>
  <c r="E170" i="6"/>
  <c r="E169" i="6"/>
  <c r="E168" i="6"/>
  <c r="E167" i="6"/>
  <c r="E164" i="6"/>
  <c r="J71" i="5" s="1"/>
  <c r="E163" i="6"/>
  <c r="E162" i="6"/>
  <c r="E161" i="6"/>
  <c r="J70" i="5" s="1"/>
  <c r="E160" i="6"/>
  <c r="E159" i="6"/>
  <c r="E158" i="6"/>
  <c r="E157" i="6"/>
  <c r="J68" i="5" s="1"/>
  <c r="E156" i="6"/>
  <c r="J67" i="5" s="1"/>
  <c r="E154" i="6"/>
  <c r="E153" i="6"/>
  <c r="J65" i="5" s="1"/>
  <c r="E152" i="6"/>
  <c r="E151" i="6"/>
  <c r="J64" i="5" s="1"/>
  <c r="E150" i="6"/>
  <c r="J63" i="5" s="1"/>
  <c r="E149" i="6"/>
  <c r="J62" i="5" s="1"/>
  <c r="E148" i="6"/>
  <c r="E147" i="6"/>
  <c r="E146" i="6"/>
  <c r="E145" i="6"/>
  <c r="E142" i="6"/>
  <c r="J57" i="5" s="1"/>
  <c r="E141" i="6"/>
  <c r="J56" i="5" s="1"/>
  <c r="E140" i="6"/>
  <c r="J55" i="5" s="1"/>
  <c r="E139" i="6"/>
  <c r="J54" i="5" s="1"/>
  <c r="E138" i="6"/>
  <c r="J53" i="5" s="1"/>
  <c r="E136" i="6"/>
  <c r="J51" i="5" s="1"/>
  <c r="E135" i="6"/>
  <c r="E134" i="6"/>
  <c r="J50" i="5" s="1"/>
  <c r="E133" i="6"/>
  <c r="E132" i="6"/>
  <c r="E131" i="6"/>
  <c r="E130" i="6"/>
  <c r="E129" i="6"/>
  <c r="E128" i="6"/>
  <c r="E125" i="6"/>
  <c r="J44" i="5" s="1"/>
  <c r="E124" i="6"/>
  <c r="E123" i="6"/>
  <c r="E122" i="6"/>
  <c r="E121" i="6"/>
  <c r="E120" i="6"/>
  <c r="E119" i="6"/>
  <c r="E117" i="6"/>
  <c r="J43" i="5" s="1"/>
  <c r="E116" i="6"/>
  <c r="E115" i="6"/>
  <c r="E114" i="6"/>
  <c r="E113" i="6"/>
  <c r="E112" i="6"/>
  <c r="E111" i="6"/>
  <c r="E110" i="6"/>
  <c r="E109" i="6"/>
  <c r="E105" i="6"/>
  <c r="E104" i="6"/>
  <c r="E103" i="6"/>
  <c r="E102" i="6"/>
  <c r="E100" i="6"/>
  <c r="J35" i="5" s="1"/>
  <c r="E98" i="6"/>
  <c r="J33" i="5" s="1"/>
  <c r="E97" i="6"/>
  <c r="J32" i="5" s="1"/>
  <c r="E96" i="6"/>
  <c r="J31" i="5" s="1"/>
  <c r="E95" i="6"/>
  <c r="J30" i="5" s="1"/>
  <c r="E92" i="6"/>
  <c r="E91" i="6"/>
  <c r="E90" i="6"/>
  <c r="E89" i="6"/>
  <c r="E88" i="6"/>
  <c r="E87" i="6"/>
  <c r="E86" i="6"/>
  <c r="E85" i="6"/>
  <c r="E83" i="6"/>
  <c r="J26" i="5" s="1"/>
  <c r="E82" i="6"/>
  <c r="E81" i="6"/>
  <c r="E79" i="6"/>
  <c r="E78" i="6"/>
  <c r="E77" i="6"/>
  <c r="E75" i="6"/>
  <c r="E74" i="6"/>
  <c r="E72" i="6"/>
  <c r="E71" i="6"/>
  <c r="E69" i="6"/>
  <c r="E68" i="6"/>
  <c r="E66" i="6"/>
  <c r="E65" i="6"/>
  <c r="E63" i="6"/>
  <c r="E62" i="6"/>
  <c r="E59" i="6"/>
  <c r="J16" i="5" s="1"/>
  <c r="E58" i="6"/>
  <c r="E55" i="6"/>
  <c r="E54" i="6"/>
  <c r="E53" i="6"/>
  <c r="E52" i="6"/>
  <c r="E50" i="6"/>
  <c r="E49" i="6"/>
  <c r="E48" i="6"/>
  <c r="E47" i="6"/>
  <c r="E46" i="6"/>
  <c r="E45" i="6"/>
  <c r="E44" i="6"/>
  <c r="E43" i="6"/>
  <c r="E41" i="6"/>
  <c r="J11" i="5" s="1"/>
  <c r="E40" i="6"/>
  <c r="E39" i="6"/>
  <c r="E38" i="6"/>
  <c r="E37" i="6"/>
  <c r="E35" i="6"/>
  <c r="E34" i="6"/>
  <c r="E32" i="6"/>
  <c r="E31" i="6"/>
  <c r="J69" i="5" l="1"/>
  <c r="J66" i="5" s="1"/>
  <c r="E199" i="6"/>
  <c r="J88" i="5" s="1"/>
  <c r="E187" i="6"/>
  <c r="E190" i="6"/>
  <c r="J166" i="5"/>
  <c r="J97" i="5"/>
  <c r="J98" i="5" s="1"/>
  <c r="E118" i="6"/>
  <c r="J42" i="5" s="1"/>
  <c r="J111" i="5"/>
  <c r="J109" i="5" s="1"/>
  <c r="J145" i="5"/>
  <c r="J154" i="5"/>
  <c r="E202" i="6"/>
  <c r="J89" i="5" s="1"/>
  <c r="C20" i="9"/>
  <c r="C21" i="9" s="1"/>
  <c r="J49" i="5"/>
  <c r="J48" i="5" s="1"/>
  <c r="J133" i="5"/>
  <c r="J134" i="5" s="1"/>
  <c r="J142" i="5"/>
  <c r="J81" i="5"/>
  <c r="E57" i="6"/>
  <c r="J24" i="5"/>
  <c r="J61" i="5"/>
  <c r="J60" i="5" s="1"/>
  <c r="J59" i="5" s="1"/>
  <c r="J29" i="5"/>
  <c r="J15" i="5"/>
  <c r="J14" i="5" s="1"/>
  <c r="E101" i="6"/>
  <c r="J36" i="5" s="1"/>
  <c r="J34" i="5" s="1"/>
  <c r="J79" i="5"/>
  <c r="J78" i="5" s="1"/>
  <c r="E67" i="6"/>
  <c r="J20" i="5" s="1"/>
  <c r="E76" i="6"/>
  <c r="J23" i="5" s="1"/>
  <c r="J52" i="5"/>
  <c r="E184" i="6"/>
  <c r="E319" i="6"/>
  <c r="C95" i="9"/>
  <c r="C12" i="9"/>
  <c r="C9" i="9"/>
  <c r="C17" i="9"/>
  <c r="J90" i="5"/>
  <c r="L121" i="5"/>
  <c r="L163" i="5"/>
  <c r="E216" i="6"/>
  <c r="E214" i="6" s="1"/>
  <c r="E334" i="6"/>
  <c r="J158" i="5" s="1"/>
  <c r="E33" i="6"/>
  <c r="J9" i="5" s="1"/>
  <c r="E263" i="6"/>
  <c r="E261" i="6" s="1"/>
  <c r="J129" i="5" s="1"/>
  <c r="E70" i="6"/>
  <c r="J21" i="5" s="1"/>
  <c r="E316" i="6"/>
  <c r="E206" i="6"/>
  <c r="E198" i="6"/>
  <c r="E61" i="6"/>
  <c r="J18" i="5" s="1"/>
  <c r="E108" i="6"/>
  <c r="J41" i="5" s="1"/>
  <c r="E193" i="6"/>
  <c r="E30" i="6"/>
  <c r="J8" i="5" s="1"/>
  <c r="E80" i="6"/>
  <c r="J25" i="5" s="1"/>
  <c r="E174" i="6"/>
  <c r="J75" i="5" s="1"/>
  <c r="E246" i="6"/>
  <c r="J127" i="5" s="1"/>
  <c r="E331" i="6"/>
  <c r="J157" i="5" s="1"/>
  <c r="E137" i="6"/>
  <c r="E127" i="6" s="1"/>
  <c r="E238" i="6"/>
  <c r="J126" i="5" s="1"/>
  <c r="E94" i="6"/>
  <c r="E166" i="6"/>
  <c r="J73" i="5" s="1"/>
  <c r="J72" i="5" s="1"/>
  <c r="E311" i="6"/>
  <c r="J148" i="5" s="1"/>
  <c r="E36" i="6"/>
  <c r="J10" i="5" s="1"/>
  <c r="E64" i="6"/>
  <c r="J19" i="5" s="1"/>
  <c r="E73" i="6"/>
  <c r="J22" i="5" s="1"/>
  <c r="E144" i="6"/>
  <c r="E269" i="6"/>
  <c r="E179" i="6"/>
  <c r="J77" i="5" s="1"/>
  <c r="E305" i="6"/>
  <c r="J146" i="5" s="1"/>
  <c r="J141" i="5" s="1"/>
  <c r="E155" i="6"/>
  <c r="E255" i="6"/>
  <c r="J128" i="5" s="1"/>
  <c r="E294" i="6"/>
  <c r="E339" i="6"/>
  <c r="E281" i="6"/>
  <c r="J139" i="5" s="1"/>
  <c r="E51" i="6"/>
  <c r="E230" i="6"/>
  <c r="J120" i="5" s="1"/>
  <c r="E275" i="6"/>
  <c r="J138" i="5" s="1"/>
  <c r="E325" i="6"/>
  <c r="E42" i="6"/>
  <c r="J12" i="5" s="1"/>
  <c r="E84" i="6"/>
  <c r="E224" i="6"/>
  <c r="J119" i="5" s="1"/>
  <c r="H301" i="8"/>
  <c r="D344" i="6"/>
  <c r="D343" i="6"/>
  <c r="D342" i="6"/>
  <c r="I165" i="5" s="1"/>
  <c r="K165" i="5" s="1"/>
  <c r="L165" i="5" s="1"/>
  <c r="D341" i="6"/>
  <c r="D340" i="6"/>
  <c r="D337" i="6"/>
  <c r="D336" i="6"/>
  <c r="D335" i="6"/>
  <c r="D333" i="6"/>
  <c r="D332" i="6"/>
  <c r="D329" i="6"/>
  <c r="D328" i="6"/>
  <c r="D327" i="6"/>
  <c r="D326" i="6"/>
  <c r="I152" i="5" s="1"/>
  <c r="K152" i="5" s="1"/>
  <c r="L152" i="5" s="1"/>
  <c r="D324" i="6"/>
  <c r="I153" i="5" s="1"/>
  <c r="K153" i="5" s="1"/>
  <c r="D323" i="6"/>
  <c r="I151" i="5" s="1"/>
  <c r="K151" i="5" s="1"/>
  <c r="D322" i="6"/>
  <c r="I150" i="5" s="1"/>
  <c r="K150" i="5" s="1"/>
  <c r="D321" i="6"/>
  <c r="D320" i="6"/>
  <c r="D318" i="6"/>
  <c r="D317" i="6"/>
  <c r="D314" i="6"/>
  <c r="D313" i="6"/>
  <c r="D312" i="6"/>
  <c r="D310" i="6"/>
  <c r="D309" i="6"/>
  <c r="D308" i="6"/>
  <c r="D307" i="6"/>
  <c r="D306" i="6"/>
  <c r="D304" i="6"/>
  <c r="I147" i="5" s="1"/>
  <c r="K147" i="5" s="1"/>
  <c r="L147" i="5" s="1"/>
  <c r="D303" i="6"/>
  <c r="D302" i="6"/>
  <c r="D301" i="6"/>
  <c r="D300" i="6"/>
  <c r="D299" i="6"/>
  <c r="D298" i="6"/>
  <c r="D297" i="6"/>
  <c r="D296" i="6"/>
  <c r="I143" i="5" s="1"/>
  <c r="K143" i="5" s="1"/>
  <c r="L143" i="5" s="1"/>
  <c r="D295" i="6"/>
  <c r="D292" i="6"/>
  <c r="I140" i="5" s="1"/>
  <c r="K140" i="5" s="1"/>
  <c r="D291" i="6"/>
  <c r="D290" i="6"/>
  <c r="D289" i="6"/>
  <c r="D288" i="6"/>
  <c r="D287" i="6"/>
  <c r="D286" i="6"/>
  <c r="D285" i="6"/>
  <c r="D284" i="6"/>
  <c r="D283" i="6"/>
  <c r="D282" i="6"/>
  <c r="D280" i="6"/>
  <c r="D279" i="6"/>
  <c r="D278" i="6"/>
  <c r="D277" i="6"/>
  <c r="D276" i="6"/>
  <c r="D274" i="6"/>
  <c r="I137" i="5" s="1"/>
  <c r="K137" i="5" s="1"/>
  <c r="D272" i="6"/>
  <c r="D271" i="6"/>
  <c r="D270" i="6"/>
  <c r="I132" i="5" s="1"/>
  <c r="K132" i="5" s="1"/>
  <c r="L132" i="5" s="1"/>
  <c r="D268" i="6"/>
  <c r="D267" i="6"/>
  <c r="D266" i="6"/>
  <c r="D265" i="6"/>
  <c r="D264" i="6"/>
  <c r="D262" i="6"/>
  <c r="D260" i="6"/>
  <c r="D259" i="6"/>
  <c r="D258" i="6"/>
  <c r="D257" i="6"/>
  <c r="D256" i="6"/>
  <c r="D254" i="6"/>
  <c r="D253" i="6"/>
  <c r="D252" i="6"/>
  <c r="D251" i="6"/>
  <c r="D250" i="6"/>
  <c r="D249" i="6"/>
  <c r="D248" i="6"/>
  <c r="D247" i="6"/>
  <c r="D245" i="6"/>
  <c r="D244" i="6"/>
  <c r="D243" i="6"/>
  <c r="D242" i="6"/>
  <c r="D241" i="6"/>
  <c r="D240" i="6"/>
  <c r="D239" i="6"/>
  <c r="D237" i="6"/>
  <c r="D235" i="6"/>
  <c r="I122" i="5" s="1"/>
  <c r="C4" i="9" s="1"/>
  <c r="D234" i="6"/>
  <c r="D233" i="6"/>
  <c r="D232" i="6"/>
  <c r="D231" i="6"/>
  <c r="D229" i="6"/>
  <c r="D228" i="6"/>
  <c r="D227" i="6"/>
  <c r="D226" i="6"/>
  <c r="D225" i="6"/>
  <c r="D223" i="6"/>
  <c r="I118" i="5" s="1"/>
  <c r="K118" i="5" s="1"/>
  <c r="L118" i="5" s="1"/>
  <c r="D222" i="6"/>
  <c r="I117" i="5" s="1"/>
  <c r="K117" i="5" s="1"/>
  <c r="L117" i="5" s="1"/>
  <c r="D221" i="6"/>
  <c r="I116" i="5" s="1"/>
  <c r="K116" i="5" s="1"/>
  <c r="L116" i="5" s="1"/>
  <c r="D220" i="6"/>
  <c r="I115" i="5" s="1"/>
  <c r="K115" i="5" s="1"/>
  <c r="L115" i="5" s="1"/>
  <c r="D219" i="6"/>
  <c r="I114" i="5" s="1"/>
  <c r="K114" i="5" s="1"/>
  <c r="L114" i="5" s="1"/>
  <c r="D218" i="6"/>
  <c r="I113" i="5" s="1"/>
  <c r="K113" i="5" s="1"/>
  <c r="L113" i="5" s="1"/>
  <c r="D217" i="6"/>
  <c r="I112" i="5" s="1"/>
  <c r="K112" i="5" s="1"/>
  <c r="L112" i="5" s="1"/>
  <c r="D215" i="6"/>
  <c r="D213" i="6"/>
  <c r="D211" i="6"/>
  <c r="D210" i="6"/>
  <c r="D209" i="6"/>
  <c r="I96" i="5" s="1"/>
  <c r="K96" i="5" s="1"/>
  <c r="L96" i="5" s="1"/>
  <c r="D208" i="6"/>
  <c r="D207" i="6"/>
  <c r="I94" i="5" s="1"/>
  <c r="K94" i="5" s="1"/>
  <c r="D204" i="6"/>
  <c r="D203" i="6"/>
  <c r="D201" i="6"/>
  <c r="D200" i="6"/>
  <c r="D197" i="6"/>
  <c r="I85" i="5" s="1"/>
  <c r="K85" i="5" s="1"/>
  <c r="L85" i="5" s="1"/>
  <c r="D196" i="6"/>
  <c r="I84" i="5" s="1"/>
  <c r="D195" i="6"/>
  <c r="D194" i="6"/>
  <c r="I82" i="5" s="1"/>
  <c r="K82" i="5" s="1"/>
  <c r="L82" i="5" s="1"/>
  <c r="D192" i="6"/>
  <c r="I80" i="5" s="1"/>
  <c r="K80" i="5" s="1"/>
  <c r="L80" i="5" s="1"/>
  <c r="D191" i="6"/>
  <c r="I79" i="5" s="1"/>
  <c r="D189" i="6"/>
  <c r="D188" i="6"/>
  <c r="D186" i="6"/>
  <c r="D185" i="6"/>
  <c r="D183" i="6"/>
  <c r="D182" i="6"/>
  <c r="D181" i="6"/>
  <c r="D180" i="6"/>
  <c r="D178" i="6"/>
  <c r="I76" i="5" s="1"/>
  <c r="K76" i="5" s="1"/>
  <c r="D177" i="6"/>
  <c r="D176" i="6"/>
  <c r="D175" i="6"/>
  <c r="D173" i="6"/>
  <c r="D172" i="6"/>
  <c r="I74" i="5" s="1"/>
  <c r="K74" i="5" s="1"/>
  <c r="L74" i="5" s="1"/>
  <c r="D171" i="6"/>
  <c r="D170" i="6"/>
  <c r="D169" i="6"/>
  <c r="D168" i="6"/>
  <c r="D167" i="6"/>
  <c r="D164" i="6"/>
  <c r="I71" i="5" s="1"/>
  <c r="K71" i="5" s="1"/>
  <c r="D163" i="6"/>
  <c r="D162" i="6"/>
  <c r="D161" i="6"/>
  <c r="I70" i="5" s="1"/>
  <c r="K70" i="5" s="1"/>
  <c r="D160" i="6"/>
  <c r="D159" i="6"/>
  <c r="D158" i="6"/>
  <c r="D157" i="6"/>
  <c r="I68" i="5" s="1"/>
  <c r="K68" i="5" s="1"/>
  <c r="C100" i="9" s="1"/>
  <c r="D156" i="6"/>
  <c r="I67" i="5" s="1"/>
  <c r="D154" i="6"/>
  <c r="D153" i="6"/>
  <c r="I65" i="5" s="1"/>
  <c r="K65" i="5" s="1"/>
  <c r="L65" i="5" s="1"/>
  <c r="D152" i="6"/>
  <c r="D151" i="6"/>
  <c r="I64" i="5" s="1"/>
  <c r="K64" i="5" s="1"/>
  <c r="L64" i="5" s="1"/>
  <c r="D150" i="6"/>
  <c r="I63" i="5" s="1"/>
  <c r="K63" i="5" s="1"/>
  <c r="D149" i="6"/>
  <c r="I62" i="5" s="1"/>
  <c r="K62" i="5" s="1"/>
  <c r="D148" i="6"/>
  <c r="D147" i="6"/>
  <c r="D146" i="6"/>
  <c r="D145" i="6"/>
  <c r="D142" i="6"/>
  <c r="I57" i="5" s="1"/>
  <c r="K57" i="5" s="1"/>
  <c r="L57" i="5" s="1"/>
  <c r="D141" i="6"/>
  <c r="I56" i="5" s="1"/>
  <c r="K56" i="5" s="1"/>
  <c r="L56" i="5" s="1"/>
  <c r="D140" i="6"/>
  <c r="I55" i="5" s="1"/>
  <c r="K55" i="5" s="1"/>
  <c r="L55" i="5" s="1"/>
  <c r="D139" i="6"/>
  <c r="I54" i="5" s="1"/>
  <c r="K54" i="5" s="1"/>
  <c r="D138" i="6"/>
  <c r="D136" i="6"/>
  <c r="I51" i="5" s="1"/>
  <c r="K51" i="5" s="1"/>
  <c r="L51" i="5" s="1"/>
  <c r="D135" i="6"/>
  <c r="D134" i="6"/>
  <c r="I50" i="5" s="1"/>
  <c r="K50" i="5" s="1"/>
  <c r="L50" i="5" s="1"/>
  <c r="D133" i="6"/>
  <c r="D132" i="6"/>
  <c r="D131" i="6"/>
  <c r="D130" i="6"/>
  <c r="D129" i="6"/>
  <c r="D128" i="6"/>
  <c r="D125" i="6"/>
  <c r="I44" i="5" s="1"/>
  <c r="K44" i="5" s="1"/>
  <c r="L44" i="5" s="1"/>
  <c r="D124" i="6"/>
  <c r="D123" i="6"/>
  <c r="D122" i="6"/>
  <c r="D121" i="6"/>
  <c r="D120" i="6"/>
  <c r="D119" i="6"/>
  <c r="D117" i="6"/>
  <c r="I43" i="5" s="1"/>
  <c r="K43" i="5" s="1"/>
  <c r="D116" i="6"/>
  <c r="D115" i="6"/>
  <c r="D114" i="6"/>
  <c r="D113" i="6"/>
  <c r="D112" i="6"/>
  <c r="D111" i="6"/>
  <c r="D110" i="6"/>
  <c r="D109" i="6"/>
  <c r="D105" i="6"/>
  <c r="D104" i="6"/>
  <c r="D103" i="6"/>
  <c r="D102" i="6"/>
  <c r="D100" i="6"/>
  <c r="I35" i="5" s="1"/>
  <c r="D98" i="6"/>
  <c r="I33" i="5" s="1"/>
  <c r="H33" i="5" s="1"/>
  <c r="D97" i="6"/>
  <c r="I32" i="5" s="1"/>
  <c r="D96" i="6"/>
  <c r="I31" i="5" s="1"/>
  <c r="H31" i="5" s="1"/>
  <c r="D95" i="6"/>
  <c r="D92" i="6"/>
  <c r="D91" i="6"/>
  <c r="D90" i="6"/>
  <c r="D89" i="6"/>
  <c r="D88" i="6"/>
  <c r="D87" i="6"/>
  <c r="D86" i="6"/>
  <c r="D85" i="6"/>
  <c r="D83" i="6"/>
  <c r="I26" i="5" s="1"/>
  <c r="D82" i="6"/>
  <c r="D81" i="6"/>
  <c r="D79" i="6"/>
  <c r="D78" i="6"/>
  <c r="D77" i="6"/>
  <c r="D75" i="6"/>
  <c r="D74" i="6"/>
  <c r="D72" i="6"/>
  <c r="D71" i="6"/>
  <c r="D69" i="6"/>
  <c r="D68" i="6"/>
  <c r="D66" i="6"/>
  <c r="D65" i="6"/>
  <c r="D63" i="6"/>
  <c r="D62" i="6"/>
  <c r="D59" i="6"/>
  <c r="I16" i="5" s="1"/>
  <c r="D58" i="6"/>
  <c r="I15" i="5" s="1"/>
  <c r="D55" i="6"/>
  <c r="D54" i="6"/>
  <c r="D53" i="6"/>
  <c r="D52" i="6"/>
  <c r="D50" i="6"/>
  <c r="D49" i="6"/>
  <c r="D48" i="6"/>
  <c r="D47" i="6"/>
  <c r="D46" i="6"/>
  <c r="D45" i="6"/>
  <c r="D44" i="6"/>
  <c r="D43" i="6"/>
  <c r="D41" i="6"/>
  <c r="I11" i="5" s="1"/>
  <c r="D40" i="6"/>
  <c r="D39" i="6"/>
  <c r="D38" i="6"/>
  <c r="D37" i="6"/>
  <c r="D35" i="6"/>
  <c r="D34" i="6"/>
  <c r="D32" i="6"/>
  <c r="D31" i="6"/>
  <c r="I163" i="5"/>
  <c r="K163" i="5" s="1"/>
  <c r="H141" i="5"/>
  <c r="G141" i="5"/>
  <c r="I121" i="5"/>
  <c r="K121" i="5" s="1"/>
  <c r="I95" i="5"/>
  <c r="K95" i="5" s="1"/>
  <c r="L95" i="5" s="1"/>
  <c r="L94" i="5"/>
  <c r="L87" i="5"/>
  <c r="K87" i="5"/>
  <c r="I83" i="5"/>
  <c r="K83" i="5" s="1"/>
  <c r="L83" i="5" s="1"/>
  <c r="L68" i="5"/>
  <c r="L63" i="5"/>
  <c r="L62" i="5"/>
  <c r="L54" i="5"/>
  <c r="L45" i="5"/>
  <c r="K45" i="5"/>
  <c r="G29" i="5"/>
  <c r="L27" i="5"/>
  <c r="K27" i="5"/>
  <c r="J40" i="5" l="1"/>
  <c r="E99" i="6"/>
  <c r="E93" i="6" s="1"/>
  <c r="J47" i="5"/>
  <c r="H29" i="5"/>
  <c r="H320" i="8"/>
  <c r="I166" i="5"/>
  <c r="K166" i="5" s="1"/>
  <c r="L166" i="5" s="1"/>
  <c r="J167" i="5"/>
  <c r="E315" i="6"/>
  <c r="J149" i="5" s="1"/>
  <c r="J155" i="5" s="1"/>
  <c r="J28" i="5"/>
  <c r="J58" i="5"/>
  <c r="D202" i="6"/>
  <c r="I89" i="5" s="1"/>
  <c r="K89" i="5" s="1"/>
  <c r="L89" i="5" s="1"/>
  <c r="D101" i="6"/>
  <c r="L43" i="5"/>
  <c r="C53" i="9"/>
  <c r="I97" i="5"/>
  <c r="K97" i="5" s="1"/>
  <c r="L97" i="5" s="1"/>
  <c r="L140" i="5"/>
  <c r="C28" i="9"/>
  <c r="L137" i="5"/>
  <c r="C109" i="9"/>
  <c r="L76" i="5"/>
  <c r="C49" i="9"/>
  <c r="J7" i="5"/>
  <c r="L153" i="5"/>
  <c r="C33" i="9"/>
  <c r="J17" i="5"/>
  <c r="J13" i="5" s="1"/>
  <c r="K122" i="5"/>
  <c r="L122" i="5" s="1"/>
  <c r="L71" i="5"/>
  <c r="C46" i="9"/>
  <c r="L70" i="5"/>
  <c r="C102" i="9"/>
  <c r="L150" i="5"/>
  <c r="C107" i="9"/>
  <c r="L151" i="5"/>
  <c r="C32" i="9"/>
  <c r="E29" i="6"/>
  <c r="E330" i="6"/>
  <c r="E293" i="6"/>
  <c r="J130" i="5"/>
  <c r="J123" i="5"/>
  <c r="E143" i="6"/>
  <c r="K11" i="5"/>
  <c r="L11" i="5" s="1"/>
  <c r="K84" i="5"/>
  <c r="L84" i="5" s="1"/>
  <c r="E60" i="6"/>
  <c r="E56" i="6" s="1"/>
  <c r="K15" i="5"/>
  <c r="L15" i="5" s="1"/>
  <c r="E165" i="6"/>
  <c r="E107" i="6"/>
  <c r="D73" i="6"/>
  <c r="I22" i="5" s="1"/>
  <c r="K22" i="5" s="1"/>
  <c r="L22" i="5" s="1"/>
  <c r="D334" i="6"/>
  <c r="I158" i="5" s="1"/>
  <c r="K158" i="5" s="1"/>
  <c r="L158" i="5" s="1"/>
  <c r="D230" i="6"/>
  <c r="I120" i="5" s="1"/>
  <c r="K120" i="5" s="1"/>
  <c r="L120" i="5" s="1"/>
  <c r="E212" i="6"/>
  <c r="E236" i="6"/>
  <c r="D311" i="6"/>
  <c r="I148" i="5" s="1"/>
  <c r="K148" i="5" s="1"/>
  <c r="L148" i="5" s="1"/>
  <c r="D30" i="6"/>
  <c r="D80" i="6"/>
  <c r="I25" i="5" s="1"/>
  <c r="K25" i="5" s="1"/>
  <c r="L25" i="5" s="1"/>
  <c r="I49" i="5"/>
  <c r="K49" i="5" s="1"/>
  <c r="L49" i="5" s="1"/>
  <c r="D155" i="6"/>
  <c r="D184" i="6"/>
  <c r="K33" i="5"/>
  <c r="L33" i="5" s="1"/>
  <c r="K32" i="5"/>
  <c r="L32" i="5" s="1"/>
  <c r="D70" i="6"/>
  <c r="I21" i="5" s="1"/>
  <c r="K21" i="5" s="1"/>
  <c r="L21" i="5" s="1"/>
  <c r="K35" i="5"/>
  <c r="L35" i="5" s="1"/>
  <c r="K31" i="5"/>
  <c r="L31" i="5" s="1"/>
  <c r="K26" i="5"/>
  <c r="L26" i="5" s="1"/>
  <c r="D275" i="6"/>
  <c r="I138" i="5" s="1"/>
  <c r="K138" i="5" s="1"/>
  <c r="D263" i="6"/>
  <c r="D261" i="6" s="1"/>
  <c r="I129" i="5" s="1"/>
  <c r="K129" i="5" s="1"/>
  <c r="L129" i="5" s="1"/>
  <c r="I145" i="5"/>
  <c r="K145" i="5" s="1"/>
  <c r="L145" i="5" s="1"/>
  <c r="D305" i="6"/>
  <c r="I146" i="5" s="1"/>
  <c r="K146" i="5" s="1"/>
  <c r="L146" i="5" s="1"/>
  <c r="I111" i="5"/>
  <c r="K111" i="5" s="1"/>
  <c r="L111" i="5" s="1"/>
  <c r="D281" i="6"/>
  <c r="I139" i="5" s="1"/>
  <c r="K139" i="5" s="1"/>
  <c r="D269" i="6"/>
  <c r="D76" i="6"/>
  <c r="I23" i="5" s="1"/>
  <c r="K23" i="5" s="1"/>
  <c r="L23" i="5" s="1"/>
  <c r="D137" i="6"/>
  <c r="D127" i="6" s="1"/>
  <c r="D199" i="6"/>
  <c r="I53" i="5"/>
  <c r="I52" i="5" s="1"/>
  <c r="K52" i="5" s="1"/>
  <c r="D255" i="6"/>
  <c r="I128" i="5" s="1"/>
  <c r="K128" i="5" s="1"/>
  <c r="L128" i="5" s="1"/>
  <c r="D294" i="6"/>
  <c r="D316" i="6"/>
  <c r="D331" i="6"/>
  <c r="I61" i="5"/>
  <c r="I60" i="5" s="1"/>
  <c r="D238" i="6"/>
  <c r="I126" i="5" s="1"/>
  <c r="K126" i="5" s="1"/>
  <c r="L126" i="5" s="1"/>
  <c r="I142" i="5"/>
  <c r="K142" i="5" s="1"/>
  <c r="L142" i="5" s="1"/>
  <c r="D325" i="6"/>
  <c r="I133" i="5"/>
  <c r="D319" i="6"/>
  <c r="I154" i="5"/>
  <c r="K154" i="5" s="1"/>
  <c r="L154" i="5" s="1"/>
  <c r="I24" i="5"/>
  <c r="K24" i="5" s="1"/>
  <c r="L24" i="5" s="1"/>
  <c r="D51" i="6"/>
  <c r="D246" i="6"/>
  <c r="I127" i="5" s="1"/>
  <c r="K127" i="5" s="1"/>
  <c r="L127" i="5" s="1"/>
  <c r="D339" i="6"/>
  <c r="D61" i="6"/>
  <c r="I18" i="5" s="1"/>
  <c r="D166" i="6"/>
  <c r="D165" i="6" s="1"/>
  <c r="D187" i="6"/>
  <c r="I69" i="5"/>
  <c r="K69" i="5" s="1"/>
  <c r="D64" i="6"/>
  <c r="I19" i="5" s="1"/>
  <c r="K19" i="5" s="1"/>
  <c r="L19" i="5" s="1"/>
  <c r="D190" i="6"/>
  <c r="D33" i="6"/>
  <c r="I9" i="5" s="1"/>
  <c r="K9" i="5" s="1"/>
  <c r="L9" i="5" s="1"/>
  <c r="D174" i="6"/>
  <c r="I75" i="5" s="1"/>
  <c r="K75" i="5" s="1"/>
  <c r="L75" i="5" s="1"/>
  <c r="D36" i="6"/>
  <c r="I10" i="5" s="1"/>
  <c r="K10" i="5" s="1"/>
  <c r="L10" i="5" s="1"/>
  <c r="D57" i="6"/>
  <c r="D67" i="6"/>
  <c r="I20" i="5" s="1"/>
  <c r="K20" i="5" s="1"/>
  <c r="L20" i="5" s="1"/>
  <c r="D144" i="6"/>
  <c r="D193" i="6"/>
  <c r="D118" i="6"/>
  <c r="I42" i="5" s="1"/>
  <c r="K42" i="5" s="1"/>
  <c r="L42" i="5" s="1"/>
  <c r="K67" i="5"/>
  <c r="I110" i="5"/>
  <c r="K110" i="5" s="1"/>
  <c r="L110" i="5" s="1"/>
  <c r="I8" i="5"/>
  <c r="D84" i="6"/>
  <c r="I81" i="5"/>
  <c r="C113" i="9" s="1"/>
  <c r="D94" i="6"/>
  <c r="I30" i="5"/>
  <c r="I78" i="5"/>
  <c r="K78" i="5" s="1"/>
  <c r="L78" i="5" s="1"/>
  <c r="K79" i="5"/>
  <c r="L79" i="5" s="1"/>
  <c r="I14" i="5"/>
  <c r="K16" i="5"/>
  <c r="L16" i="5" s="1"/>
  <c r="D42" i="6"/>
  <c r="I12" i="5" s="1"/>
  <c r="K12" i="5" s="1"/>
  <c r="L12" i="5" s="1"/>
  <c r="D99" i="6"/>
  <c r="I36" i="5"/>
  <c r="D108" i="6"/>
  <c r="D224" i="6"/>
  <c r="I119" i="5" s="1"/>
  <c r="I125" i="5"/>
  <c r="K125" i="5" s="1"/>
  <c r="L125" i="5" s="1"/>
  <c r="I144" i="5"/>
  <c r="K144" i="5" s="1"/>
  <c r="L144" i="5" s="1"/>
  <c r="D216" i="6"/>
  <c r="D214" i="6" s="1"/>
  <c r="I108" i="5"/>
  <c r="K108" i="5" s="1"/>
  <c r="I164" i="5"/>
  <c r="D206" i="6"/>
  <c r="D198" i="6" l="1"/>
  <c r="J46" i="5"/>
  <c r="I88" i="5"/>
  <c r="I90" i="5" s="1"/>
  <c r="D330" i="6"/>
  <c r="K119" i="5"/>
  <c r="L119" i="5" s="1"/>
  <c r="E273" i="6"/>
  <c r="E338" i="6" s="1"/>
  <c r="I98" i="5"/>
  <c r="K98" i="5" s="1"/>
  <c r="L98" i="5" s="1"/>
  <c r="L139" i="5"/>
  <c r="C27" i="9"/>
  <c r="D179" i="6"/>
  <c r="I77" i="5" s="1"/>
  <c r="K77" i="5" s="1"/>
  <c r="L77" i="5" s="1"/>
  <c r="E28" i="6"/>
  <c r="I48" i="5"/>
  <c r="K48" i="5" s="1"/>
  <c r="L48" i="5" s="1"/>
  <c r="K81" i="5"/>
  <c r="L138" i="5"/>
  <c r="C34" i="9"/>
  <c r="L108" i="5"/>
  <c r="D110" i="9" s="1"/>
  <c r="C103" i="9"/>
  <c r="I167" i="5"/>
  <c r="K167" i="5" s="1"/>
  <c r="L167" i="5" s="1"/>
  <c r="K164" i="5"/>
  <c r="L69" i="5"/>
  <c r="C101" i="9"/>
  <c r="E126" i="6"/>
  <c r="E106" i="6" s="1"/>
  <c r="L52" i="5"/>
  <c r="I134" i="5"/>
  <c r="K134" i="5" s="1"/>
  <c r="L134" i="5" s="1"/>
  <c r="K133" i="5"/>
  <c r="L133" i="5" s="1"/>
  <c r="L67" i="5"/>
  <c r="J159" i="5"/>
  <c r="J161" i="5" s="1"/>
  <c r="I141" i="5"/>
  <c r="K141" i="5" s="1"/>
  <c r="I109" i="5"/>
  <c r="D143" i="6"/>
  <c r="I130" i="5"/>
  <c r="K130" i="5" s="1"/>
  <c r="D315" i="6"/>
  <c r="I149" i="5" s="1"/>
  <c r="K149" i="5" s="1"/>
  <c r="K53" i="5"/>
  <c r="L53" i="5" s="1"/>
  <c r="I157" i="5"/>
  <c r="I159" i="5" s="1"/>
  <c r="D293" i="6"/>
  <c r="K61" i="5"/>
  <c r="L61" i="5" s="1"/>
  <c r="I73" i="5"/>
  <c r="I72" i="5" s="1"/>
  <c r="D212" i="6"/>
  <c r="D236" i="6"/>
  <c r="D60" i="6"/>
  <c r="D56" i="6" s="1"/>
  <c r="I66" i="5"/>
  <c r="K66" i="5" s="1"/>
  <c r="L66" i="5" s="1"/>
  <c r="I41" i="5"/>
  <c r="D107" i="6"/>
  <c r="K18" i="5"/>
  <c r="L18" i="5" s="1"/>
  <c r="I17" i="5"/>
  <c r="K17" i="5" s="1"/>
  <c r="L17" i="5" s="1"/>
  <c r="K36" i="5"/>
  <c r="L36" i="5" s="1"/>
  <c r="I34" i="5"/>
  <c r="K34" i="5" s="1"/>
  <c r="L34" i="5" s="1"/>
  <c r="K60" i="5"/>
  <c r="L60" i="5" s="1"/>
  <c r="I59" i="5"/>
  <c r="K30" i="5"/>
  <c r="L30" i="5" s="1"/>
  <c r="I29" i="5"/>
  <c r="K8" i="5"/>
  <c r="L8" i="5" s="1"/>
  <c r="I7" i="5"/>
  <c r="D93" i="6"/>
  <c r="K14" i="5"/>
  <c r="L14" i="5" s="1"/>
  <c r="D29" i="6"/>
  <c r="E31" i="4"/>
  <c r="E32" i="4"/>
  <c r="E33" i="4"/>
  <c r="E34" i="4"/>
  <c r="E37" i="4"/>
  <c r="E12" i="1" s="1"/>
  <c r="E38" i="4"/>
  <c r="E13" i="1" s="1"/>
  <c r="E39" i="4"/>
  <c r="E14" i="1" s="1"/>
  <c r="E40" i="4"/>
  <c r="E15" i="1" s="1"/>
  <c r="E42" i="4"/>
  <c r="E43" i="4"/>
  <c r="E45" i="4"/>
  <c r="E46" i="4"/>
  <c r="E47" i="4"/>
  <c r="E48" i="4"/>
  <c r="E49" i="4"/>
  <c r="E51" i="4"/>
  <c r="E52" i="4"/>
  <c r="E20" i="1" s="1"/>
  <c r="E53" i="4"/>
  <c r="E21" i="1" s="1"/>
  <c r="E54" i="4"/>
  <c r="E22" i="1" s="1"/>
  <c r="E55" i="4"/>
  <c r="E23" i="1" s="1"/>
  <c r="E57" i="4"/>
  <c r="E58" i="4"/>
  <c r="E60" i="4"/>
  <c r="E61" i="4"/>
  <c r="E62" i="4"/>
  <c r="E63" i="4"/>
  <c r="E64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100" i="4"/>
  <c r="E101" i="4"/>
  <c r="E102" i="4"/>
  <c r="E103" i="4"/>
  <c r="E104" i="4"/>
  <c r="E106" i="4"/>
  <c r="E107" i="4"/>
  <c r="E108" i="4"/>
  <c r="E109" i="4"/>
  <c r="E110" i="4"/>
  <c r="E111" i="4"/>
  <c r="E113" i="4"/>
  <c r="E114" i="4"/>
  <c r="E115" i="4"/>
  <c r="E116" i="4"/>
  <c r="E117" i="4"/>
  <c r="E118" i="4"/>
  <c r="E119" i="4"/>
  <c r="E121" i="4"/>
  <c r="E123" i="4"/>
  <c r="E124" i="4"/>
  <c r="E126" i="4"/>
  <c r="E127" i="4"/>
  <c r="E128" i="4"/>
  <c r="E129" i="4"/>
  <c r="E131" i="4"/>
  <c r="E132" i="4"/>
  <c r="E133" i="4"/>
  <c r="E136" i="4"/>
  <c r="E137" i="4"/>
  <c r="E138" i="4"/>
  <c r="E139" i="4"/>
  <c r="E140" i="4"/>
  <c r="E142" i="4"/>
  <c r="E143" i="4"/>
  <c r="E144" i="4"/>
  <c r="E146" i="4"/>
  <c r="E147" i="4"/>
  <c r="E148" i="4"/>
  <c r="E149" i="4"/>
  <c r="E150" i="4"/>
  <c r="E151" i="4"/>
  <c r="E152" i="4"/>
  <c r="E33" i="1" s="1"/>
  <c r="E154" i="4"/>
  <c r="E155" i="4"/>
  <c r="E156" i="4"/>
  <c r="E162" i="4"/>
  <c r="E163" i="4"/>
  <c r="E164" i="4"/>
  <c r="E166" i="4"/>
  <c r="E167" i="4"/>
  <c r="E168" i="4"/>
  <c r="E170" i="4"/>
  <c r="E171" i="4"/>
  <c r="E172" i="4"/>
  <c r="E174" i="4"/>
  <c r="E175" i="4"/>
  <c r="E176" i="4"/>
  <c r="E177" i="4"/>
  <c r="E178" i="4"/>
  <c r="E179" i="4"/>
  <c r="E180" i="4"/>
  <c r="E181" i="4"/>
  <c r="E183" i="4"/>
  <c r="E185" i="4"/>
  <c r="E186" i="4"/>
  <c r="E187" i="4"/>
  <c r="E188" i="4"/>
  <c r="E189" i="4"/>
  <c r="E190" i="4"/>
  <c r="E192" i="4"/>
  <c r="E193" i="4"/>
  <c r="E194" i="4"/>
  <c r="E195" i="4"/>
  <c r="E196" i="4"/>
  <c r="E197" i="4"/>
  <c r="E198" i="4"/>
  <c r="E203" i="4"/>
  <c r="E204" i="4"/>
  <c r="E205" i="4"/>
  <c r="E206" i="4"/>
  <c r="E207" i="4"/>
  <c r="E208" i="4"/>
  <c r="E210" i="4"/>
  <c r="E211" i="4"/>
  <c r="E212" i="4"/>
  <c r="E214" i="4"/>
  <c r="E215" i="4"/>
  <c r="E216" i="4"/>
  <c r="E217" i="4"/>
  <c r="E218" i="4"/>
  <c r="E219" i="4"/>
  <c r="E220" i="4"/>
  <c r="E222" i="4"/>
  <c r="E223" i="4"/>
  <c r="E224" i="4"/>
  <c r="E225" i="4"/>
  <c r="E226" i="4"/>
  <c r="E227" i="4"/>
  <c r="E228" i="4"/>
  <c r="E229" i="4"/>
  <c r="E230" i="4"/>
  <c r="E231" i="4"/>
  <c r="E233" i="4"/>
  <c r="E234" i="4"/>
  <c r="E235" i="4"/>
  <c r="E236" i="4"/>
  <c r="E237" i="4"/>
  <c r="E239" i="4"/>
  <c r="E240" i="4"/>
  <c r="E241" i="4"/>
  <c r="E242" i="4"/>
  <c r="E244" i="4"/>
  <c r="E245" i="4"/>
  <c r="E246" i="4"/>
  <c r="E247" i="4"/>
  <c r="E249" i="4"/>
  <c r="E250" i="4"/>
  <c r="E251" i="4"/>
  <c r="E253" i="4"/>
  <c r="E254" i="4"/>
  <c r="E255" i="4"/>
  <c r="E256" i="4"/>
  <c r="E257" i="4"/>
  <c r="E259" i="4"/>
  <c r="E260" i="4"/>
  <c r="E261" i="4"/>
  <c r="E262" i="4"/>
  <c r="E263" i="4"/>
  <c r="E265" i="4"/>
  <c r="E266" i="4"/>
  <c r="E267" i="4"/>
  <c r="E268" i="4"/>
  <c r="E269" i="4"/>
  <c r="E270" i="4"/>
  <c r="E272" i="4"/>
  <c r="E273" i="4"/>
  <c r="E274" i="4"/>
  <c r="E275" i="4"/>
  <c r="E276" i="4"/>
  <c r="E278" i="4"/>
  <c r="E279" i="4"/>
  <c r="E280" i="4"/>
  <c r="E281" i="4"/>
  <c r="E284" i="4"/>
  <c r="E285" i="4"/>
  <c r="E286" i="4"/>
  <c r="E287" i="4"/>
  <c r="E288" i="4"/>
  <c r="E289" i="4"/>
  <c r="E290" i="4"/>
  <c r="E292" i="4"/>
  <c r="E293" i="4"/>
  <c r="E294" i="4"/>
  <c r="E295" i="4"/>
  <c r="E296" i="4"/>
  <c r="E297" i="4"/>
  <c r="E298" i="4"/>
  <c r="E300" i="4"/>
  <c r="E301" i="4"/>
  <c r="E302" i="4"/>
  <c r="E303" i="4"/>
  <c r="E304" i="4"/>
  <c r="E305" i="4"/>
  <c r="E306" i="4"/>
  <c r="E308" i="4"/>
  <c r="E309" i="4"/>
  <c r="E311" i="4"/>
  <c r="E312" i="4"/>
  <c r="E313" i="4"/>
  <c r="E314" i="4"/>
  <c r="E315" i="4"/>
  <c r="E316" i="4"/>
  <c r="E318" i="4"/>
  <c r="E319" i="4"/>
  <c r="E320" i="4"/>
  <c r="E322" i="4"/>
  <c r="E323" i="4"/>
  <c r="E324" i="4"/>
  <c r="E325" i="4"/>
  <c r="E326" i="4"/>
  <c r="E327" i="4"/>
  <c r="E328" i="4"/>
  <c r="E329" i="4"/>
  <c r="E58" i="1" s="1"/>
  <c r="E332" i="4"/>
  <c r="E333" i="4"/>
  <c r="E335" i="4"/>
  <c r="E336" i="4"/>
  <c r="E337" i="4"/>
  <c r="E338" i="4"/>
  <c r="E339" i="4"/>
  <c r="E340" i="4"/>
  <c r="E341" i="4"/>
  <c r="E342" i="4"/>
  <c r="E343" i="4"/>
  <c r="E345" i="4"/>
  <c r="E346" i="4"/>
  <c r="E348" i="4"/>
  <c r="E349" i="4"/>
  <c r="E350" i="4"/>
  <c r="E352" i="4"/>
  <c r="E353" i="4"/>
  <c r="E355" i="4"/>
  <c r="E356" i="4"/>
  <c r="E357" i="4"/>
  <c r="E358" i="4"/>
  <c r="E359" i="4"/>
  <c r="E360" i="4"/>
  <c r="E362" i="4"/>
  <c r="E363" i="4"/>
  <c r="E364" i="4"/>
  <c r="E366" i="4"/>
  <c r="E367" i="4"/>
  <c r="E369" i="4"/>
  <c r="E370" i="4"/>
  <c r="E371" i="4"/>
  <c r="E372" i="4"/>
  <c r="E373" i="4"/>
  <c r="E374" i="4"/>
  <c r="E375" i="4"/>
  <c r="E377" i="4"/>
  <c r="E379" i="4"/>
  <c r="E380" i="4"/>
  <c r="E382" i="4"/>
  <c r="E383" i="4"/>
  <c r="E384" i="4"/>
  <c r="E385" i="4"/>
  <c r="E390" i="4"/>
  <c r="E391" i="4"/>
  <c r="E392" i="4"/>
  <c r="E394" i="4"/>
  <c r="E395" i="4"/>
  <c r="E396" i="4"/>
  <c r="E398" i="4"/>
  <c r="E399" i="4"/>
  <c r="E400" i="4"/>
  <c r="E403" i="4"/>
  <c r="E404" i="4"/>
  <c r="E405" i="4"/>
  <c r="E407" i="4"/>
  <c r="E408" i="4"/>
  <c r="E409" i="4"/>
  <c r="E412" i="4"/>
  <c r="E413" i="4"/>
  <c r="E414" i="4"/>
  <c r="E416" i="4"/>
  <c r="E417" i="4"/>
  <c r="E418" i="4"/>
  <c r="E421" i="4"/>
  <c r="E422" i="4"/>
  <c r="E423" i="4"/>
  <c r="E425" i="4"/>
  <c r="E426" i="4"/>
  <c r="E427" i="4"/>
  <c r="E429" i="4"/>
  <c r="E430" i="4"/>
  <c r="E432" i="4"/>
  <c r="E433" i="4"/>
  <c r="E434" i="4"/>
  <c r="E435" i="4"/>
  <c r="E437" i="4"/>
  <c r="E73" i="1" s="1"/>
  <c r="E440" i="4"/>
  <c r="E441" i="4"/>
  <c r="E442" i="4"/>
  <c r="E75" i="1" s="1"/>
  <c r="E444" i="4"/>
  <c r="E445" i="4"/>
  <c r="E448" i="4"/>
  <c r="E449" i="4"/>
  <c r="E450" i="4"/>
  <c r="E451" i="4"/>
  <c r="E452" i="4"/>
  <c r="E453" i="4"/>
  <c r="E454" i="4"/>
  <c r="E455" i="4"/>
  <c r="E457" i="4"/>
  <c r="E458" i="4"/>
  <c r="E459" i="4"/>
  <c r="E460" i="4"/>
  <c r="E461" i="4"/>
  <c r="E462" i="4"/>
  <c r="E465" i="4"/>
  <c r="E466" i="4"/>
  <c r="E467" i="4"/>
  <c r="E468" i="4"/>
  <c r="E469" i="4"/>
  <c r="E470" i="4"/>
  <c r="E471" i="4"/>
  <c r="E472" i="4"/>
  <c r="E82" i="1" s="1"/>
  <c r="E474" i="4"/>
  <c r="E475" i="4"/>
  <c r="E476" i="4"/>
  <c r="E477" i="4"/>
  <c r="E478" i="4"/>
  <c r="E479" i="4"/>
  <c r="E481" i="4"/>
  <c r="E482" i="4"/>
  <c r="E483" i="4"/>
  <c r="E484" i="4"/>
  <c r="E485" i="4"/>
  <c r="E486" i="4"/>
  <c r="E487" i="4"/>
  <c r="E488" i="4"/>
  <c r="E489" i="4"/>
  <c r="E490" i="4"/>
  <c r="E494" i="4"/>
  <c r="E495" i="4"/>
  <c r="E496" i="4"/>
  <c r="E498" i="4"/>
  <c r="E499" i="4"/>
  <c r="E500" i="4"/>
  <c r="E501" i="4"/>
  <c r="E502" i="4"/>
  <c r="E504" i="4"/>
  <c r="E505" i="4"/>
  <c r="E506" i="4"/>
  <c r="E508" i="4"/>
  <c r="E509" i="4"/>
  <c r="E512" i="4"/>
  <c r="E95" i="1" s="1"/>
  <c r="E513" i="4"/>
  <c r="E96" i="1" s="1"/>
  <c r="E517" i="4"/>
  <c r="E101" i="1" s="1"/>
  <c r="E519" i="4"/>
  <c r="E521" i="4"/>
  <c r="E522" i="4"/>
  <c r="E524" i="4"/>
  <c r="E525" i="4"/>
  <c r="E526" i="4"/>
  <c r="E527" i="4"/>
  <c r="E528" i="4"/>
  <c r="E529" i="4"/>
  <c r="E530" i="4"/>
  <c r="E532" i="4"/>
  <c r="E534" i="4"/>
  <c r="E535" i="4"/>
  <c r="E536" i="4"/>
  <c r="E537" i="4"/>
  <c r="E538" i="4"/>
  <c r="E539" i="4"/>
  <c r="E540" i="4"/>
  <c r="E541" i="4"/>
  <c r="E543" i="4"/>
  <c r="E104" i="1" s="1"/>
  <c r="E545" i="4"/>
  <c r="E546" i="4"/>
  <c r="E549" i="4"/>
  <c r="E550" i="4"/>
  <c r="E552" i="4"/>
  <c r="E554" i="4"/>
  <c r="E555" i="4"/>
  <c r="E556" i="4"/>
  <c r="E557" i="4"/>
  <c r="E558" i="4"/>
  <c r="E559" i="4"/>
  <c r="E560" i="4"/>
  <c r="E561" i="4"/>
  <c r="E563" i="4"/>
  <c r="E564" i="4"/>
  <c r="E566" i="4"/>
  <c r="E567" i="4"/>
  <c r="E568" i="4"/>
  <c r="E569" i="4"/>
  <c r="E570" i="4"/>
  <c r="E571" i="4"/>
  <c r="E572" i="4"/>
  <c r="E573" i="4"/>
  <c r="E578" i="4"/>
  <c r="E579" i="4"/>
  <c r="E113" i="1" s="1"/>
  <c r="E580" i="4"/>
  <c r="E114" i="1" s="1"/>
  <c r="E581" i="4"/>
  <c r="E115" i="1" s="1"/>
  <c r="E583" i="4"/>
  <c r="E584" i="4"/>
  <c r="E585" i="4"/>
  <c r="E117" i="1" s="1"/>
  <c r="I895" i="3"/>
  <c r="I274" i="2" s="1"/>
  <c r="I273" i="2"/>
  <c r="K88" i="5" l="1"/>
  <c r="I155" i="5"/>
  <c r="K155" i="5" s="1"/>
  <c r="L155" i="5" s="1"/>
  <c r="E205" i="6"/>
  <c r="D126" i="6"/>
  <c r="C50" i="9"/>
  <c r="E99" i="4"/>
  <c r="E84" i="4" s="1"/>
  <c r="E41" i="4"/>
  <c r="E16" i="1" s="1"/>
  <c r="E30" i="4"/>
  <c r="E27" i="4" s="1"/>
  <c r="E26" i="4" s="1"/>
  <c r="E10" i="1" s="1"/>
  <c r="E169" i="4"/>
  <c r="E122" i="4"/>
  <c r="E56" i="4"/>
  <c r="E24" i="1" s="1"/>
  <c r="K157" i="5"/>
  <c r="C36" i="9" s="1"/>
  <c r="I47" i="5"/>
  <c r="K47" i="5" s="1"/>
  <c r="L47" i="5" s="1"/>
  <c r="E582" i="4"/>
  <c r="E116" i="1" s="1"/>
  <c r="E443" i="4"/>
  <c r="E76" i="1" s="1"/>
  <c r="E439" i="4"/>
  <c r="E438" i="4" s="1"/>
  <c r="E436" i="4" s="1"/>
  <c r="E381" i="4"/>
  <c r="E507" i="4"/>
  <c r="E365" i="4"/>
  <c r="E62" i="1" s="1"/>
  <c r="E344" i="4"/>
  <c r="E533" i="4"/>
  <c r="E531" i="4" s="1"/>
  <c r="E135" i="4"/>
  <c r="I275" i="2"/>
  <c r="E464" i="4"/>
  <c r="E81" i="1" s="1"/>
  <c r="E378" i="4"/>
  <c r="E368" i="4"/>
  <c r="E63" i="1" s="1"/>
  <c r="E347" i="4"/>
  <c r="E523" i="4"/>
  <c r="E520" i="4" s="1"/>
  <c r="E497" i="4"/>
  <c r="E134" i="4"/>
  <c r="E130" i="4"/>
  <c r="E125" i="4"/>
  <c r="E112" i="4"/>
  <c r="E28" i="1" s="1"/>
  <c r="E59" i="4"/>
  <c r="E25" i="1" s="1"/>
  <c r="E44" i="4"/>
  <c r="E17" i="1" s="1"/>
  <c r="E97" i="1"/>
  <c r="E493" i="4"/>
  <c r="E153" i="4"/>
  <c r="E34" i="1" s="1"/>
  <c r="E145" i="4"/>
  <c r="E32" i="1" s="1"/>
  <c r="E141" i="4"/>
  <c r="E31" i="1" s="1"/>
  <c r="E105" i="4"/>
  <c r="E29" i="1" s="1"/>
  <c r="E67" i="4"/>
  <c r="E50" i="4"/>
  <c r="E19" i="1"/>
  <c r="E18" i="1" s="1"/>
  <c r="E36" i="4"/>
  <c r="E473" i="4"/>
  <c r="E83" i="1" s="1"/>
  <c r="E431" i="4"/>
  <c r="E428" i="4" s="1"/>
  <c r="E71" i="1" s="1"/>
  <c r="E424" i="4"/>
  <c r="E415" i="4"/>
  <c r="E406" i="4"/>
  <c r="E397" i="4"/>
  <c r="E68" i="1" s="1"/>
  <c r="E361" i="4"/>
  <c r="E354" i="4"/>
  <c r="E310" i="4"/>
  <c r="E299" i="4"/>
  <c r="E55" i="1" s="1"/>
  <c r="E291" i="4"/>
  <c r="E54" i="1" s="1"/>
  <c r="E271" i="4"/>
  <c r="E51" i="1" s="1"/>
  <c r="E264" i="4"/>
  <c r="E50" i="1" s="1"/>
  <c r="E252" i="4"/>
  <c r="E248" i="4" s="1"/>
  <c r="E48" i="1" s="1"/>
  <c r="E232" i="4"/>
  <c r="E45" i="1" s="1"/>
  <c r="E202" i="4"/>
  <c r="E201" i="4" s="1"/>
  <c r="E42" i="1" s="1"/>
  <c r="E191" i="4"/>
  <c r="E40" i="1" s="1"/>
  <c r="E182" i="4"/>
  <c r="E173" i="4"/>
  <c r="E577" i="4"/>
  <c r="E112" i="1"/>
  <c r="E111" i="1" s="1"/>
  <c r="E565" i="4"/>
  <c r="E553" i="4"/>
  <c r="E551" i="4" s="1"/>
  <c r="E548" i="4"/>
  <c r="E514" i="4"/>
  <c r="E503" i="4"/>
  <c r="E480" i="4"/>
  <c r="E84" i="1" s="1"/>
  <c r="E456" i="4"/>
  <c r="E79" i="1" s="1"/>
  <c r="E447" i="4"/>
  <c r="E78" i="1" s="1"/>
  <c r="E420" i="4"/>
  <c r="E411" i="4"/>
  <c r="E402" i="4"/>
  <c r="E393" i="4"/>
  <c r="E67" i="1" s="1"/>
  <c r="E389" i="4"/>
  <c r="E66" i="1" s="1"/>
  <c r="E334" i="4"/>
  <c r="E321" i="4"/>
  <c r="E57" i="1" s="1"/>
  <c r="E317" i="4"/>
  <c r="E283" i="4"/>
  <c r="E282" i="4" s="1"/>
  <c r="E53" i="1" s="1"/>
  <c r="E277" i="4"/>
  <c r="E52" i="1" s="1"/>
  <c r="E258" i="4"/>
  <c r="E49" i="1" s="1"/>
  <c r="E243" i="4"/>
  <c r="E47" i="1" s="1"/>
  <c r="E238" i="4"/>
  <c r="E46" i="1" s="1"/>
  <c r="E221" i="4"/>
  <c r="E213" i="4" s="1"/>
  <c r="E209" i="4"/>
  <c r="E43" i="1" s="1"/>
  <c r="E165" i="4"/>
  <c r="E161" i="4" s="1"/>
  <c r="L88" i="5"/>
  <c r="C55" i="9"/>
  <c r="L81" i="5"/>
  <c r="L130" i="5"/>
  <c r="D24" i="9" s="1"/>
  <c r="D25" i="9" s="1"/>
  <c r="C23" i="9"/>
  <c r="C24" i="9" s="1"/>
  <c r="C25" i="9" s="1"/>
  <c r="L149" i="5"/>
  <c r="C31" i="9"/>
  <c r="L157" i="5"/>
  <c r="I123" i="5"/>
  <c r="K123" i="5" s="1"/>
  <c r="C105" i="9" s="1"/>
  <c r="K109" i="5"/>
  <c r="L109" i="5" s="1"/>
  <c r="L141" i="5"/>
  <c r="C29" i="9"/>
  <c r="C38" i="9"/>
  <c r="D106" i="6"/>
  <c r="K72" i="5"/>
  <c r="C47" i="9" s="1"/>
  <c r="K159" i="5"/>
  <c r="L159" i="5" s="1"/>
  <c r="D273" i="6"/>
  <c r="D338" i="6" s="1"/>
  <c r="K73" i="5"/>
  <c r="L73" i="5" s="1"/>
  <c r="I13" i="5"/>
  <c r="K13" i="5" s="1"/>
  <c r="L13" i="5" s="1"/>
  <c r="D28" i="6"/>
  <c r="K7" i="5"/>
  <c r="L7" i="5" s="1"/>
  <c r="I28" i="5"/>
  <c r="K28" i="5" s="1"/>
  <c r="L28" i="5" s="1"/>
  <c r="K29" i="5"/>
  <c r="L29" i="5" s="1"/>
  <c r="I40" i="5"/>
  <c r="K41" i="5"/>
  <c r="K90" i="5"/>
  <c r="L90" i="5" s="1"/>
  <c r="I58" i="5"/>
  <c r="K58" i="5" s="1"/>
  <c r="L58" i="5" s="1"/>
  <c r="K59" i="5"/>
  <c r="J37" i="5"/>
  <c r="E562" i="4"/>
  <c r="D190" i="4"/>
  <c r="D189" i="4"/>
  <c r="D188" i="4"/>
  <c r="D187" i="4"/>
  <c r="D186" i="4"/>
  <c r="D185" i="4"/>
  <c r="D183" i="4"/>
  <c r="E66" i="4" l="1"/>
  <c r="C35" i="9"/>
  <c r="E11" i="1"/>
  <c r="E388" i="4"/>
  <c r="E387" i="4" s="1"/>
  <c r="E410" i="4"/>
  <c r="E419" i="4"/>
  <c r="E74" i="1"/>
  <c r="E72" i="1" s="1"/>
  <c r="E35" i="4"/>
  <c r="E25" i="4" s="1"/>
  <c r="E401" i="4"/>
  <c r="E376" i="4"/>
  <c r="E64" i="1" s="1"/>
  <c r="E118" i="1"/>
  <c r="E160" i="4"/>
  <c r="E39" i="1" s="1"/>
  <c r="E38" i="1" s="1"/>
  <c r="E331" i="4"/>
  <c r="E60" i="1" s="1"/>
  <c r="E91" i="1"/>
  <c r="E586" i="4"/>
  <c r="E351" i="4"/>
  <c r="E61" i="1" s="1"/>
  <c r="E120" i="4"/>
  <c r="E30" i="1" s="1"/>
  <c r="E307" i="4"/>
  <c r="E56" i="1" s="1"/>
  <c r="E518" i="4"/>
  <c r="E9" i="1"/>
  <c r="E446" i="4"/>
  <c r="E77" i="1"/>
  <c r="E69" i="1"/>
  <c r="I161" i="5"/>
  <c r="E65" i="4"/>
  <c r="E27" i="1"/>
  <c r="E26" i="1" s="1"/>
  <c r="E90" i="1"/>
  <c r="E159" i="4"/>
  <c r="E44" i="1"/>
  <c r="E463" i="4"/>
  <c r="E510" i="4"/>
  <c r="E547" i="4"/>
  <c r="E544" i="4" s="1"/>
  <c r="E70" i="1"/>
  <c r="E80" i="1"/>
  <c r="L41" i="5"/>
  <c r="D54" i="9" s="1"/>
  <c r="C52" i="9"/>
  <c r="C54" i="9" s="1"/>
  <c r="D205" i="6"/>
  <c r="L59" i="5"/>
  <c r="C45" i="9"/>
  <c r="C51" i="9" s="1"/>
  <c r="L72" i="5"/>
  <c r="D35" i="9"/>
  <c r="L123" i="5"/>
  <c r="C106" i="9"/>
  <c r="C110" i="9" s="1"/>
  <c r="J86" i="5"/>
  <c r="I46" i="5"/>
  <c r="K46" i="5" s="1"/>
  <c r="L46" i="5" s="1"/>
  <c r="I37" i="5"/>
  <c r="K40" i="5"/>
  <c r="L40" i="5" s="1"/>
  <c r="D490" i="4"/>
  <c r="K161" i="5" l="1"/>
  <c r="L161" i="5" s="1"/>
  <c r="I169" i="5"/>
  <c r="E157" i="4"/>
  <c r="E330" i="4"/>
  <c r="E199" i="4" s="1"/>
  <c r="E200" i="4"/>
  <c r="E386" i="4"/>
  <c r="E41" i="1"/>
  <c r="E92" i="1"/>
  <c r="E59" i="1"/>
  <c r="C56" i="9"/>
  <c r="C112" i="9" s="1"/>
  <c r="C115" i="9" s="1"/>
  <c r="E102" i="1"/>
  <c r="E100" i="1" s="1"/>
  <c r="E516" i="4"/>
  <c r="E35" i="1"/>
  <c r="E65" i="1"/>
  <c r="E542" i="4"/>
  <c r="E574" i="4" s="1"/>
  <c r="E103" i="1"/>
  <c r="E106" i="1" s="1"/>
  <c r="D51" i="9"/>
  <c r="D56" i="9" s="1"/>
  <c r="D112" i="9" s="1"/>
  <c r="D115" i="9" s="1"/>
  <c r="J92" i="5"/>
  <c r="I86" i="5"/>
  <c r="I92" i="5" s="1"/>
  <c r="K37" i="5"/>
  <c r="D111" i="4"/>
  <c r="H895" i="3"/>
  <c r="H274" i="2" s="1"/>
  <c r="D584" i="4"/>
  <c r="D585" i="4"/>
  <c r="D117" i="1" s="1"/>
  <c r="D583" i="4"/>
  <c r="D579" i="4"/>
  <c r="D113" i="1" s="1"/>
  <c r="D580" i="4"/>
  <c r="D114" i="1" s="1"/>
  <c r="D581" i="4"/>
  <c r="D115" i="1" s="1"/>
  <c r="D578" i="4"/>
  <c r="D112" i="1" s="1"/>
  <c r="D573" i="4"/>
  <c r="D567" i="4"/>
  <c r="D568" i="4"/>
  <c r="D569" i="4"/>
  <c r="D570" i="4"/>
  <c r="D571" i="4"/>
  <c r="D572" i="4"/>
  <c r="D566" i="4"/>
  <c r="D564" i="4"/>
  <c r="D563" i="4"/>
  <c r="D558" i="4"/>
  <c r="D559" i="4"/>
  <c r="D560" i="4"/>
  <c r="D561" i="4"/>
  <c r="D557" i="4"/>
  <c r="D555" i="4"/>
  <c r="D556" i="4"/>
  <c r="D554" i="4"/>
  <c r="D552" i="4"/>
  <c r="D550" i="4"/>
  <c r="D549" i="4"/>
  <c r="D546" i="4"/>
  <c r="D545" i="4"/>
  <c r="D543" i="4"/>
  <c r="D104" i="1" s="1"/>
  <c r="D513" i="4"/>
  <c r="D96" i="1" s="1"/>
  <c r="D509" i="4"/>
  <c r="D508" i="4"/>
  <c r="D506" i="4"/>
  <c r="D505" i="4"/>
  <c r="D504" i="4"/>
  <c r="D482" i="4"/>
  <c r="D483" i="4"/>
  <c r="D484" i="4"/>
  <c r="D485" i="4"/>
  <c r="D486" i="4"/>
  <c r="D487" i="4"/>
  <c r="D488" i="4"/>
  <c r="D489" i="4"/>
  <c r="D481" i="4"/>
  <c r="D479" i="4"/>
  <c r="D478" i="4"/>
  <c r="D475" i="4"/>
  <c r="D476" i="4"/>
  <c r="D477" i="4"/>
  <c r="D474" i="4"/>
  <c r="D472" i="4"/>
  <c r="D82" i="1" s="1"/>
  <c r="D471" i="4"/>
  <c r="D470" i="4"/>
  <c r="D466" i="4"/>
  <c r="D467" i="4"/>
  <c r="D468" i="4"/>
  <c r="D469" i="4"/>
  <c r="D465" i="4"/>
  <c r="D458" i="4"/>
  <c r="D459" i="4"/>
  <c r="D460" i="4"/>
  <c r="D461" i="4"/>
  <c r="D462" i="4"/>
  <c r="D457" i="4"/>
  <c r="D449" i="4"/>
  <c r="D450" i="4"/>
  <c r="D451" i="4"/>
  <c r="D452" i="4"/>
  <c r="D453" i="4"/>
  <c r="D454" i="4"/>
  <c r="D455" i="4"/>
  <c r="D448" i="4"/>
  <c r="D445" i="4"/>
  <c r="D444" i="4"/>
  <c r="D442" i="4"/>
  <c r="D75" i="1" s="1"/>
  <c r="D441" i="4"/>
  <c r="D440" i="4"/>
  <c r="D437" i="4"/>
  <c r="D73" i="1" s="1"/>
  <c r="D435" i="4"/>
  <c r="D434" i="4"/>
  <c r="D433" i="4"/>
  <c r="D432" i="4"/>
  <c r="D430" i="4"/>
  <c r="D429" i="4"/>
  <c r="D427" i="4"/>
  <c r="D426" i="4"/>
  <c r="D425" i="4"/>
  <c r="D423" i="4"/>
  <c r="D422" i="4"/>
  <c r="D421" i="4"/>
  <c r="D418" i="4"/>
  <c r="D417" i="4"/>
  <c r="D416" i="4"/>
  <c r="D414" i="4"/>
  <c r="D413" i="4"/>
  <c r="D412" i="4"/>
  <c r="D409" i="4"/>
  <c r="D408" i="4"/>
  <c r="D407" i="4"/>
  <c r="D405" i="4"/>
  <c r="D404" i="4"/>
  <c r="D403" i="4"/>
  <c r="D400" i="4"/>
  <c r="D399" i="4"/>
  <c r="D398" i="4"/>
  <c r="D396" i="4"/>
  <c r="D395" i="4"/>
  <c r="D394" i="4"/>
  <c r="D392" i="4"/>
  <c r="D391" i="4"/>
  <c r="D390" i="4"/>
  <c r="D385" i="4"/>
  <c r="D384" i="4"/>
  <c r="D383" i="4"/>
  <c r="D382" i="4"/>
  <c r="D380" i="4"/>
  <c r="D379" i="4"/>
  <c r="D377" i="4"/>
  <c r="D375" i="4"/>
  <c r="D374" i="4"/>
  <c r="D372" i="4"/>
  <c r="D373" i="4"/>
  <c r="D371" i="4"/>
  <c r="D370" i="4"/>
  <c r="D369" i="4"/>
  <c r="D367" i="4"/>
  <c r="D366" i="4"/>
  <c r="D363" i="4"/>
  <c r="D364" i="4"/>
  <c r="D362" i="4"/>
  <c r="D360" i="4"/>
  <c r="D358" i="4"/>
  <c r="D359" i="4"/>
  <c r="D357" i="4"/>
  <c r="D356" i="4"/>
  <c r="D355" i="4"/>
  <c r="D353" i="4"/>
  <c r="D352" i="4"/>
  <c r="D350" i="4"/>
  <c r="D349" i="4"/>
  <c r="D348" i="4"/>
  <c r="D346" i="4"/>
  <c r="D345" i="4"/>
  <c r="D343" i="4"/>
  <c r="D342" i="4"/>
  <c r="D341" i="4"/>
  <c r="D340" i="4"/>
  <c r="D339" i="4"/>
  <c r="D338" i="4"/>
  <c r="D336" i="4"/>
  <c r="D337" i="4"/>
  <c r="D335" i="4"/>
  <c r="D333" i="4"/>
  <c r="D332" i="4"/>
  <c r="D329" i="4"/>
  <c r="D58" i="1" s="1"/>
  <c r="D327" i="4"/>
  <c r="D328" i="4"/>
  <c r="D326" i="4"/>
  <c r="D325" i="4"/>
  <c r="D323" i="4"/>
  <c r="D324" i="4"/>
  <c r="D322" i="4"/>
  <c r="D320" i="4"/>
  <c r="D319" i="4"/>
  <c r="D318" i="4"/>
  <c r="D316" i="4"/>
  <c r="D315" i="4"/>
  <c r="D314" i="4"/>
  <c r="D313" i="4"/>
  <c r="D312" i="4"/>
  <c r="D311" i="4"/>
  <c r="D309" i="4"/>
  <c r="D308" i="4"/>
  <c r="D306" i="4"/>
  <c r="D305" i="4"/>
  <c r="D304" i="4"/>
  <c r="D301" i="4"/>
  <c r="D302" i="4"/>
  <c r="D303" i="4"/>
  <c r="D300" i="4"/>
  <c r="D298" i="4"/>
  <c r="D297" i="4"/>
  <c r="D296" i="4"/>
  <c r="D295" i="4"/>
  <c r="D293" i="4"/>
  <c r="D294" i="4"/>
  <c r="D292" i="4"/>
  <c r="D290" i="4"/>
  <c r="D289" i="4"/>
  <c r="D288" i="4"/>
  <c r="D287" i="4"/>
  <c r="D286" i="4"/>
  <c r="D285" i="4"/>
  <c r="D284" i="4"/>
  <c r="D281" i="4"/>
  <c r="D279" i="4"/>
  <c r="D280" i="4"/>
  <c r="D278" i="4"/>
  <c r="D273" i="4"/>
  <c r="D274" i="4"/>
  <c r="D275" i="4"/>
  <c r="D276" i="4"/>
  <c r="D272" i="4"/>
  <c r="D270" i="4"/>
  <c r="D269" i="4"/>
  <c r="D268" i="4"/>
  <c r="D267" i="4"/>
  <c r="D266" i="4"/>
  <c r="D265" i="4"/>
  <c r="D260" i="4"/>
  <c r="D261" i="4"/>
  <c r="D262" i="4"/>
  <c r="D263" i="4"/>
  <c r="D259" i="4"/>
  <c r="D254" i="4"/>
  <c r="D255" i="4"/>
  <c r="D256" i="4"/>
  <c r="D257" i="4"/>
  <c r="D253" i="4"/>
  <c r="D251" i="4"/>
  <c r="D250" i="4"/>
  <c r="D249" i="4"/>
  <c r="D247" i="4"/>
  <c r="D245" i="4"/>
  <c r="D246" i="4"/>
  <c r="D244" i="4"/>
  <c r="D242" i="4"/>
  <c r="D240" i="4"/>
  <c r="D241" i="4"/>
  <c r="D239" i="4"/>
  <c r="D237" i="4"/>
  <c r="D236" i="4"/>
  <c r="D235" i="4"/>
  <c r="D234" i="4"/>
  <c r="D233" i="4"/>
  <c r="D230" i="4"/>
  <c r="D231" i="4"/>
  <c r="D223" i="4"/>
  <c r="D224" i="4"/>
  <c r="D225" i="4"/>
  <c r="D226" i="4"/>
  <c r="D227" i="4"/>
  <c r="D228" i="4"/>
  <c r="D229" i="4"/>
  <c r="D222" i="4"/>
  <c r="D220" i="4"/>
  <c r="D219" i="4"/>
  <c r="D218" i="4"/>
  <c r="D217" i="4"/>
  <c r="D216" i="4"/>
  <c r="D215" i="4"/>
  <c r="D214" i="4"/>
  <c r="D212" i="4"/>
  <c r="D211" i="4"/>
  <c r="D210" i="4"/>
  <c r="D208" i="4"/>
  <c r="D207" i="4"/>
  <c r="D206" i="4"/>
  <c r="D205" i="4"/>
  <c r="D204" i="4"/>
  <c r="D203" i="4"/>
  <c r="D198" i="4"/>
  <c r="D196" i="4"/>
  <c r="D197" i="4"/>
  <c r="D195" i="4"/>
  <c r="D194" i="4"/>
  <c r="D193" i="4"/>
  <c r="D192" i="4"/>
  <c r="D181" i="4"/>
  <c r="D180" i="4"/>
  <c r="D179" i="4"/>
  <c r="D178" i="4"/>
  <c r="D177" i="4"/>
  <c r="D176" i="4"/>
  <c r="D175" i="4"/>
  <c r="D174" i="4"/>
  <c r="D172" i="4"/>
  <c r="D171" i="4"/>
  <c r="D170" i="4"/>
  <c r="D168" i="4"/>
  <c r="D167" i="4"/>
  <c r="D166" i="4"/>
  <c r="D164" i="4"/>
  <c r="D163" i="4"/>
  <c r="D162" i="4"/>
  <c r="E491" i="4" l="1"/>
  <c r="E85" i="1"/>
  <c r="E87" i="1" s="1"/>
  <c r="E108" i="1" s="1"/>
  <c r="E120" i="1" s="1"/>
  <c r="E575" i="4"/>
  <c r="E587" i="4" s="1"/>
  <c r="L37" i="5"/>
  <c r="K92" i="5"/>
  <c r="L92" i="5" s="1"/>
  <c r="K86" i="5"/>
  <c r="L86" i="5" s="1"/>
  <c r="D541" i="4"/>
  <c r="D540" i="4"/>
  <c r="D539" i="4"/>
  <c r="D538" i="4"/>
  <c r="D537" i="4"/>
  <c r="D536" i="4"/>
  <c r="D535" i="4"/>
  <c r="D534" i="4"/>
  <c r="D532" i="4"/>
  <c r="D530" i="4"/>
  <c r="D529" i="4"/>
  <c r="D528" i="4"/>
  <c r="D527" i="4"/>
  <c r="D526" i="4"/>
  <c r="D525" i="4"/>
  <c r="D524" i="4"/>
  <c r="D522" i="4"/>
  <c r="D521" i="4"/>
  <c r="D519" i="4"/>
  <c r="D517" i="4"/>
  <c r="D101" i="1" s="1"/>
  <c r="D512" i="4"/>
  <c r="D95" i="1" s="1"/>
  <c r="D502" i="4"/>
  <c r="D501" i="4"/>
  <c r="D500" i="4"/>
  <c r="D499" i="4"/>
  <c r="D498" i="4"/>
  <c r="D496" i="4"/>
  <c r="D495" i="4"/>
  <c r="D494" i="4"/>
  <c r="D156" i="4"/>
  <c r="D155" i="4"/>
  <c r="D154" i="4"/>
  <c r="D152" i="4"/>
  <c r="D33" i="1" s="1"/>
  <c r="D151" i="4"/>
  <c r="D150" i="4"/>
  <c r="D149" i="4"/>
  <c r="D148" i="4"/>
  <c r="D147" i="4"/>
  <c r="D146" i="4"/>
  <c r="D144" i="4"/>
  <c r="D143" i="4"/>
  <c r="D142" i="4"/>
  <c r="D140" i="4"/>
  <c r="D139" i="4"/>
  <c r="D138" i="4"/>
  <c r="D137" i="4"/>
  <c r="D136" i="4"/>
  <c r="D133" i="4"/>
  <c r="D132" i="4"/>
  <c r="D131" i="4"/>
  <c r="D129" i="4"/>
  <c r="D128" i="4"/>
  <c r="D127" i="4"/>
  <c r="D126" i="4"/>
  <c r="D124" i="4"/>
  <c r="D123" i="4"/>
  <c r="D121" i="4"/>
  <c r="D119" i="4"/>
  <c r="D118" i="4"/>
  <c r="D117" i="4"/>
  <c r="D116" i="4"/>
  <c r="D115" i="4"/>
  <c r="D114" i="4"/>
  <c r="D113" i="4"/>
  <c r="D110" i="4"/>
  <c r="D109" i="4"/>
  <c r="D108" i="4"/>
  <c r="D107" i="4"/>
  <c r="D106" i="4"/>
  <c r="D33" i="4"/>
  <c r="D32" i="4"/>
  <c r="D104" i="4"/>
  <c r="D103" i="4"/>
  <c r="D102" i="4"/>
  <c r="D101" i="4"/>
  <c r="D100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3" i="4"/>
  <c r="D82" i="4"/>
  <c r="D76" i="4"/>
  <c r="D77" i="4"/>
  <c r="D78" i="4"/>
  <c r="D79" i="4"/>
  <c r="D80" i="4"/>
  <c r="D81" i="4"/>
  <c r="D75" i="4"/>
  <c r="D74" i="4"/>
  <c r="D73" i="4"/>
  <c r="D72" i="4"/>
  <c r="D71" i="4"/>
  <c r="D70" i="4"/>
  <c r="D69" i="4"/>
  <c r="D68" i="4"/>
  <c r="D64" i="4"/>
  <c r="D63" i="4"/>
  <c r="D62" i="4"/>
  <c r="D61" i="4"/>
  <c r="D60" i="4"/>
  <c r="D58" i="4"/>
  <c r="D57" i="4"/>
  <c r="D55" i="4"/>
  <c r="D23" i="1" s="1"/>
  <c r="D54" i="4"/>
  <c r="D22" i="1" s="1"/>
  <c r="D53" i="4"/>
  <c r="D21" i="1" s="1"/>
  <c r="D52" i="4"/>
  <c r="D20" i="1" s="1"/>
  <c r="D51" i="4"/>
  <c r="D19" i="1" s="1"/>
  <c r="D49" i="4"/>
  <c r="D48" i="4"/>
  <c r="D47" i="4"/>
  <c r="D46" i="4"/>
  <c r="D45" i="4"/>
  <c r="D43" i="4"/>
  <c r="D42" i="4"/>
  <c r="D40" i="4"/>
  <c r="D15" i="1" s="1"/>
  <c r="D39" i="4"/>
  <c r="D14" i="1" s="1"/>
  <c r="D38" i="4"/>
  <c r="D13" i="1" s="1"/>
  <c r="D37" i="4"/>
  <c r="D34" i="4"/>
  <c r="D31" i="4"/>
  <c r="D582" i="4"/>
  <c r="D116" i="1" s="1"/>
  <c r="D577" i="4"/>
  <c r="D565" i="4"/>
  <c r="D562" i="4" s="1"/>
  <c r="D553" i="4"/>
  <c r="D551" i="4" s="1"/>
  <c r="D548" i="4"/>
  <c r="D507" i="4"/>
  <c r="D503" i="4"/>
  <c r="D480" i="4"/>
  <c r="D84" i="1" s="1"/>
  <c r="D473" i="4"/>
  <c r="D464" i="4"/>
  <c r="D81" i="1" s="1"/>
  <c r="D456" i="4"/>
  <c r="D79" i="1" s="1"/>
  <c r="D447" i="4"/>
  <c r="D443" i="4"/>
  <c r="D76" i="1" s="1"/>
  <c r="D439" i="4"/>
  <c r="D431" i="4"/>
  <c r="D428" i="4" s="1"/>
  <c r="D71" i="1" s="1"/>
  <c r="D424" i="4"/>
  <c r="D420" i="4"/>
  <c r="D415" i="4"/>
  <c r="D411" i="4"/>
  <c r="D406" i="4"/>
  <c r="D402" i="4"/>
  <c r="D397" i="4"/>
  <c r="D68" i="1" s="1"/>
  <c r="D393" i="4"/>
  <c r="D67" i="1" s="1"/>
  <c r="D389" i="4"/>
  <c r="D66" i="1" s="1"/>
  <c r="D381" i="4"/>
  <c r="D378" i="4"/>
  <c r="D368" i="4"/>
  <c r="D63" i="1" s="1"/>
  <c r="D365" i="4"/>
  <c r="D62" i="1" s="1"/>
  <c r="D361" i="4"/>
  <c r="D354" i="4"/>
  <c r="D347" i="4"/>
  <c r="D344" i="4"/>
  <c r="D334" i="4"/>
  <c r="D321" i="4"/>
  <c r="D57" i="1" s="1"/>
  <c r="D317" i="4"/>
  <c r="D310" i="4"/>
  <c r="D299" i="4"/>
  <c r="D55" i="1" s="1"/>
  <c r="D291" i="4"/>
  <c r="D283" i="4"/>
  <c r="D282" i="4" s="1"/>
  <c r="D277" i="4"/>
  <c r="D52" i="1" s="1"/>
  <c r="D271" i="4"/>
  <c r="D51" i="1" s="1"/>
  <c r="D264" i="4"/>
  <c r="D50" i="1" s="1"/>
  <c r="D258" i="4"/>
  <c r="D252" i="4"/>
  <c r="D248" i="4" s="1"/>
  <c r="D48" i="1" s="1"/>
  <c r="D243" i="4"/>
  <c r="D47" i="1" s="1"/>
  <c r="D238" i="4"/>
  <c r="D46" i="1" s="1"/>
  <c r="D232" i="4"/>
  <c r="D45" i="1" s="1"/>
  <c r="D221" i="4"/>
  <c r="D213" i="4" s="1"/>
  <c r="D44" i="1" s="1"/>
  <c r="D209" i="4"/>
  <c r="D43" i="1" s="1"/>
  <c r="D202" i="4"/>
  <c r="D201" i="4" s="1"/>
  <c r="D42" i="1" s="1"/>
  <c r="D191" i="4"/>
  <c r="D40" i="1" s="1"/>
  <c r="D182" i="4"/>
  <c r="D173" i="4"/>
  <c r="D169" i="4"/>
  <c r="D165" i="4"/>
  <c r="D161" i="4" s="1"/>
  <c r="C24" i="4"/>
  <c r="D105" i="4" l="1"/>
  <c r="D29" i="1" s="1"/>
  <c r="D70" i="1"/>
  <c r="D99" i="4"/>
  <c r="D84" i="4" s="1"/>
  <c r="D160" i="4"/>
  <c r="D307" i="4"/>
  <c r="D56" i="1" s="1"/>
  <c r="D446" i="4"/>
  <c r="D78" i="1"/>
  <c r="D91" i="1"/>
  <c r="D586" i="4"/>
  <c r="D463" i="4"/>
  <c r="D514" i="4"/>
  <c r="D69" i="1"/>
  <c r="D36" i="4"/>
  <c r="D12" i="1"/>
  <c r="D376" i="4"/>
  <c r="D64" i="1" s="1"/>
  <c r="D438" i="4"/>
  <c r="D436" i="4" s="1"/>
  <c r="D74" i="1"/>
  <c r="D547" i="4"/>
  <c r="D544" i="4" s="1"/>
  <c r="D105" i="1" s="1"/>
  <c r="D419" i="4"/>
  <c r="D410" i="4"/>
  <c r="D401" i="4"/>
  <c r="D388" i="4"/>
  <c r="D387" i="4" s="1"/>
  <c r="D351" i="4"/>
  <c r="D61" i="1" s="1"/>
  <c r="D331" i="4"/>
  <c r="D60" i="1" s="1"/>
  <c r="D122" i="4"/>
  <c r="D533" i="4"/>
  <c r="D531" i="4" s="1"/>
  <c r="D523" i="4"/>
  <c r="D520" i="4" s="1"/>
  <c r="D497" i="4"/>
  <c r="D493" i="4"/>
  <c r="D153" i="4"/>
  <c r="D34" i="1" s="1"/>
  <c r="D145" i="4"/>
  <c r="D32" i="1" s="1"/>
  <c r="D141" i="4"/>
  <c r="D31" i="1" s="1"/>
  <c r="D135" i="4"/>
  <c r="D134" i="4" s="1"/>
  <c r="D130" i="4"/>
  <c r="D125" i="4"/>
  <c r="D112" i="4"/>
  <c r="D28" i="1" s="1"/>
  <c r="D67" i="4"/>
  <c r="H273" i="2"/>
  <c r="H275" i="2" s="1"/>
  <c r="D30" i="4"/>
  <c r="D41" i="4"/>
  <c r="D16" i="1" s="1"/>
  <c r="D59" i="4"/>
  <c r="D25" i="1" s="1"/>
  <c r="D56" i="4"/>
  <c r="D24" i="1" s="1"/>
  <c r="D50" i="4"/>
  <c r="D44" i="4"/>
  <c r="D17" i="1" s="1"/>
  <c r="D27" i="4" l="1"/>
  <c r="D26" i="4" s="1"/>
  <c r="D10" i="1" s="1"/>
  <c r="D65" i="1"/>
  <c r="D200" i="4"/>
  <c r="D159" i="4"/>
  <c r="D90" i="1"/>
  <c r="D542" i="4"/>
  <c r="D386" i="4"/>
  <c r="D330" i="4"/>
  <c r="D518" i="4"/>
  <c r="D102" i="1" s="1"/>
  <c r="D510" i="4"/>
  <c r="D120" i="4"/>
  <c r="D30" i="1" s="1"/>
  <c r="D66" i="4"/>
  <c r="D35" i="4"/>
  <c r="D25" i="4" l="1"/>
  <c r="D199" i="4"/>
  <c r="D491" i="4" s="1"/>
  <c r="D65" i="4"/>
  <c r="D27" i="1"/>
  <c r="D516" i="4"/>
  <c r="D574" i="4" s="1"/>
  <c r="D157" i="4" l="1"/>
  <c r="D575" i="4" s="1"/>
  <c r="D587" i="4" s="1"/>
  <c r="F117" i="1"/>
  <c r="G117" i="1" s="1"/>
  <c r="F116" i="1"/>
  <c r="G116" i="1" s="1"/>
  <c r="F115" i="1"/>
  <c r="G115" i="1" s="1"/>
  <c r="F114" i="1"/>
  <c r="G114" i="1" s="1"/>
  <c r="F113" i="1"/>
  <c r="G113" i="1" s="1"/>
  <c r="D111" i="1"/>
  <c r="D103" i="1"/>
  <c r="D100" i="1"/>
  <c r="F99" i="1"/>
  <c r="G99" i="1" s="1"/>
  <c r="F98" i="1"/>
  <c r="G98" i="1" s="1"/>
  <c r="F96" i="1"/>
  <c r="G96" i="1" s="1"/>
  <c r="D97" i="1"/>
  <c r="F94" i="1"/>
  <c r="G94" i="1" s="1"/>
  <c r="F93" i="1"/>
  <c r="G93" i="1" s="1"/>
  <c r="F91" i="1"/>
  <c r="G91" i="1" s="1"/>
  <c r="D92" i="1"/>
  <c r="F89" i="1"/>
  <c r="G89" i="1" s="1"/>
  <c r="F88" i="1"/>
  <c r="G88" i="1" s="1"/>
  <c r="F84" i="1"/>
  <c r="G84" i="1" s="1"/>
  <c r="F83" i="1"/>
  <c r="G83" i="1" s="1"/>
  <c r="F82" i="1"/>
  <c r="G82" i="1" s="1"/>
  <c r="F81" i="1"/>
  <c r="G81" i="1" s="1"/>
  <c r="D80" i="1"/>
  <c r="F80" i="1" s="1"/>
  <c r="G80" i="1" s="1"/>
  <c r="F79" i="1"/>
  <c r="G79" i="1" s="1"/>
  <c r="D77" i="1"/>
  <c r="F77" i="1" s="1"/>
  <c r="G77" i="1" s="1"/>
  <c r="D72" i="1"/>
  <c r="F64" i="1"/>
  <c r="G64" i="1" s="1"/>
  <c r="F63" i="1"/>
  <c r="G63" i="1" s="1"/>
  <c r="F62" i="1"/>
  <c r="G62" i="1" s="1"/>
  <c r="F61" i="1"/>
  <c r="G61" i="1" s="1"/>
  <c r="D59" i="1"/>
  <c r="F59" i="1" s="1"/>
  <c r="G59" i="1" s="1"/>
  <c r="D41" i="1"/>
  <c r="F39" i="1"/>
  <c r="G39" i="1" s="1"/>
  <c r="D26" i="1"/>
  <c r="D18" i="1"/>
  <c r="D11" i="1"/>
  <c r="D9" i="1" l="1"/>
  <c r="D35" i="1" s="1"/>
  <c r="F35" i="1" s="1"/>
  <c r="G35" i="1" s="1"/>
  <c r="F97" i="1"/>
  <c r="G97" i="1" s="1"/>
  <c r="F92" i="1"/>
  <c r="G92" i="1" s="1"/>
  <c r="D38" i="1"/>
  <c r="D85" i="1" s="1"/>
  <c r="F85" i="1" s="1"/>
  <c r="G85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41" i="1"/>
  <c r="G41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65" i="1"/>
  <c r="G65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102" i="1"/>
  <c r="G102" i="1" s="1"/>
  <c r="F103" i="1"/>
  <c r="G103" i="1" s="1"/>
  <c r="F104" i="1"/>
  <c r="G104" i="1" s="1"/>
  <c r="F105" i="1"/>
  <c r="G105" i="1" s="1"/>
  <c r="D106" i="1"/>
  <c r="F106" i="1" s="1"/>
  <c r="G106" i="1" s="1"/>
  <c r="F100" i="1"/>
  <c r="G100" i="1" s="1"/>
  <c r="F111" i="1"/>
  <c r="G111" i="1" s="1"/>
  <c r="D118" i="1"/>
  <c r="F118" i="1" s="1"/>
  <c r="G118" i="1" s="1"/>
  <c r="F40" i="1"/>
  <c r="G40" i="1" s="1"/>
  <c r="F42" i="1"/>
  <c r="G42" i="1" s="1"/>
  <c r="F60" i="1"/>
  <c r="G60" i="1" s="1"/>
  <c r="F66" i="1"/>
  <c r="G66" i="1" s="1"/>
  <c r="F78" i="1"/>
  <c r="G78" i="1" s="1"/>
  <c r="F101" i="1"/>
  <c r="G101" i="1" s="1"/>
  <c r="F112" i="1"/>
  <c r="G112" i="1" s="1"/>
  <c r="F90" i="1"/>
  <c r="G90" i="1" s="1"/>
  <c r="F95" i="1"/>
  <c r="G95" i="1" s="1"/>
  <c r="F38" i="1" l="1"/>
  <c r="G38" i="1" s="1"/>
  <c r="F9" i="1"/>
  <c r="G9" i="1" s="1"/>
  <c r="D87" i="1"/>
  <c r="D108" i="1" s="1"/>
  <c r="F87" i="1" l="1"/>
  <c r="G87" i="1" s="1"/>
  <c r="D120" i="1"/>
  <c r="F120" i="1" s="1"/>
  <c r="G120" i="1" s="1"/>
  <c r="F108" i="1"/>
  <c r="G108" i="1" s="1"/>
</calcChain>
</file>

<file path=xl/comments1.xml><?xml version="1.0" encoding="utf-8"?>
<comments xmlns="http://schemas.openxmlformats.org/spreadsheetml/2006/main">
  <authors>
    <author>Biasutti Elisabetta</author>
  </authors>
  <commentList>
    <comment ref="D160" authorId="0" shapeId="0">
      <text>
        <r>
          <rPr>
            <b/>
            <sz val="9"/>
            <color indexed="81"/>
            <rFont val="Tahoma"/>
            <family val="2"/>
          </rPr>
          <t>Biasutti Elisabetta:</t>
        </r>
        <r>
          <rPr>
            <sz val="9"/>
            <color indexed="81"/>
            <rFont val="Tahoma"/>
            <family val="2"/>
          </rPr>
          <t xml:space="preserve">
tolto D184 che era sommato doppio
</t>
        </r>
      </text>
    </comment>
    <comment ref="I160" authorId="0" shapeId="0">
      <text>
        <r>
          <rPr>
            <b/>
            <sz val="9"/>
            <color indexed="81"/>
            <rFont val="Tahoma"/>
            <family val="2"/>
          </rPr>
          <t>Biasutti Elisabetta:</t>
        </r>
        <r>
          <rPr>
            <sz val="9"/>
            <color indexed="81"/>
            <rFont val="Tahoma"/>
            <family val="2"/>
          </rPr>
          <t xml:space="preserve">
tolto D184 che era sommato doppio
</t>
        </r>
      </text>
    </comment>
  </commentList>
</comments>
</file>

<file path=xl/sharedStrings.xml><?xml version="1.0" encoding="utf-8"?>
<sst xmlns="http://schemas.openxmlformats.org/spreadsheetml/2006/main" count="5405" uniqueCount="3490">
  <si>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</si>
  <si>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</si>
  <si>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</si>
  <si>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</si>
  <si>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</si>
  <si>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</si>
  <si>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</si>
  <si>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</si>
  <si>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</si>
  <si>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</si>
  <si>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</si>
  <si>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</si>
  <si>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</si>
  <si>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</si>
  <si>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</si>
  <si>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</si>
  <si>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</si>
  <si>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</si>
  <si>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</si>
  <si>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</si>
  <si>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</si>
  <si>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</si>
  <si>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</si>
  <si>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</si>
  <si>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</si>
  <si>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</si>
  <si>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</si>
  <si>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</si>
  <si>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</si>
  <si>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</si>
  <si>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</si>
  <si>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</si>
  <si>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</si>
  <si>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</si>
  <si>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</si>
  <si>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</si>
  <si>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</si>
  <si>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</si>
  <si>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</si>
  <si>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</si>
  <si>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</si>
  <si>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</si>
  <si>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</si>
  <si>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</si>
  <si>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</si>
  <si>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</si>
  <si>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</si>
  <si>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</si>
  <si>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</si>
  <si>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</si>
  <si>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</si>
  <si>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</si>
  <si>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</si>
  <si>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</si>
  <si>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</si>
  <si>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</si>
  <si>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</si>
  <si>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</si>
  <si>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</si>
  <si>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</si>
  <si>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</si>
  <si>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</si>
  <si>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</si>
  <si>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</si>
  <si>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</si>
  <si>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</si>
  <si>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</si>
  <si>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</si>
  <si>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</si>
  <si>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</si>
  <si>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</si>
  <si>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</si>
  <si>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</si>
  <si>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</si>
  <si>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</si>
  <si>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</si>
  <si>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</si>
  <si>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</si>
  <si>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</si>
  <si>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</si>
  <si>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</si>
  <si>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</si>
  <si>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</si>
  <si>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</si>
  <si>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</si>
  <si>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</si>
  <si>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</si>
  <si>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</si>
  <si>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</si>
  <si>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</si>
  <si>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</si>
  <si>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</si>
  <si>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</si>
  <si>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</si>
  <si>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</si>
  <si>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</si>
  <si>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</si>
  <si>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</si>
  <si>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</si>
  <si>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</si>
  <si>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</si>
  <si>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</si>
  <si>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</si>
  <si>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</si>
  <si>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</si>
  <si>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</si>
  <si>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</si>
  <si>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</si>
  <si>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</si>
  <si>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</si>
  <si>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</si>
  <si>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</si>
  <si>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</si>
  <si>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</si>
  <si>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</si>
  <si>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</si>
  <si>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</si>
  <si>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</si>
  <si>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</si>
  <si>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</si>
  <si>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Livello</t>
  </si>
  <si>
    <t xml:space="preserve"> VOCE MODELLO CE</t>
  </si>
  <si>
    <t>CODICE VOCE CE Ministeriale</t>
  </si>
  <si>
    <t>I</t>
  </si>
  <si>
    <t>II</t>
  </si>
  <si>
    <t>III</t>
  </si>
  <si>
    <t>IV</t>
  </si>
  <si>
    <t>V</t>
  </si>
  <si>
    <t>VI</t>
  </si>
  <si>
    <t>Contributi in c/esercizio</t>
  </si>
  <si>
    <t>Contributi da Regione o Prov. Aut. per quota F.S. regionale</t>
  </si>
  <si>
    <t>da Regione o Prov. Aut. per quota F.S. regionale indistinto</t>
  </si>
  <si>
    <t>AA0030</t>
  </si>
  <si>
    <t>AA0031</t>
  </si>
  <si>
    <t>Finanziamento indistinto finalizzato da Regione</t>
  </si>
  <si>
    <t>AA0032</t>
  </si>
  <si>
    <t>AA0033</t>
  </si>
  <si>
    <t>Funzioni Pronto Soccorso</t>
  </si>
  <si>
    <t>AA0034</t>
  </si>
  <si>
    <t>Funzioni Altro</t>
  </si>
  <si>
    <t>AA0035</t>
  </si>
  <si>
    <t>Quota finalizzata per il Piano aziendale di cui all'art. 1, comma 528, L. 208/2015</t>
  </si>
  <si>
    <t>AA0036</t>
  </si>
  <si>
    <t>da Regione o Prov. Aut. per quota F.S. regionale vincolato</t>
  </si>
  <si>
    <t>AA0040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</si>
  <si>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</si>
  <si>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</si>
  <si>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</si>
  <si>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</si>
  <si>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>AA0050</t>
  </si>
  <si>
    <t xml:space="preserve">da Regione o Prov. Aut. (extra fondo) </t>
  </si>
  <si>
    <t>AA0060</t>
  </si>
  <si>
    <t>Contributi da Regione o Prov. Aut. (extra fondo) vincolati</t>
  </si>
  <si>
    <t>AA0070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</si>
  <si>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</si>
  <si>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</si>
  <si>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</si>
  <si>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</si>
  <si>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</si>
  <si>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</si>
  <si>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r>
      <t xml:space="preserve">Contributi da Regione o Prov. Aut. (extra fondo) - Risorse aggiuntive da bilancio regionale a titolo di copertura </t>
    </r>
    <r>
      <rPr>
        <b/>
        <u/>
        <sz val="10"/>
        <rFont val="DecimaWE Rg"/>
      </rPr>
      <t>LEA</t>
    </r>
  </si>
  <si>
    <t>AA0080</t>
  </si>
  <si>
    <r>
      <t xml:space="preserve">Contributi da Regione o Prov. Aut. (extra fondo) - Risorse aggiuntive da bilancio regionale a titolo di copertura </t>
    </r>
    <r>
      <rPr>
        <b/>
        <u/>
        <sz val="10"/>
        <rFont val="DecimaWE Rg"/>
      </rPr>
      <t>extra LEA</t>
    </r>
  </si>
  <si>
    <t>AA0090</t>
  </si>
  <si>
    <t>Contributi da Regione o Prov. Aut. (extra fondo) - Altro</t>
  </si>
  <si>
    <t>AA0100</t>
  </si>
  <si>
    <t xml:space="preserve">Contributi da Aziende sanitarie pubbliche della Regione o Prov. Aut. (extra fondo) </t>
  </si>
  <si>
    <t>AA0110</t>
  </si>
  <si>
    <t>Contributi da Aziende sanitarie pubbliche della Regione o Prov. Aut. (extra fondo) vincolati</t>
  </si>
  <si>
    <t>AA0120</t>
  </si>
  <si>
    <t>Contributi da Aziende sanitarie pubbliche della Regione o Prov. Aut. (extra fondo) altro</t>
  </si>
  <si>
    <t>AA0130</t>
  </si>
  <si>
    <t xml:space="preserve">Contributi da Ministero della Salute e da altri soggetti pubblici (extra fondo) </t>
  </si>
  <si>
    <t>AA0140</t>
  </si>
  <si>
    <t xml:space="preserve">Contributi da Ministero della Salute  (extra fondo) </t>
  </si>
  <si>
    <t>AA0141</t>
  </si>
  <si>
    <t>Contributi da altri soggetti pubblici (extra fondo) vincolati</t>
  </si>
  <si>
    <t>AA0150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</si>
  <si>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</si>
  <si>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</si>
  <si>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</si>
  <si>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</si>
  <si>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</si>
  <si>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</si>
  <si>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</si>
  <si>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AA0160</t>
  </si>
  <si>
    <t>Contributi da altri soggetti pubblici (extra fondo) altro</t>
  </si>
  <si>
    <t>AA0170</t>
  </si>
  <si>
    <t>Contibuti da altri soggetti pubblici (extra fondo) - in attuazione dell’art.79, comma 1 sexies lettera c), del D.L. 112/2008, convertito con legge 133/2008 e della legge 23 dicembre 2009 n. 191</t>
  </si>
  <si>
    <t>AA0171</t>
  </si>
  <si>
    <t>Contributi c/esercizio per ricerca</t>
  </si>
  <si>
    <t>AA0180</t>
  </si>
  <si>
    <t>Contributi da Ministero della Salute per ricerca corrente</t>
  </si>
  <si>
    <t>AA0190</t>
  </si>
  <si>
    <t>Contributi da Ministero della Salute per ricerca finalizzata</t>
  </si>
  <si>
    <t>AA0200</t>
  </si>
  <si>
    <t>Contributi da Regione ed altri soggetti pubblici per ricerca</t>
  </si>
  <si>
    <t>AA0210</t>
  </si>
  <si>
    <t>Ricerca da Regione</t>
  </si>
  <si>
    <t>Ricerca da altri</t>
  </si>
  <si>
    <t>Contributi da privati per ricerca</t>
  </si>
  <si>
    <t>AA0220</t>
  </si>
  <si>
    <t>Contributi c/esercizio da privati</t>
  </si>
  <si>
    <t>AA0230</t>
  </si>
  <si>
    <t>Rettifica contributi c/esercizio per destinazione ad investimenti</t>
  </si>
  <si>
    <t>AA0240</t>
  </si>
  <si>
    <t>Rettifica contributi in c/esercizio per destinazione ad investimenti - da Regione o Prov. Aut. per quota F.S. regionale</t>
  </si>
  <si>
    <t>AA0250</t>
  </si>
  <si>
    <t>Rettifica contributi in c/esercizio per destinazione ad investimenti - altri contributi</t>
  </si>
  <si>
    <t>AA0260</t>
  </si>
  <si>
    <t>Utilizzo fondi per quote inutilizzate contributi finalizzati e vincolati di esercizi precedenti</t>
  </si>
  <si>
    <t>AA0270</t>
  </si>
  <si>
    <t>Utilizzo fondi per quote inutilizzate contributi di esercizi precedenti da Regione o Prov. Aut. per quota F.S. regionale indistinto finalizzato</t>
  </si>
  <si>
    <t>AA0271</t>
  </si>
  <si>
    <t>Utilizzo fondi per quote inutilizzate contributi di esercizi precedenti da Regione o Prov. Aut. per quota F.S. regionale vincolato</t>
  </si>
  <si>
    <t>AA0280</t>
  </si>
  <si>
    <t>Utilizzo fondi per quote inutilizzate contributi di esercizi precedenti da soggetti pubblici (extra fondo) vincolati</t>
  </si>
  <si>
    <t>AA0290</t>
  </si>
  <si>
    <t>Utilizzo fondi per quote inutilizzate contributi di esercizi precedenti per ricerca</t>
  </si>
  <si>
    <t>AA0300</t>
  </si>
  <si>
    <t>Utilizzo fondi per quote inutilizzate contributi vincolati di esercizi precedenti da privati</t>
  </si>
  <si>
    <t>AA0310</t>
  </si>
  <si>
    <t>AA320</t>
  </si>
  <si>
    <t xml:space="preserve">Ricavi per prestazioni sanitarie e sociosanitarie a rilevanza sanitaria erogate a soggetti pubblici </t>
  </si>
  <si>
    <t>AA0330</t>
  </si>
  <si>
    <t>Ricavi per prestaz. sanitarie  e sociosanitarie a rilevanza sanitaria erogate ad Aziende sanitarie pubbliche della Regione</t>
  </si>
  <si>
    <t>AA0340</t>
  </si>
  <si>
    <t>Prestazioni di ricovero</t>
  </si>
  <si>
    <t>AA0350</t>
  </si>
  <si>
    <t>Rimborso per prestazioni in regime di ricovero (DRG)</t>
  </si>
  <si>
    <t>Rimborso per prestazioni fatturate in regime di ricovero</t>
  </si>
  <si>
    <t>Prestazioni di specialistica ambulatoriale</t>
  </si>
  <si>
    <t>AA0360</t>
  </si>
  <si>
    <t>Rimborso per prestazioni ambulatoriali e diagnostiche</t>
  </si>
  <si>
    <t>Rimborso per prestazioni ambulatoriali e diagnostiche fatturate</t>
  </si>
  <si>
    <t>AA0361</t>
  </si>
  <si>
    <t>Prestazioni di psichiatria residenziale e semiresidenziale</t>
  </si>
  <si>
    <t>AA0370</t>
  </si>
  <si>
    <t>Prestazioni di File F</t>
  </si>
  <si>
    <t>AA0380</t>
  </si>
  <si>
    <t>Prestazioni servizi MMG, PLS, Contin. assistenziale</t>
  </si>
  <si>
    <t>AA0390</t>
  </si>
  <si>
    <t>Prestazioni servizi farmaceutica convenzionata</t>
  </si>
  <si>
    <t>AA0400</t>
  </si>
  <si>
    <t>Prestazioni termali</t>
  </si>
  <si>
    <t>AA0410</t>
  </si>
  <si>
    <t>Prestazioni trasporto ambulanze ed elisoccorso</t>
  </si>
  <si>
    <t>AA0420</t>
  </si>
  <si>
    <t>Prestazioni assistenza integrativa</t>
  </si>
  <si>
    <t>AA0421</t>
  </si>
  <si>
    <t>Prestazioni assistenza protesica</t>
  </si>
  <si>
    <t>AA0422</t>
  </si>
  <si>
    <t>Prestazioni assistenza riabilitativa extraospedaliera</t>
  </si>
  <si>
    <t>AA0423</t>
  </si>
  <si>
    <t>Ricavi per cessione di emocomponenti e cellule staminali</t>
  </si>
  <si>
    <t>AA0424</t>
  </si>
  <si>
    <t>Prestazioni assistenza domiciliare integrata (ADI)</t>
  </si>
  <si>
    <t>AA0425</t>
  </si>
  <si>
    <t xml:space="preserve">Altre prestazioni sanitarie e socio-sanitarie a rilevanza sanitaria </t>
  </si>
  <si>
    <t>AA0430</t>
  </si>
  <si>
    <t>Consulenze sanitarie</t>
  </si>
  <si>
    <t xml:space="preserve">Ricavi per prestaz. sanitarie e sociosanitarie a rilevanza sanitaria erogate ad altri soggetti pubblici </t>
  </si>
  <si>
    <t>AA0440</t>
  </si>
  <si>
    <t>Ricavi per prestaz. sanitarie e sociosanitarie a rilevanza sanitaria erogate a soggetti pubblici Extraregione</t>
  </si>
  <si>
    <t>AA0450</t>
  </si>
  <si>
    <t>AA0460</t>
  </si>
  <si>
    <t>Rimborso per prestazioni in regime di ricovero in compensazione</t>
  </si>
  <si>
    <t>Prestazioni ambulatoriali</t>
  </si>
  <si>
    <t>AA0470</t>
  </si>
  <si>
    <t>Rimborso per prestazioni ambulatoriali e diagnostiche in compensazione</t>
  </si>
  <si>
    <t>Prestazioni pronto soccorso non seguite da ricovero</t>
  </si>
  <si>
    <t>AA0471</t>
  </si>
  <si>
    <t>Prestazioni di psichiatria non soggetta a compensazione (resid. e semiresid.)</t>
  </si>
  <si>
    <t>AA0480</t>
  </si>
  <si>
    <t>AA0490</t>
  </si>
  <si>
    <t>Prestazioni servizi MMG, PLS, Contin. assistenziale Extraregione</t>
  </si>
  <si>
    <t>AA0500</t>
  </si>
  <si>
    <t>Prestazioni servizi farmaceutica convenzionata Extraregione</t>
  </si>
  <si>
    <t>AA0510</t>
  </si>
  <si>
    <t>Prestazioni termali Extraregione</t>
  </si>
  <si>
    <t>AA0520</t>
  </si>
  <si>
    <t>Prestazioni trasporto ambulanze ed elisoccorso Extraregione</t>
  </si>
  <si>
    <t>AA0530</t>
  </si>
  <si>
    <t>Prestazioni assistenza integrativa da pubblico (extraregione)</t>
  </si>
  <si>
    <t>AA0541</t>
  </si>
  <si>
    <t>Prestazioni assistenza protesica da pubblico (extraregione)</t>
  </si>
  <si>
    <t>AA0542</t>
  </si>
  <si>
    <t>Ricavi per cessione di emocomponenti e cellule staminali Extraregione</t>
  </si>
  <si>
    <t>AA0550</t>
  </si>
  <si>
    <t>AA0560</t>
  </si>
  <si>
    <t>Ricavi GSA per differenziale saldo mobilità interregionale</t>
  </si>
  <si>
    <t>Altre prestazioni sanitarie e sociosanitarie a rilevanza sanitaria erogate a soggetti pubblici Extraregione</t>
  </si>
  <si>
    <t>AA0561</t>
  </si>
  <si>
    <t>Altre prestazioni sanitarie e sociosanitarie a rilevanza sanitaria non soggette a compensazione Extraregione</t>
  </si>
  <si>
    <t>AA0570</t>
  </si>
  <si>
    <t>Prestazioni di assistenza riabilitativa non soggette a compensazione Extraregione</t>
  </si>
  <si>
    <t>AA0580</t>
  </si>
  <si>
    <t>Altre prestazioni sanitarie e socio-sanitarie a rilevanza sanitaria non soggette a compensazione Extraregione</t>
  </si>
  <si>
    <t>AA0590</t>
  </si>
  <si>
    <t>Altre prestazioni sanitarie a rilevanza sanitaria - Mobilità attiva Internazionale</t>
  </si>
  <si>
    <t>AA0600</t>
  </si>
  <si>
    <t>Altre prestazioni sanitarie a rilevanza sanitaria - Mobilità attiva Internazionale rilevata dalle AO, AOU, IRCCS.</t>
  </si>
  <si>
    <t>AA0601</t>
  </si>
  <si>
    <t>Altre prestazioni sanitarie e sociosanitarie a rilevanza sanitaria ad Aziende sanitarie e casse mutua estera - (fatturate direttamente)</t>
  </si>
  <si>
    <t>AA0602</t>
  </si>
  <si>
    <t>Ricavi per prestazioni sanitarie e sociosanitarie a rilevanza sanitaria erogate da privati v/residenti Extraregione in compensazione (mobilità attiva)</t>
  </si>
  <si>
    <t>AA0610</t>
  </si>
  <si>
    <t>Prestazioni di ricovero da priv. Extraregione in compensazione (mobilità attiva)</t>
  </si>
  <si>
    <t>AA0620</t>
  </si>
  <si>
    <t>Prestazioni ambulatoriali da priv. Extraregione in compensazione  (mobilità attiva)</t>
  </si>
  <si>
    <t>AA0630</t>
  </si>
  <si>
    <t>Prestazioni  di pronto soccorso non segute da ricovero da priv. Extraregione in compensazione  (mobilità attiva)</t>
  </si>
  <si>
    <t>AA0631</t>
  </si>
  <si>
    <t>Prestazioni di File F da priv. Extraregione in compensazione (mobilità attiva)</t>
  </si>
  <si>
    <t>AA0640</t>
  </si>
  <si>
    <t>Altre prestazioni sanitarie e sociosanitarie a rilevanza sanitaria erogate da privati v/residenti Extraregione in compensazione (mobilità attiva)</t>
  </si>
  <si>
    <t>AA0650</t>
  </si>
  <si>
    <t xml:space="preserve">Ricavi per prestazioni sanitarie e sociosanitarie a rilevanza sanitaria erogate a privati </t>
  </si>
  <si>
    <t>AA0660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</si>
  <si>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</si>
  <si>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</si>
  <si>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</si>
  <si>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</si>
  <si>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</si>
  <si>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</si>
  <si>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</si>
  <si>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</si>
  <si>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</si>
  <si>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</si>
  <si>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</si>
  <si>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</si>
  <si>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</si>
  <si>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</si>
  <si>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</si>
  <si>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</si>
  <si>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</si>
  <si>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</si>
  <si>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</si>
  <si>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</si>
  <si>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</si>
  <si>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</si>
  <si>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</si>
  <si>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</si>
  <si>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</si>
  <si>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</si>
  <si>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</si>
  <si>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</si>
  <si>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</si>
  <si>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</si>
  <si>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</si>
  <si>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</si>
  <si>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</si>
  <si>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</si>
  <si>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</si>
  <si>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</si>
  <si>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AA0680</t>
  </si>
  <si>
    <t>Ricavi per prestazioni sanitarie intramoenia - Area specialistica</t>
  </si>
  <si>
    <t>AA0690</t>
  </si>
  <si>
    <t>Ricavi per prestazioni sanitarie intramoenia - Area sanità pubblica</t>
  </si>
  <si>
    <t>AA0700</t>
  </si>
  <si>
    <t>Ricavi per prestazioni sanitarie intramoenia - Consulenze (ex art. 55 c.1 lett. c), d) ed ex art. 57-58)</t>
  </si>
  <si>
    <t>AA0710</t>
  </si>
  <si>
    <t>Ricavi per prestazioni sanitarie intramoenia - Consulenze (ex art. 55 c.1 lett. c), d) ed ex art. 57-58) (Aziende sanitarie pubbliche della Regione)</t>
  </si>
  <si>
    <t>AA0720</t>
  </si>
  <si>
    <t>Ricavi per prestazioni sanitarie intramoenia - Altro</t>
  </si>
  <si>
    <t>AA0730</t>
  </si>
  <si>
    <t>Ricavi per prestazioni sanitarie intramoenia - Altro (Aziende sanitarie pubbliche della Regione)</t>
  </si>
  <si>
    <t>AA0740</t>
  </si>
  <si>
    <t>Concorsi, recuperi e rimborsi</t>
  </si>
  <si>
    <t>Rimborsi assicurativi</t>
  </si>
  <si>
    <t>AA0760</t>
  </si>
  <si>
    <t>Concorsi, recuperi e rimborsi da Regione</t>
  </si>
  <si>
    <t>Rimborso degli oneri stipendiali del personale dell'azienda in posizione di comando presso la Regione</t>
  </si>
  <si>
    <t>AA0780</t>
  </si>
  <si>
    <t>Altri concorsi, recuperi e rimborsi da parte della Regione</t>
  </si>
  <si>
    <t>AA0790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</si>
  <si>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</si>
  <si>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</si>
  <si>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AA0810</t>
  </si>
  <si>
    <t>Rimborsi per acquisto beni da parte di Aziende sanitarie pubbliche della Regione</t>
  </si>
  <si>
    <t>AA0820</t>
  </si>
  <si>
    <t>Altri concorsi, recuperi e rimborsi da parte di Aziende sanitarie pubbliche della Regione</t>
  </si>
  <si>
    <t>AA0830</t>
  </si>
  <si>
    <t>Consulenze non sanitarie</t>
  </si>
  <si>
    <t>Altri concorsi, recuperi e rimborsi</t>
  </si>
  <si>
    <t>Altri concorsi, recuperi e rimborsi da parte della Regione - GSA</t>
  </si>
  <si>
    <t>AA0831</t>
  </si>
  <si>
    <t>Concorsi, recuperi e rimborsi da altri soggetti pubblici</t>
  </si>
  <si>
    <t>AA0840</t>
  </si>
  <si>
    <t>Rimborso degli oneri stipendiali del personale dipendente dell'azienda in posizione di comando presso altri soggetti pubblici</t>
  </si>
  <si>
    <t>AA0850</t>
  </si>
  <si>
    <t>Rimborsi per acquisto beni da parte di altri soggetti pubblici</t>
  </si>
  <si>
    <t>AA0860</t>
  </si>
  <si>
    <t>Altri concorsi, recuperi e rimborsi da parte di altri soggetti pubblici</t>
  </si>
  <si>
    <t>AA0870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</si>
  <si>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</si>
  <si>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</si>
  <si>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</si>
  <si>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</si>
  <si>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</si>
  <si>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</si>
  <si>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AA0880</t>
  </si>
  <si>
    <t>Rimborso da aziende farmaceutiche per Pay back</t>
  </si>
  <si>
    <t>AA0890</t>
  </si>
  <si>
    <t>Pay-back per il superamento del tetto della spesa farmaceutica territoriale</t>
  </si>
  <si>
    <t>AA0900</t>
  </si>
  <si>
    <t>Pay-back per superamento del tetto della spesa farmaceutica ospedaliera</t>
  </si>
  <si>
    <t>AA0910</t>
  </si>
  <si>
    <t>Ulteriore Pay-back</t>
  </si>
  <si>
    <t>AA0920</t>
  </si>
  <si>
    <t>Rimborso per Pay back sui dispositivi medici</t>
  </si>
  <si>
    <t>AA0921</t>
  </si>
  <si>
    <t>Altri concorsi, recuperi e rimborsi da privati</t>
  </si>
  <si>
    <t>AA0930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</si>
  <si>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</si>
  <si>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</si>
  <si>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</si>
  <si>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</si>
  <si>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</si>
  <si>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</si>
  <si>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</si>
  <si>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</si>
  <si>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</si>
  <si>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</si>
  <si>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</si>
  <si>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</si>
  <si>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</si>
  <si>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AA0940</t>
  </si>
  <si>
    <t>AA0950</t>
  </si>
  <si>
    <t>Compartecipazione alla spesa per prestazioni sanitarie - Ticket sul pronto soccorso</t>
  </si>
  <si>
    <t>AA0960</t>
  </si>
  <si>
    <t>Compartecipazione alla spesa per prestazioni sanitarie (Ticket) - Altro</t>
  </si>
  <si>
    <t>AA0970</t>
  </si>
  <si>
    <t>Quota contributi c/capitale imputata all'esercizio</t>
  </si>
  <si>
    <t>AA0980</t>
  </si>
  <si>
    <t>Quota imputata all'esercizio dei finanziamenti per investimenti dallo Stato</t>
  </si>
  <si>
    <t>AA0990</t>
  </si>
  <si>
    <t xml:space="preserve">Quota imputata all'esercizio dei finanziamenti per investimenti da Regione </t>
  </si>
  <si>
    <t>AA1000</t>
  </si>
  <si>
    <t>Quota imputata all'esercizio dei finanziamenti per beni di prima dotazione</t>
  </si>
  <si>
    <t>AA1010</t>
  </si>
  <si>
    <t>Quota imputata all'esercizio dei contributi in c/ esercizio FSR destinati ad investimenti</t>
  </si>
  <si>
    <t>AA1020</t>
  </si>
  <si>
    <t>Quota imputata all'esercizio degli altri contributi in c/ esercizio destinati ad investimenti</t>
  </si>
  <si>
    <t>AA1030</t>
  </si>
  <si>
    <t>Quota imputata all'esercizio di altre poste del patrimonio netto</t>
  </si>
  <si>
    <t>AA1040</t>
  </si>
  <si>
    <t>AA1050</t>
  </si>
  <si>
    <t>AA1060</t>
  </si>
  <si>
    <t>Ricavi per prestazioni non sanitarie</t>
  </si>
  <si>
    <t>AA1070</t>
  </si>
  <si>
    <t>Differenze alberghiere camere speciali</t>
  </si>
  <si>
    <t>Cessione liquidi di fissaggio, rottami e materiali diversi</t>
  </si>
  <si>
    <t>Altri ricavi per prestazioni non sanitarie</t>
  </si>
  <si>
    <t>Fitti attivi ed altri proventi da attività immobiliari</t>
  </si>
  <si>
    <t>AA1080</t>
  </si>
  <si>
    <t>Rimborso spese condominiali</t>
  </si>
  <si>
    <t>Locazioni attive</t>
  </si>
  <si>
    <t>Altri fitti attivi ed altri proventi da attività immobiliari</t>
  </si>
  <si>
    <t>Altri proventi diversi</t>
  </si>
  <si>
    <t>AA1090</t>
  </si>
  <si>
    <t>Cessione gestione esercizi pubblici e macchine distributrici</t>
  </si>
  <si>
    <t>Donazioni e lasciti</t>
  </si>
  <si>
    <t>Interessi attivi</t>
  </si>
  <si>
    <t>CA0010</t>
  </si>
  <si>
    <t>Interessi attivi su c/tesoreria unica</t>
  </si>
  <si>
    <t>CA0020</t>
  </si>
  <si>
    <t>Interessi attivi su c/c postali e bancari</t>
  </si>
  <si>
    <t>CA0030</t>
  </si>
  <si>
    <t>Interessi attivi su depositi bancari</t>
  </si>
  <si>
    <t>Interessi attivi su depositi postali</t>
  </si>
  <si>
    <t>Altri interessi attivi</t>
  </si>
  <si>
    <t>CA0040</t>
  </si>
  <si>
    <t>Interessi attivi su titoli</t>
  </si>
  <si>
    <t>Interessi moratori e legali</t>
  </si>
  <si>
    <t>Altri proventi</t>
  </si>
  <si>
    <t>CA0050</t>
  </si>
  <si>
    <t>Proventi da partecipazioni</t>
  </si>
  <si>
    <t>CA0060</t>
  </si>
  <si>
    <t>Proventi finanziari da crediti iscritti nelle immobilizzazioni</t>
  </si>
  <si>
    <t>CA0070</t>
  </si>
  <si>
    <t>Proventi finanziari da titoli iscritti nelle immobilizzazioni</t>
  </si>
  <si>
    <t>CA0080</t>
  </si>
  <si>
    <t>Altri proventi finanziari diversi dai precedenti</t>
  </si>
  <si>
    <t>CA0090</t>
  </si>
  <si>
    <t>Utili su cambi</t>
  </si>
  <si>
    <t>CA0100</t>
  </si>
  <si>
    <t>Rivalutazioni per rettifiche di valori di attività finanziarie</t>
  </si>
  <si>
    <t>DA0010</t>
  </si>
  <si>
    <t>EA0010</t>
  </si>
  <si>
    <t>Plusvalenze</t>
  </si>
  <si>
    <t>EA0020</t>
  </si>
  <si>
    <t>Altri proventi straordinari</t>
  </si>
  <si>
    <t>EA0030</t>
  </si>
  <si>
    <t>Proventi da donazioni e liberalità diverse</t>
  </si>
  <si>
    <t>EA0040</t>
  </si>
  <si>
    <t>Sopravvenienze attive</t>
  </si>
  <si>
    <t>EA0050</t>
  </si>
  <si>
    <t>Sopravvenienze attive per quote FS vincolato</t>
  </si>
  <si>
    <t>EA0051</t>
  </si>
  <si>
    <t xml:space="preserve">Sopravvenienze attive v/Aziende sanitarie pubbliche della Regione </t>
  </si>
  <si>
    <t>EA0060</t>
  </si>
  <si>
    <t>Sopravvenienze attive v/terzi</t>
  </si>
  <si>
    <t>EA0070</t>
  </si>
  <si>
    <t>Sopravvenienze attive v/terzi relative alla mobilità extraregionale</t>
  </si>
  <si>
    <t>EA0080</t>
  </si>
  <si>
    <t>Sopravvenienze attive v/terzi relative al personale</t>
  </si>
  <si>
    <t>EA0090</t>
  </si>
  <si>
    <t>Sopravvenienze attive v/terzi relative alle convenzioni con medici di base</t>
  </si>
  <si>
    <t>EA0100</t>
  </si>
  <si>
    <t>Sopravvenienze attive v/terzi relative alle convenzioni per la specialistica</t>
  </si>
  <si>
    <t>EA0110</t>
  </si>
  <si>
    <t>Sopravvenienze attive v/terzi relative all'acquisto prestaz. sanitarie da operatori accreditati</t>
  </si>
  <si>
    <t>EA0120</t>
  </si>
  <si>
    <t>Sopravvenienze attive v/terzi relative all'acquisto di beni e servizi</t>
  </si>
  <si>
    <t>EA0130</t>
  </si>
  <si>
    <t>Altre sopravvenienze attive v/terzi</t>
  </si>
  <si>
    <t>EA0140</t>
  </si>
  <si>
    <t xml:space="preserve">Insussistenze attive </t>
  </si>
  <si>
    <t>Insussistenze attive v/Aziende sanitarie pubbliche della Regione</t>
  </si>
  <si>
    <t>EA0160</t>
  </si>
  <si>
    <t>Insussistenze attive v/terzi</t>
  </si>
  <si>
    <t>Insussistenze attive v/terzi relative alla mobilità extraregionale</t>
  </si>
  <si>
    <t>EA0180</t>
  </si>
  <si>
    <t>Insussistenze attive v/terzi relative al personale</t>
  </si>
  <si>
    <t>EA0190</t>
  </si>
  <si>
    <t>Insussistenze attive v/terzi relative alle convenzioni con medici di base</t>
  </si>
  <si>
    <t>EA0200</t>
  </si>
  <si>
    <t>Insussistenze attive v/terzi relative alle convenzioni per la specialistica</t>
  </si>
  <si>
    <t>EA0210</t>
  </si>
  <si>
    <t>Insussistenze attive v/terzi relative all'acquisto prestaz. sanitarie da operatori accreditati</t>
  </si>
  <si>
    <t>EA0220</t>
  </si>
  <si>
    <t>Insussistenze attive v/terzi relative all'acquisto di beni e servizi</t>
  </si>
  <si>
    <t>EA0230</t>
  </si>
  <si>
    <t>Altre insussistenze attive v/terzi</t>
  </si>
  <si>
    <t>EA0240</t>
  </si>
  <si>
    <t>EA0250</t>
  </si>
  <si>
    <t>Totale ricavi</t>
  </si>
  <si>
    <t>Totale costi</t>
  </si>
  <si>
    <t>Risultato</t>
  </si>
  <si>
    <t>ACQUISTI DI BENI</t>
  </si>
  <si>
    <t>BA0010</t>
  </si>
  <si>
    <t>Acquisti di beni sanitari</t>
  </si>
  <si>
    <t>BA0020</t>
  </si>
  <si>
    <t>Prodotti farmaceutici ed emoderivati</t>
  </si>
  <si>
    <t>BA0030</t>
  </si>
  <si>
    <t>Medicinali con AIC, ad eccezione di vaccini ed emoderivati di produzione regionale</t>
  </si>
  <si>
    <t>BA0040</t>
  </si>
  <si>
    <t>Medicinali con AIC, ad eccezione di vaccini, emoderivati di produzione regionale, ossigeno e altri gas medicali</t>
  </si>
  <si>
    <t>Medicinali senza AIC</t>
  </si>
  <si>
    <t>BA0050</t>
  </si>
  <si>
    <t>Ossigeno e altri gas medicali</t>
  </si>
  <si>
    <t>BA0051</t>
  </si>
  <si>
    <t>Emoderivati di produzione regionale</t>
  </si>
  <si>
    <t>BA0060</t>
  </si>
  <si>
    <t>Emoderivati di produzione regionale da pubblico (Aziende sanitarie pubbliche della Regione) - Mobilità intraregionale</t>
  </si>
  <si>
    <t>BA0061</t>
  </si>
  <si>
    <t>Emoderivati di produzione regionale da pubblico (Aziende sanitarie pubbliche della Regione) - Mobilità extraregionale</t>
  </si>
  <si>
    <t>BA0062</t>
  </si>
  <si>
    <t>Emoderivati di produzione regionale da altri soggetti</t>
  </si>
  <si>
    <t>BA0063</t>
  </si>
  <si>
    <t>Sangue ed emocomponenti</t>
  </si>
  <si>
    <t>BA0070</t>
  </si>
  <si>
    <t>da pubblico (Aziende sanitarie pubbliche della Regione) – Mobilità intraregionale</t>
  </si>
  <si>
    <t>BA0080</t>
  </si>
  <si>
    <t>da pubblico (Aziende sanitarie pubbliche extra Regione) – Mobilità extraregionale</t>
  </si>
  <si>
    <t>BA0090</t>
  </si>
  <si>
    <t>da altri soggetti</t>
  </si>
  <si>
    <t>BA0100</t>
  </si>
  <si>
    <t>Dispositivi medici</t>
  </si>
  <si>
    <t>BA0210</t>
  </si>
  <si>
    <t xml:space="preserve">Dispositivi medici </t>
  </si>
  <si>
    <t>BA0220</t>
  </si>
  <si>
    <t>Dispositivi medici impiantabili attivi</t>
  </si>
  <si>
    <t>BA0230</t>
  </si>
  <si>
    <t>Dispositivi medico diagnostici in vitro (IVD)</t>
  </si>
  <si>
    <t>BA0240</t>
  </si>
  <si>
    <t>Prodotti dietetici</t>
  </si>
  <si>
    <t>BA0250</t>
  </si>
  <si>
    <t>Materiali per la profilassi (vaccini)</t>
  </si>
  <si>
    <t>BA0260</t>
  </si>
  <si>
    <t>Prodotti chimici</t>
  </si>
  <si>
    <t>BA0270</t>
  </si>
  <si>
    <t>Materiali e prodotti per uso veterinario</t>
  </si>
  <si>
    <t>BA0280</t>
  </si>
  <si>
    <t>Altri beni e prodotti sanitari</t>
  </si>
  <si>
    <t>BA0290</t>
  </si>
  <si>
    <t>Beni e prodotti sanitari da Aziende sanitarie pubbliche della Regione</t>
  </si>
  <si>
    <t>BA0300</t>
  </si>
  <si>
    <t>BA0301</t>
  </si>
  <si>
    <t>BA0303</t>
  </si>
  <si>
    <t>BA0304</t>
  </si>
  <si>
    <t>BA0305</t>
  </si>
  <si>
    <t>BA0306</t>
  </si>
  <si>
    <t>BA0307</t>
  </si>
  <si>
    <t xml:space="preserve">Altri beni e prodotti sanitari </t>
  </si>
  <si>
    <t>BA0308</t>
  </si>
  <si>
    <t>Acquisti di beni non sanitari</t>
  </si>
  <si>
    <t>BA0310</t>
  </si>
  <si>
    <t>Prodotti alimentari</t>
  </si>
  <si>
    <t>BA0320</t>
  </si>
  <si>
    <t>Materiali di guardaroba, di pulizia e di convivenza in genere</t>
  </si>
  <si>
    <t>BA0330</t>
  </si>
  <si>
    <t>Combustibili, carburanti e lubrificanti</t>
  </si>
  <si>
    <t>BA0340</t>
  </si>
  <si>
    <t>Supporti informatici e cancelleria</t>
  </si>
  <si>
    <t>BA0350</t>
  </si>
  <si>
    <t>Cancelleria e stampati</t>
  </si>
  <si>
    <t>Materiali di consumo per l'informatica</t>
  </si>
  <si>
    <t>Materiale didattico, audiovisivo e fotografico</t>
  </si>
  <si>
    <t>Materiale per la manutenzione</t>
  </si>
  <si>
    <t>BA0360</t>
  </si>
  <si>
    <t>Materiali ed accessori per beni sanitari</t>
  </si>
  <si>
    <t>Materiali ed accessori per beni non sanitari</t>
  </si>
  <si>
    <t>Altri beni e prodotti non sanitari</t>
  </si>
  <si>
    <t>BA0370</t>
  </si>
  <si>
    <t>Beni e prodotti non sanitari da Aziende sanitarie pubbliche della Regione</t>
  </si>
  <si>
    <t>BA0380</t>
  </si>
  <si>
    <t>Altri beni e prodotti non sanitari da Aziende sanitarie pubbliche della Regione</t>
  </si>
  <si>
    <t>ACQUISTI DI SERVIZI</t>
  </si>
  <si>
    <t>BA0390</t>
  </si>
  <si>
    <t>Acquisti servizi sanitari</t>
  </si>
  <si>
    <t>BA0400</t>
  </si>
  <si>
    <t>Acquisti servizi sanitari per medicina di base</t>
  </si>
  <si>
    <t>BA0410</t>
  </si>
  <si>
    <t>- da convenzione</t>
  </si>
  <si>
    <t>BA0420</t>
  </si>
  <si>
    <t>Costi per assistenza MMG</t>
  </si>
  <si>
    <t>BA0430</t>
  </si>
  <si>
    <t>Quota capitaria nazionale</t>
  </si>
  <si>
    <t>Compensi da fondo ponderazione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</si>
  <si>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</si>
  <si>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</si>
  <si>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</si>
  <si>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</si>
  <si>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</si>
  <si>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</si>
  <si>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</si>
  <si>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Altre competenze</t>
  </si>
  <si>
    <t>Oneri sociali</t>
  </si>
  <si>
    <t>Costi per assistenza PLS</t>
  </si>
  <si>
    <t>BA0440</t>
  </si>
  <si>
    <t>Costi per assistenza Continuità assistenziale</t>
  </si>
  <si>
    <t>BA0450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</si>
  <si>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</si>
  <si>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</si>
  <si>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</si>
  <si>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</si>
  <si>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</si>
  <si>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</si>
  <si>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</si>
  <si>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</si>
  <si>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</si>
  <si>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</si>
  <si>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</si>
  <si>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</si>
  <si>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</si>
  <si>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</si>
  <si>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</si>
  <si>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>BA0460</t>
  </si>
  <si>
    <t xml:space="preserve">Compensi fissi </t>
  </si>
  <si>
    <t>Medicina fiscale</t>
  </si>
  <si>
    <t>- da pubblico (Aziende sanitarie pubbliche della Regione) - Mobilità intraregionale</t>
  </si>
  <si>
    <t>BA0470</t>
  </si>
  <si>
    <t>- da pubblico (Aziende sanitarie pubbliche Extraregione) - Mobilità extraregionale</t>
  </si>
  <si>
    <t>BA0480</t>
  </si>
  <si>
    <t>Acquisti servizi sanitari per farmaceutica</t>
  </si>
  <si>
    <t>BA0490</t>
  </si>
  <si>
    <t>BA0500</t>
  </si>
  <si>
    <t>Prodotti farmaceutici e galenici</t>
  </si>
  <si>
    <t>Contributi farmacie rurali ed Enpaf</t>
  </si>
  <si>
    <t>- da pubblico (Aziende sanitarie pubbliche della Regione)- Mobilità intraregionale</t>
  </si>
  <si>
    <t>BA0510</t>
  </si>
  <si>
    <t>- da pubblico (Extraregione)</t>
  </si>
  <si>
    <t>BA0520</t>
  </si>
  <si>
    <t>Acquisti servizi sanitari per assistenza specialistica ambulatoriale</t>
  </si>
  <si>
    <t>BA0530</t>
  </si>
  <si>
    <t>- da pubblico (Aziende sanitarie pubbliche della Regione)</t>
  </si>
  <si>
    <t>BA0540</t>
  </si>
  <si>
    <t>Acquisto di prestazioni ambulatoriali e diagnostiche regionali</t>
  </si>
  <si>
    <t>Acquisto di prestazioni ambulatoriali e diagnostiche regionali fatturate</t>
  </si>
  <si>
    <t>Prestazioni di pronto soccorso  non seguite da ricovero - da pubblico (Aziende sanitarie pubbliche della Regione)</t>
  </si>
  <si>
    <t>BA0541</t>
  </si>
  <si>
    <t>- da pubblico (altri soggetti pubbl. della Regione)</t>
  </si>
  <si>
    <t>BA0550</t>
  </si>
  <si>
    <t>Prestazioni di pronto soccorso  non seguite da ricovero - da pubblico (altri soggetti pubbl. della Regione)</t>
  </si>
  <si>
    <t>BA0551</t>
  </si>
  <si>
    <t>BA0560</t>
  </si>
  <si>
    <t>Acquisto di prestazioni ambulatoriali e diagnostiche extraregione in compensazione</t>
  </si>
  <si>
    <t>Acquisto di prestazioni ambulatoriali e diagnostiche extraregione  fatturate</t>
  </si>
  <si>
    <t>Prestazioni di pronto soccorso  non seguite da ricovero - da pubblico (Extraregione)</t>
  </si>
  <si>
    <t>BA0561</t>
  </si>
  <si>
    <t>- da privato - Medici SUMAI</t>
  </si>
  <si>
    <t>BA0570</t>
  </si>
  <si>
    <t>Compensi fissi</t>
  </si>
  <si>
    <t>Compendi da fondo ponderazione</t>
  </si>
  <si>
    <t>- da privato</t>
  </si>
  <si>
    <t>BA0580</t>
  </si>
  <si>
    <t>Servizi sanitari per assistenza specialistica da IRCCS privati e Policlinici privati</t>
  </si>
  <si>
    <t>BA0590</t>
  </si>
  <si>
    <t xml:space="preserve"> Servizi sanitari per prestazioni di pronto soccorso non seguite da ricovero - da IRCCS privati e Policlinici privati</t>
  </si>
  <si>
    <t>BA0591</t>
  </si>
  <si>
    <t>Servizi sanitari per assistenza specialistica da Ospedali Classificati privati</t>
  </si>
  <si>
    <t>BA0600</t>
  </si>
  <si>
    <t>Servizi sanitari per prestazioni di pronto soccorso non seguite da ricovero - da Ospedali Classificati privati</t>
  </si>
  <si>
    <t>BA0601</t>
  </si>
  <si>
    <t>Servizi sanitari per assistenza specialistica da Case di Cura private</t>
  </si>
  <si>
    <t>BA0610</t>
  </si>
  <si>
    <t>Servizi sanitari per prestazioni di pronto soccorso non seguite da ricovero - da Case di Cura private</t>
  </si>
  <si>
    <t>BA0611</t>
  </si>
  <si>
    <t>Servizi sanitari per assistenza specialistica da altri privati</t>
  </si>
  <si>
    <t>BA0620</t>
  </si>
  <si>
    <t>Servizi sanitari per prestazioni di pronto soccorso non seguite da ricovero - da altri privati</t>
  </si>
  <si>
    <t>BA0621</t>
  </si>
  <si>
    <t>- da privato per cittadini non residenti - Extraregione (mobilità attiva in compensazione)</t>
  </si>
  <si>
    <t>BA0630</t>
  </si>
  <si>
    <t>Servizi sanitari per prestazioni di pronto soccorso non seguite da ricovero - da privato per cittadini non residenti - Extraregione (mobilità attiva in compensazione)</t>
  </si>
  <si>
    <t>BA0631</t>
  </si>
  <si>
    <t>Acquisti servizi sanitari per assistenza riabilitativa</t>
  </si>
  <si>
    <t>BA0640</t>
  </si>
  <si>
    <t>BA0650</t>
  </si>
  <si>
    <t>BA0660</t>
  </si>
  <si>
    <t>- da pubblico (Extraregione) non soggetti a compensazione</t>
  </si>
  <si>
    <t>BA0670</t>
  </si>
  <si>
    <t>- da privato (intraregionale)</t>
  </si>
  <si>
    <t>BA0680</t>
  </si>
  <si>
    <t>Assistenza riabilitativa ex art.26 L.833/78 - in regime di ricovero</t>
  </si>
  <si>
    <t>Assistenza riabilitativa ex art.26 L.833/78 - in regime ambulatoriale</t>
  </si>
  <si>
    <t>- da privato (extraregionale)</t>
  </si>
  <si>
    <t>BA0690</t>
  </si>
  <si>
    <t>Acquisti servizi sanitari per assistenza integrativa</t>
  </si>
  <si>
    <t>BA0700</t>
  </si>
  <si>
    <t xml:space="preserve">  da pubblico (Aziende sanitarie pubbliche della Regione)</t>
  </si>
  <si>
    <t>BA0710</t>
  </si>
  <si>
    <t>BA0720</t>
  </si>
  <si>
    <t>BA0730</t>
  </si>
  <si>
    <t>- da privato - AFIR</t>
  </si>
  <si>
    <t>BA0740</t>
  </si>
  <si>
    <t>AFIR farmacie convenzionate</t>
  </si>
  <si>
    <t>Fornitura ausilii per incontinenti</t>
  </si>
  <si>
    <t>Ossigeno terapia domiciliare</t>
  </si>
  <si>
    <t>AFIR altro</t>
  </si>
  <si>
    <t>Acquisti servizi sanitari per assistenza protesica</t>
  </si>
  <si>
    <t>BA0760</t>
  </si>
  <si>
    <t>BA0770</t>
  </si>
  <si>
    <t>BA0780</t>
  </si>
  <si>
    <t>BA0790</t>
  </si>
  <si>
    <t>Assist. Protesica indiretta art. 26, c. 3 L. 833/78 e DM 2/3/84</t>
  </si>
  <si>
    <t>Servizio supporto gestione assistenza protesica</t>
  </si>
  <si>
    <t>Acquisti servizi sanitari per assistenza ospedaliera</t>
  </si>
  <si>
    <t>BA0800</t>
  </si>
  <si>
    <t>BA0810</t>
  </si>
  <si>
    <t>Acquisto di prestazioni in regime di ricovero (DRG) regionali</t>
  </si>
  <si>
    <t>Acquisto di prestazioni fatturate in regime di ricovero regionali</t>
  </si>
  <si>
    <t>BA0820</t>
  </si>
  <si>
    <t>BA0830</t>
  </si>
  <si>
    <t>Acquisto di prestazioni in regime di ricovero (DRG) extra regionali</t>
  </si>
  <si>
    <t>Acquisto di prestazioni fatturate in regime di ricovero extra regionali</t>
  </si>
  <si>
    <t>BA0840</t>
  </si>
  <si>
    <t>Servizi sanitari per assistenza ospedaliera da IRCCS privati e Policlinici privati</t>
  </si>
  <si>
    <t>BA0850</t>
  </si>
  <si>
    <t>Servizi sanitari per assistenza ospedaliera da Ospedali Classificati privati</t>
  </si>
  <si>
    <t>BA0860</t>
  </si>
  <si>
    <t>Servizi sanitari per assistenza ospedaliera da Case di Cura private</t>
  </si>
  <si>
    <t>BA0870</t>
  </si>
  <si>
    <t>Servizi sanitari per assistenza ospedaliera da altri privati</t>
  </si>
  <si>
    <t>BA0880</t>
  </si>
  <si>
    <t>BA0890</t>
  </si>
  <si>
    <t>Acquisto prestazioni di psichiatria residenziale e semiresidenziale</t>
  </si>
  <si>
    <t>BA0900</t>
  </si>
  <si>
    <t>BA0910</t>
  </si>
  <si>
    <t>BA0920</t>
  </si>
  <si>
    <t>- da pubblico (Extraregione) - non soggette a compensazione</t>
  </si>
  <si>
    <t>BA0930</t>
  </si>
  <si>
    <t>BA0940</t>
  </si>
  <si>
    <t>BA0950</t>
  </si>
  <si>
    <t>Acquisto prestazioni di distribuzione farmaci File F</t>
  </si>
  <si>
    <t>BA0960</t>
  </si>
  <si>
    <t>BA0970</t>
  </si>
  <si>
    <t>Rimborso costo farmaci</t>
  </si>
  <si>
    <t>Servizio di distribuzione</t>
  </si>
  <si>
    <t>BA0980</t>
  </si>
  <si>
    <t>BA0990</t>
  </si>
  <si>
    <t>BA1000</t>
  </si>
  <si>
    <t>Compenso distribuzione per conto (DPC)</t>
  </si>
  <si>
    <t>Altro</t>
  </si>
  <si>
    <t>BA1010</t>
  </si>
  <si>
    <t>BA1020</t>
  </si>
  <si>
    <t>Acquisto prestazioni termali in convenzione</t>
  </si>
  <si>
    <t>BA1030</t>
  </si>
  <si>
    <t>BA1040</t>
  </si>
  <si>
    <t>BA1050</t>
  </si>
  <si>
    <t>BA1060</t>
  </si>
  <si>
    <t>BA1070</t>
  </si>
  <si>
    <t>BA1080</t>
  </si>
  <si>
    <t>Acquisto prestazioni di trasporto sanitario</t>
  </si>
  <si>
    <t>BA1090</t>
  </si>
  <si>
    <t>BA1100</t>
  </si>
  <si>
    <t>BA1110</t>
  </si>
  <si>
    <t>BA1120</t>
  </si>
  <si>
    <t>BA1130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</si>
  <si>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</si>
  <si>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</si>
  <si>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</si>
  <si>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</si>
  <si>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</si>
  <si>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BA1140</t>
  </si>
  <si>
    <t>BA1150</t>
  </si>
  <si>
    <t>Assistenza domiciliare integrata (ADI)</t>
  </si>
  <si>
    <t>BA1151</t>
  </si>
  <si>
    <t xml:space="preserve"> Altre prestazioni socio-sanitarie a rilevanza sanitaria</t>
  </si>
  <si>
    <t>BA1152</t>
  </si>
  <si>
    <t>- da pubblico (altri soggetti pubblici della Regione)</t>
  </si>
  <si>
    <t>BA1160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</si>
  <si>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</si>
  <si>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</si>
  <si>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</si>
  <si>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</si>
  <si>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 xml:space="preserve"> - da pubblico  (Extraregione) - Acquisto di Altre prestazioni sociosanitarie a rilevanza sanitaria erogate a soggetti pubblici Extraregione</t>
  </si>
  <si>
    <t>BA1161</t>
  </si>
  <si>
    <t>- da pubblico (Extraregione) non soggette a compensazione</t>
  </si>
  <si>
    <t>BA1170</t>
  </si>
  <si>
    <t>BA1180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</si>
  <si>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</si>
  <si>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</si>
  <si>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</si>
  <si>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</si>
  <si>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</si>
  <si>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BA1190</t>
  </si>
  <si>
    <t>Altre prestazioni  da privato (extraregionale)</t>
  </si>
  <si>
    <t>Compartecipazione al personale per att. libero-prof. (intramoenia)</t>
  </si>
  <si>
    <t>BA1200</t>
  </si>
  <si>
    <t>Compartecipazione al personale per att. libero professionale intramoenia - Area ospedaliera</t>
  </si>
  <si>
    <t>BA1210</t>
  </si>
  <si>
    <t>Compartecipazione al personale per att. libero professionale intramoenia- Area specialistica</t>
  </si>
  <si>
    <t>BA1220</t>
  </si>
  <si>
    <t>Compartecipazione al personale per att. libero professionale intramoenia - Area sanità pubblica</t>
  </si>
  <si>
    <t>BA1230</t>
  </si>
  <si>
    <t>Compartecipazione al personale per att. libero professionale intramoenia - Consulenze (ex art. 55 c.1 lett. c), d) ed ex Art. 57-58)</t>
  </si>
  <si>
    <t>BA1240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</si>
  <si>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</si>
  <si>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</si>
  <si>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</si>
  <si>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</si>
  <si>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Compartecipazione al personale per att. libero professionale intramoenia - Consulenze (ex art. 55 c.1 lett. c), d) ed ex Art. 57-58) (Aziende sanitarie pubbliche della Regione)</t>
  </si>
  <si>
    <t>BA1250</t>
  </si>
  <si>
    <t>Compartecipazione al personale per att. libero professionale intramoenia - Altro</t>
  </si>
  <si>
    <t>BA1260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</si>
  <si>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</si>
  <si>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</si>
  <si>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</si>
  <si>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</si>
  <si>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</si>
  <si>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</si>
  <si>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</si>
  <si>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</si>
  <si>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</si>
  <si>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</si>
  <si>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BA1270</t>
  </si>
  <si>
    <t>Rimborsi, assegni e contributi sanitari</t>
  </si>
  <si>
    <t>BA1280</t>
  </si>
  <si>
    <t>Contributi ad associazioni di volontariato</t>
  </si>
  <si>
    <t>BA1290</t>
  </si>
  <si>
    <t>Rimborsi per cure all'estero</t>
  </si>
  <si>
    <t>BA1300</t>
  </si>
  <si>
    <t>Contributi a società partecipate e/o enti dipendenti della Regione</t>
  </si>
  <si>
    <t>BA1310</t>
  </si>
  <si>
    <t>Contributo Legge 210/92</t>
  </si>
  <si>
    <t>BA1320</t>
  </si>
  <si>
    <t>Altri rimborsi, assegni e contributi</t>
  </si>
  <si>
    <t>BA1330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</si>
  <si>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</si>
  <si>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</si>
  <si>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</si>
  <si>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</si>
  <si>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</si>
  <si>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</si>
  <si>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</si>
  <si>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</si>
  <si>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</si>
  <si>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</si>
  <si>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BA1340</t>
  </si>
  <si>
    <t>Rimborsi per attività delegate della Regione (SOVRAZIENDALI)</t>
  </si>
  <si>
    <t>Altri rimborsi, assegni e contributi v/Aziende sanitarie pubbliche della Regione</t>
  </si>
  <si>
    <t>Rimborsi, assegni e contributi v/Regione - GSA</t>
  </si>
  <si>
    <t>BA1341</t>
  </si>
  <si>
    <t>Consulenze, Collaborazioni,  Interinale e altre prestazioni di lavoro sanitarie e sociosanitarie</t>
  </si>
  <si>
    <t>BA1350</t>
  </si>
  <si>
    <t>Consulenze sanitarie e sociosan. da Aziende sanitarie pubbliche della Regione</t>
  </si>
  <si>
    <t>BA1360</t>
  </si>
  <si>
    <t>Consulenze sanitarie e sociosanit. da terzi - Altri soggetti pubblici</t>
  </si>
  <si>
    <t>BA1370</t>
  </si>
  <si>
    <t>Consulenze, Collaborazioni,  Interinale e altre prestazioni di lavoro sanitarie e socios. da privato</t>
  </si>
  <si>
    <t>BA1380</t>
  </si>
  <si>
    <t>Consulenze sanitarie da privato - articolo 55, comma 2, CCNL 8 giugno 2000</t>
  </si>
  <si>
    <t>BA1390</t>
  </si>
  <si>
    <t>Altre consulenze sanitarie e sociosanitarie da privato</t>
  </si>
  <si>
    <t>BA1400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</si>
  <si>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</si>
  <si>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</si>
  <si>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</si>
  <si>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</si>
  <si>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BA1410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</si>
  <si>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</si>
  <si>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</si>
  <si>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</si>
  <si>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</si>
  <si>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</si>
  <si>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BA1420</t>
  </si>
  <si>
    <t>Indennità personale universitario (De Maria)</t>
  </si>
  <si>
    <t xml:space="preserve">Lavoro interinale - area sanitaria </t>
  </si>
  <si>
    <t>BA1430</t>
  </si>
  <si>
    <t xml:space="preserve">Altre collaborazioni e prestazioni di lavoro - area sanitaria </t>
  </si>
  <si>
    <t>BA1440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</si>
  <si>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</si>
  <si>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</si>
  <si>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</si>
  <si>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</si>
  <si>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</si>
  <si>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</si>
  <si>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</si>
  <si>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</si>
  <si>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</si>
  <si>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Rimborso oneri stipendiali del personale sanitario in comando</t>
  </si>
  <si>
    <t>BA1450</t>
  </si>
  <si>
    <t>Rimborso oneri stipendiali personale sanitario in comando da Aziende sanitarie pubbliche della Regione</t>
  </si>
  <si>
    <t>BA1460</t>
  </si>
  <si>
    <t>Rimborso oneri stipendiali personale sanitario in comando da Regioni, soggetti pubblici e da Università</t>
  </si>
  <si>
    <t>BA1470</t>
  </si>
  <si>
    <t>Rimborso oneri stipendiali personale sanitario in comando da aziende di altre Regioni (Extraregione)</t>
  </si>
  <si>
    <t>BA1480</t>
  </si>
  <si>
    <t>Altri servizi sanitari e sociosanitari a rilevanza sanitaria</t>
  </si>
  <si>
    <t>BA1490</t>
  </si>
  <si>
    <t>Altri servizi sanitari e sociosanitari a rilevanza sanitaria da pubblico - Aziende sanitarie pubbliche della Regione</t>
  </si>
  <si>
    <t>BA1500</t>
  </si>
  <si>
    <t>Altri servizi sanitari e sociosanitari  a rilevanza sanitaria da pubblico - Altri soggetti pubblici della Regione</t>
  </si>
  <si>
    <t>BA1510</t>
  </si>
  <si>
    <t>Altri servizi sanitari e sociosanitari a rilevanza sanitaria da pubblico (Extraregione)</t>
  </si>
  <si>
    <t>BA1520</t>
  </si>
  <si>
    <t>Altri servizi sanitari da privato</t>
  </si>
  <si>
    <t>BA1530</t>
  </si>
  <si>
    <t>Compensi per sperimentazioni cliniche</t>
  </si>
  <si>
    <t>Costi per servizi sanitari - Mobilità internazionale passiva</t>
  </si>
  <si>
    <t>BA1540</t>
  </si>
  <si>
    <t>Costi per servizi sanitari - Mobilità internazionale passiva rilevata dalle ASL</t>
  </si>
  <si>
    <t>BA1541</t>
  </si>
  <si>
    <t>Costi per prestazioni sanitarie erogate da aziende sanitarie estere (fatturate direttamente)</t>
  </si>
  <si>
    <t>BA1542</t>
  </si>
  <si>
    <t>BA1550</t>
  </si>
  <si>
    <t>Costi GSA per differenziale saldo mobilità interregionale</t>
  </si>
  <si>
    <t>BA1560</t>
  </si>
  <si>
    <t xml:space="preserve">Servizi non sanitari </t>
  </si>
  <si>
    <t>BA1570</t>
  </si>
  <si>
    <t>Lavanderia</t>
  </si>
  <si>
    <t>BA1580</t>
  </si>
  <si>
    <t>Pulizia</t>
  </si>
  <si>
    <t>BA1590</t>
  </si>
  <si>
    <t>Mensa</t>
  </si>
  <si>
    <t>BA1600</t>
  </si>
  <si>
    <t>Mensa dipendenti</t>
  </si>
  <si>
    <t>BA1601</t>
  </si>
  <si>
    <t>Mensa degenti</t>
  </si>
  <si>
    <t>BA1602</t>
  </si>
  <si>
    <t>Riscaldamento</t>
  </si>
  <si>
    <t>BA1610</t>
  </si>
  <si>
    <t>Servizi di assistenza informatica</t>
  </si>
  <si>
    <t>BA1620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</si>
  <si>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</si>
  <si>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</si>
  <si>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</si>
  <si>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</si>
  <si>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BA1630</t>
  </si>
  <si>
    <t>Smaltimento rifiuti</t>
  </si>
  <si>
    <t>BA1640</t>
  </si>
  <si>
    <t>Utenze telefoniche</t>
  </si>
  <si>
    <t>BA1650</t>
  </si>
  <si>
    <t>Spese telefoniche</t>
  </si>
  <si>
    <t>Internet</t>
  </si>
  <si>
    <t>Utenze elettricità</t>
  </si>
  <si>
    <t>BA1660</t>
  </si>
  <si>
    <t>Altre utenze</t>
  </si>
  <si>
    <t>BA1670</t>
  </si>
  <si>
    <t>Acqua</t>
  </si>
  <si>
    <t>Gas</t>
  </si>
  <si>
    <t>Canoni radiotelevisivi</t>
  </si>
  <si>
    <t>Banche dati</t>
  </si>
  <si>
    <t>Premi di assicurazione</t>
  </si>
  <si>
    <t>BA1680</t>
  </si>
  <si>
    <t xml:space="preserve">Premi di assicurazione - R.C. Professionale </t>
  </si>
  <si>
    <t>BA1690</t>
  </si>
  <si>
    <t>Premi di assicurazione - Altri premi assicurativi</t>
  </si>
  <si>
    <t>BA1700</t>
  </si>
  <si>
    <t>Altri servizi non sanitari</t>
  </si>
  <si>
    <t>BA1710</t>
  </si>
  <si>
    <t>Altri servizi non sanitari da pubblico (Aziende sanitarie pubbliche della Regione)</t>
  </si>
  <si>
    <t>BA1720</t>
  </si>
  <si>
    <t>Altri servizi non sanitari da altri soggetti pubblici</t>
  </si>
  <si>
    <t>BA1730</t>
  </si>
  <si>
    <t>Altri servizi non sanitari da pubblico</t>
  </si>
  <si>
    <t>Altri servizi socio - assistenziali da pubblico</t>
  </si>
  <si>
    <t>Altri servizi non sanitari da privato</t>
  </si>
  <si>
    <t>BA1740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</si>
  <si>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</si>
  <si>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</si>
  <si>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</si>
  <si>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</si>
  <si>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</si>
  <si>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</si>
  <si>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</si>
  <si>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</si>
  <si>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</si>
  <si>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</si>
  <si>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</si>
  <si>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</si>
  <si>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</si>
  <si>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</si>
  <si>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</si>
  <si>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BA1750</t>
  </si>
  <si>
    <t>Consulenze non sanitarie da Aziende sanitarie pubbliche della Regione</t>
  </si>
  <si>
    <t>BA1760</t>
  </si>
  <si>
    <t>Consulenze non sanitarie da Terzi - Altri soggetti pubblici</t>
  </si>
  <si>
    <t>BA1770</t>
  </si>
  <si>
    <t>Consulenze, Collaborazioni, Interinale e altre prestazioni di lavoro non sanitarie da privato</t>
  </si>
  <si>
    <t>BA1780</t>
  </si>
  <si>
    <t>Consulenze non sanitarie da privato</t>
  </si>
  <si>
    <t>BA1790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</si>
  <si>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</si>
  <si>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</si>
  <si>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</si>
  <si>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</si>
  <si>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</si>
  <si>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</si>
  <si>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BA1800</t>
  </si>
  <si>
    <t xml:space="preserve">Indennità a personale universitario - area non sanitaria </t>
  </si>
  <si>
    <t>BA1810</t>
  </si>
  <si>
    <t xml:space="preserve">Lavoro interinale - area non sanitaria </t>
  </si>
  <si>
    <t>BA1820</t>
  </si>
  <si>
    <t xml:space="preserve">Altre collaborazioni e prestazioni di lavoro - area non sanitaria </t>
  </si>
  <si>
    <t>BA1830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</si>
  <si>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</si>
  <si>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</si>
  <si>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</si>
  <si>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</si>
  <si>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Altre Consulenze non sanitarie da privato - in attuazione dell’art.79, comma 1 sexies lettera c), del D.L. 112/2008, convertito con legge 133/2008 e della legge 23 dicembre 2009 n. 191.</t>
  </si>
  <si>
    <t>BA1831</t>
  </si>
  <si>
    <t>Rimborso oneri stipendiali del personale non sanitario in comando</t>
  </si>
  <si>
    <t>BA1840</t>
  </si>
  <si>
    <t>Rimborso oneri stipendiali personale non sanitario in comando da Aziende sanitarie pubbliche della Regione</t>
  </si>
  <si>
    <t>BA1850</t>
  </si>
  <si>
    <t>Rimborso oneri stipendiali personale non sanitario in comando da Regione, soggetti pubblici e da Università</t>
  </si>
  <si>
    <t>BA1860</t>
  </si>
  <si>
    <t>Rimborso oneri stipendiali personale non sanitario in comando da aziende di altre Regioni (Extraregione)</t>
  </si>
  <si>
    <t>BA1870</t>
  </si>
  <si>
    <t>Formazione (esternalizzata e non)</t>
  </si>
  <si>
    <t>BA1880</t>
  </si>
  <si>
    <t>Formazione (esternalizzata e non) da pubblico</t>
  </si>
  <si>
    <t>BA1890</t>
  </si>
  <si>
    <t>Formazione (esternalizzata e non) da privato</t>
  </si>
  <si>
    <t>BA1900</t>
  </si>
  <si>
    <t>Manutenzione e riparazione (ordinaria esternalizzata)</t>
  </si>
  <si>
    <t>Manutenzione e riparazione ai fabbricati e loro pertinenze</t>
  </si>
  <si>
    <t>BA1920</t>
  </si>
  <si>
    <t>Manutenzione e riparazione agli impianti e macchinari</t>
  </si>
  <si>
    <t>BA1930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</si>
  <si>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</si>
  <si>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</si>
  <si>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</si>
  <si>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</si>
  <si>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BA1940</t>
  </si>
  <si>
    <t>Manutenzione e riparazione ai mobili e arredi</t>
  </si>
  <si>
    <t>BA1950</t>
  </si>
  <si>
    <t>Manutenzione e riparazione agli automezzi</t>
  </si>
  <si>
    <t>BA1960</t>
  </si>
  <si>
    <t>Altre manutenzioni e riparazioni</t>
  </si>
  <si>
    <t>BA1970</t>
  </si>
  <si>
    <t>Attrezzature informatiche</t>
  </si>
  <si>
    <t>Software</t>
  </si>
  <si>
    <t>Manutenzioni e riparazioni da Aziende sanitarie pubbliche della Regione</t>
  </si>
  <si>
    <t>BA1980</t>
  </si>
  <si>
    <t>BA1990</t>
  </si>
  <si>
    <t>Fitti passivi</t>
  </si>
  <si>
    <t>BA2000</t>
  </si>
  <si>
    <t>Locazioni passive</t>
  </si>
  <si>
    <t>Spese condominiali</t>
  </si>
  <si>
    <t>Canoni di noleggio</t>
  </si>
  <si>
    <t>BA2010</t>
  </si>
  <si>
    <t>Canoni di noleggio - area sanitaria</t>
  </si>
  <si>
    <t>BA2020</t>
  </si>
  <si>
    <t>Canoni di noleggio - area non sanitaria</t>
  </si>
  <si>
    <t>BA2030</t>
  </si>
  <si>
    <t>Canoni hardware e software</t>
  </si>
  <si>
    <t>Canoni fotocopiatrici</t>
  </si>
  <si>
    <t>Canoni noleggio automezzi</t>
  </si>
  <si>
    <t>Canoni noleggio altro</t>
  </si>
  <si>
    <t>Canoni di leasing</t>
  </si>
  <si>
    <t>BA2040</t>
  </si>
  <si>
    <t>Canoni di leasing - area sanitaria</t>
  </si>
  <si>
    <t>BA2050</t>
  </si>
  <si>
    <t>Canoni di leasing operativo</t>
  </si>
  <si>
    <t>Canoni di leasing finanziario</t>
  </si>
  <si>
    <t>Canoni di leasing - area non sanitaria</t>
  </si>
  <si>
    <t>BA2060</t>
  </si>
  <si>
    <t>Canoni di project financing</t>
  </si>
  <si>
    <t>BA2061</t>
  </si>
  <si>
    <t>Locazioni e noleggi da Aziende sanitarie pubbliche della Regione</t>
  </si>
  <si>
    <t>BA2070</t>
  </si>
  <si>
    <t>Personale del ruolo sanitario</t>
  </si>
  <si>
    <t>BA2090</t>
  </si>
  <si>
    <t>Costo del personale dirigente ruolo sanitario</t>
  </si>
  <si>
    <t>BA2100</t>
  </si>
  <si>
    <t>Costo del personale dirigente medico</t>
  </si>
  <si>
    <t>BA2110</t>
  </si>
  <si>
    <t>Costo del personale dirigente medico - tempo indeterminato</t>
  </si>
  <si>
    <t>BA2120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</si>
  <si>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</si>
  <si>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</si>
  <si>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</si>
  <si>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</si>
  <si>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</si>
  <si>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</si>
  <si>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</si>
  <si>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</si>
  <si>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</si>
  <si>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Accantonamento al fondo per TFR dipendenti</t>
  </si>
  <si>
    <t>Accantonamento ai fondi integrativi pensione</t>
  </si>
  <si>
    <t>Altre competenze Dirigenza medica e veterinaria</t>
  </si>
  <si>
    <t>Altre competenze Dirigenza medica universitaria</t>
  </si>
  <si>
    <t>Oneri sociali su retribuzione:</t>
  </si>
  <si>
    <t>Oneri sociali Dirigenza medica e veterinaria</t>
  </si>
  <si>
    <t>Oneri sociali Dirigenza medica universitaria</t>
  </si>
  <si>
    <t>Costo del personale dirigente medico - tempo determinato</t>
  </si>
  <si>
    <t>BA2130</t>
  </si>
  <si>
    <t>Costo del personale dirigente medico - altro</t>
  </si>
  <si>
    <t>BA2140</t>
  </si>
  <si>
    <t>Costo del personale dirigente non medico</t>
  </si>
  <si>
    <t>BA2150</t>
  </si>
  <si>
    <t>Costo del personale dirigente non medico - tempo indeterminato</t>
  </si>
  <si>
    <t>BA2160</t>
  </si>
  <si>
    <t>Indennità di risultato</t>
  </si>
  <si>
    <t>Altro trattamento accessorio</t>
  </si>
  <si>
    <t>Altri oneri per il personale personale dirigente non medico:</t>
  </si>
  <si>
    <t>Altre competenze personale dirigente non medico</t>
  </si>
  <si>
    <t>Oneri sociali su retribuzione</t>
  </si>
  <si>
    <t>Costo del personale dirigente non medico - tempo determinato</t>
  </si>
  <si>
    <t>BA2170</t>
  </si>
  <si>
    <t>BA2180</t>
  </si>
  <si>
    <t>Costo del personale comparto ruolo sanitario</t>
  </si>
  <si>
    <t>BA2190</t>
  </si>
  <si>
    <t>Costo del personale comparto ruolo sanitario - tempo indeterminato</t>
  </si>
  <si>
    <t>BA2200</t>
  </si>
  <si>
    <t>Straordinario</t>
  </si>
  <si>
    <t>Indennità personale</t>
  </si>
  <si>
    <t>Retribuzione per produttività personale</t>
  </si>
  <si>
    <t>Altri oneri per il personale</t>
  </si>
  <si>
    <t>Costo del personale comparto ruolo sanitario - tempo determinato</t>
  </si>
  <si>
    <t>BA2210</t>
  </si>
  <si>
    <t>Costo del personale comparto ruolo sanitario - altro</t>
  </si>
  <si>
    <t>BA2220</t>
  </si>
  <si>
    <t>Personale del ruolo professionale</t>
  </si>
  <si>
    <t>BA2230</t>
  </si>
  <si>
    <t>Costo del personale dirigente ruolo professionale</t>
  </si>
  <si>
    <t>BA2240</t>
  </si>
  <si>
    <t>Costo del personale dirigente ruolo professionale - tempo indeterminato</t>
  </si>
  <si>
    <t>BA2250</t>
  </si>
  <si>
    <t>Altre competenze personale dirigente ruolo professionale</t>
  </si>
  <si>
    <t>Costo del personale dirigente ruolo professionale - tempo determinato</t>
  </si>
  <si>
    <t>BA2260</t>
  </si>
  <si>
    <t>Costo del personale dirigente ruolo professionale - altro</t>
  </si>
  <si>
    <t>BA2270</t>
  </si>
  <si>
    <t>Costo del personale comparto ruolo professionale</t>
  </si>
  <si>
    <t>BA2280</t>
  </si>
  <si>
    <t>Costo del personale comparto ruolo professionale - tempo indeterminato</t>
  </si>
  <si>
    <t>BA2290</t>
  </si>
  <si>
    <t>Costo del personale comparto ruolo professionale - tempo determinato</t>
  </si>
  <si>
    <t>BA2300</t>
  </si>
  <si>
    <t>Costo del personale comparto ruolo professionale - altro</t>
  </si>
  <si>
    <t>BA2310</t>
  </si>
  <si>
    <t>Personale del ruolo tecnico</t>
  </si>
  <si>
    <t>BA2320</t>
  </si>
  <si>
    <t>Costo del personale dirigente ruolo tecnico</t>
  </si>
  <si>
    <t>BA2330</t>
  </si>
  <si>
    <t>Costo del personale dirigente ruolo tecnico - tempo indeterminato</t>
  </si>
  <si>
    <t>BA2340</t>
  </si>
  <si>
    <t>Altre competenze personale dirigente ruolo tecnico</t>
  </si>
  <si>
    <t>Costo del personale dirigente ruolo tecnico - tempo determinato</t>
  </si>
  <si>
    <t>BA2350</t>
  </si>
  <si>
    <t>Costo del personale dirigente ruolo tecnico - altro</t>
  </si>
  <si>
    <t>BA2360</t>
  </si>
  <si>
    <t>Costo del personale comparto ruolo tecnico</t>
  </si>
  <si>
    <t>BA2370</t>
  </si>
  <si>
    <t>Costo del personale comparto ruolo tecnico - tempo indeterminato</t>
  </si>
  <si>
    <t>BA2380</t>
  </si>
  <si>
    <t>Costo del personale comparto ruolo tecnico - tempo determinato</t>
  </si>
  <si>
    <t>BA2390</t>
  </si>
  <si>
    <t>Costo del personale comparto ruolo tecnico - altro</t>
  </si>
  <si>
    <t>BA2400</t>
  </si>
  <si>
    <t>Personale del ruolo amministrativo</t>
  </si>
  <si>
    <t>BA2410</t>
  </si>
  <si>
    <t>Costo del personale dirigente ruolo amministrativo</t>
  </si>
  <si>
    <t>BA2420</t>
  </si>
  <si>
    <t>Costo del personale dirigente ruolo amministrativo - tempo indeterminato</t>
  </si>
  <si>
    <t>BA2430</t>
  </si>
  <si>
    <t>Altre competenze personale dirigente ruolo amministrativo</t>
  </si>
  <si>
    <t>Costo del personale dirigente ruolo amministrativo - tempo determinato</t>
  </si>
  <si>
    <t>BA2440</t>
  </si>
  <si>
    <t>Costo del personale dirigente ruolo amministrativo - altro</t>
  </si>
  <si>
    <t>BA2450</t>
  </si>
  <si>
    <t>Costo del personale comparto ruolo amministrativo</t>
  </si>
  <si>
    <t>BA2460</t>
  </si>
  <si>
    <t>Costo del personale comparto ruolo amministrativo - tempo indeterminato</t>
  </si>
  <si>
    <t>BA2470</t>
  </si>
  <si>
    <t>Costo del personale comparto ruolo amministrativo - tempo determinato</t>
  </si>
  <si>
    <t>BA2480</t>
  </si>
  <si>
    <t>Costo del personale comparto ruolo amministrativo - altro</t>
  </si>
  <si>
    <t>BA2490</t>
  </si>
  <si>
    <t>BA2500</t>
  </si>
  <si>
    <t>Imposte e tasse (escluso IRAP e IRES)</t>
  </si>
  <si>
    <t>BA2510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</si>
  <si>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</si>
  <si>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</si>
  <si>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</si>
  <si>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</si>
  <si>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</si>
  <si>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</si>
  <si>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</si>
  <si>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</si>
  <si>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BA2520</t>
  </si>
  <si>
    <t>Altri oneri diversi di gestione</t>
  </si>
  <si>
    <t>BA2530</t>
  </si>
  <si>
    <t>Indennità, rimborso spese e oneri sociali per gli Organi Direttivi e Collegio Sindacale</t>
  </si>
  <si>
    <t>BA2540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</si>
  <si>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</si>
  <si>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</si>
  <si>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</si>
  <si>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</si>
  <si>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</si>
  <si>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</si>
  <si>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</si>
  <si>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BA2550</t>
  </si>
  <si>
    <t>Premi di assicurazione personale dipendente</t>
  </si>
  <si>
    <t>Contravvenzioni e sanzioni amministrative</t>
  </si>
  <si>
    <t>Altri oneri diversi di gestione da Aziende sanitarie pubbliche della Regione</t>
  </si>
  <si>
    <t>BA2551</t>
  </si>
  <si>
    <t>Altri oneri diversi di gestione - per Autoassicurazione</t>
  </si>
  <si>
    <t>BA2552</t>
  </si>
  <si>
    <t>Ammortamenti delle immobilizzazioni immateriali</t>
  </si>
  <si>
    <t>BA2570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</si>
  <si>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</si>
  <si>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</si>
  <si>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</si>
  <si>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</si>
  <si>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</si>
  <si>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</si>
  <si>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</si>
  <si>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</si>
  <si>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</si>
  <si>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BA2580</t>
  </si>
  <si>
    <t>Ammortamento dei fabbricati</t>
  </si>
  <si>
    <t>BA2590</t>
  </si>
  <si>
    <t>Ammortamenti fabbricati non strumentali (disponibili)</t>
  </si>
  <si>
    <t>BA2600</t>
  </si>
  <si>
    <t>Ammortamenti fabbricati strumentali (indisponibili)</t>
  </si>
  <si>
    <t>BA2610</t>
  </si>
  <si>
    <t>Ammortamenti delle altre immobilizzazioni materiali</t>
  </si>
  <si>
    <t>BA2620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</si>
  <si>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</si>
  <si>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</si>
  <si>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</si>
  <si>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</si>
  <si>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</si>
  <si>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</si>
  <si>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BA2630</t>
  </si>
  <si>
    <t>Svalutazione delle immobilizzazioni immateriali e materiali</t>
  </si>
  <si>
    <t>BA2640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</si>
  <si>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</si>
  <si>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</si>
  <si>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</si>
  <si>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</si>
  <si>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</si>
  <si>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</si>
  <si>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</si>
  <si>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</si>
  <si>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</si>
  <si>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</si>
  <si>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</si>
  <si>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</si>
  <si>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</si>
  <si>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</si>
  <si>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</si>
  <si>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</si>
  <si>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</si>
  <si>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BA2650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</si>
  <si>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</si>
  <si>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</si>
  <si>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</si>
  <si>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</si>
  <si>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</si>
  <si>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</si>
  <si>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</si>
  <si>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</si>
  <si>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</si>
  <si>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</si>
  <si>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</si>
  <si>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</si>
  <si>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</si>
  <si>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</si>
  <si>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</si>
  <si>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</si>
  <si>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</si>
  <si>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</si>
  <si>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</si>
  <si>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</si>
  <si>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</si>
  <si>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</si>
  <si>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</si>
  <si>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</si>
  <si>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</si>
  <si>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</si>
  <si>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</si>
  <si>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</si>
  <si>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</si>
  <si>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</si>
  <si>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</si>
  <si>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</si>
  <si>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</si>
  <si>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</si>
  <si>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</si>
  <si>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</si>
  <si>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della Regione - acconto quota FSR da distribuire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</si>
  <si>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</si>
  <si>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</si>
  <si>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</si>
  <si>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</si>
  <si>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v/Erario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</si>
  <si>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</si>
  <si>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</si>
  <si>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</si>
  <si>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</si>
  <si>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</si>
  <si>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BA2660</t>
  </si>
  <si>
    <t>Variazione rimanenze sanitarie</t>
  </si>
  <si>
    <t>BA2670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</si>
  <si>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</si>
  <si>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</si>
  <si>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</si>
  <si>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</si>
  <si>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</si>
  <si>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</si>
  <si>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</si>
  <si>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</si>
  <si>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Variazione rimanenze non sanitarie</t>
  </si>
  <si>
    <t>BA2680</t>
  </si>
  <si>
    <t>BA2681</t>
  </si>
  <si>
    <t>BA2682</t>
  </si>
  <si>
    <t>BA2683</t>
  </si>
  <si>
    <t>BA2684</t>
  </si>
  <si>
    <t>BA2685</t>
  </si>
  <si>
    <t>BA2686</t>
  </si>
  <si>
    <t>Accantonamenti dell’esercizio</t>
  </si>
  <si>
    <t>BA2690</t>
  </si>
  <si>
    <t>Accantonamenti per rischi</t>
  </si>
  <si>
    <t>BA2700</t>
  </si>
  <si>
    <t>Accantonamenti per cause civili ed oneri processuali</t>
  </si>
  <si>
    <t>BA2710</t>
  </si>
  <si>
    <t>Accantonamenti per contenzioso personale dipendente</t>
  </si>
  <si>
    <t>BA2720</t>
  </si>
  <si>
    <t>Accantonamenti per rischi connessi all'acquisto di prestazioni sanitarie da privato</t>
  </si>
  <si>
    <t>BA2730</t>
  </si>
  <si>
    <t>Accantonamenti per copertura diretta dei rischi (autoassicurazione)</t>
  </si>
  <si>
    <t>BA2740</t>
  </si>
  <si>
    <t>Accantonamenti per franchigia assicurativa</t>
  </si>
  <si>
    <t>BA2741</t>
  </si>
  <si>
    <t>Altri accantonamenti per rischi</t>
  </si>
  <si>
    <t>BA2750</t>
  </si>
  <si>
    <t>Accantonamenti al F.do equo indennizzo</t>
  </si>
  <si>
    <t>Accantonamenti per accordi bonari</t>
  </si>
  <si>
    <t>Altri accantonamenti per interessi di mora</t>
  </si>
  <si>
    <t>BA2751</t>
  </si>
  <si>
    <t>Accantonamenti per premio di operosità (SUMAI)</t>
  </si>
  <si>
    <t>BA2760</t>
  </si>
  <si>
    <t>Accantonamento al fondo SUMAI - Specialisti ambulatoriali</t>
  </si>
  <si>
    <t>Accantonamento al fondo SUMAI - altre professioni</t>
  </si>
  <si>
    <t>Accantonamenti per quote inutilizzate di contributi vincolati</t>
  </si>
  <si>
    <t>BA2770</t>
  </si>
  <si>
    <t xml:space="preserve"> Accantonamenti per quote inutilizzate contributi da Regione e Prov. Aut. per quota F.S. indistinto finalizzato</t>
  </si>
  <si>
    <t>BA2771</t>
  </si>
  <si>
    <t>Accantonamenti per quote inutilizzate contributi da Regione e Prov. Aut. per quota F.S. vincolato</t>
  </si>
  <si>
    <t>BA2780</t>
  </si>
  <si>
    <t>Accantonamenti per quote inutilizzate contributi da soggetti pubblici (extra fondo) vincolati</t>
  </si>
  <si>
    <t>BA2790</t>
  </si>
  <si>
    <t>Accantonamenti per quote inutilizzate contributi da soggetti pubblici per ricerca</t>
  </si>
  <si>
    <t>BA2800</t>
  </si>
  <si>
    <t>Accantonamenti per quote inutilizzate contributi vincolati da privati</t>
  </si>
  <si>
    <t>BA2810</t>
  </si>
  <si>
    <t>Accantonamenti per quote inutilizzate contributi vincolati da privati - sperimentazioni</t>
  </si>
  <si>
    <t>Accantonamenti per quote inutilizzate contributi vincolati da privati - altro</t>
  </si>
  <si>
    <t>Accantonamenti per quote inutilizzate contributi da soggetti privati per ricerca</t>
  </si>
  <si>
    <t>BA2811</t>
  </si>
  <si>
    <t>Altri accantonamenti</t>
  </si>
  <si>
    <t>BA2820</t>
  </si>
  <si>
    <t>Acc. Rinnovi convenzioni MMG/PLS/MCA</t>
  </si>
  <si>
    <t>BA2840</t>
  </si>
  <si>
    <t>Acc. Rinnovi convenzioni Medici Sumai</t>
  </si>
  <si>
    <t>BA2850</t>
  </si>
  <si>
    <t>Acc. Rinnovi contratt.: dirigenza medica</t>
  </si>
  <si>
    <t>BA2860</t>
  </si>
  <si>
    <t>Acc. Rinnovi contratt.: dirigenza non medica</t>
  </si>
  <si>
    <t>BA2870</t>
  </si>
  <si>
    <t>Acc. Rinnovi contratt.: comparto</t>
  </si>
  <si>
    <t>BA2880</t>
  </si>
  <si>
    <t>Acc. per Trattamento di fine rapporto dipendenti</t>
  </si>
  <si>
    <t>BA2881</t>
  </si>
  <si>
    <t>Acc. per Trattamenti di quiescenza e simili</t>
  </si>
  <si>
    <t>BA2882</t>
  </si>
  <si>
    <t>Acc. per Fondi integrativi pensione</t>
  </si>
  <si>
    <t>BA2883</t>
  </si>
  <si>
    <t>Acc. Incentivi funzioni tecniche art. 113 D.lgs 50/2016</t>
  </si>
  <si>
    <t>BA2884</t>
  </si>
  <si>
    <t>BA2890</t>
  </si>
  <si>
    <t>Interessi passivi</t>
  </si>
  <si>
    <t>CA0110</t>
  </si>
  <si>
    <t>Interessi passivi su anticipazioni di cassa</t>
  </si>
  <si>
    <t>CA0120</t>
  </si>
  <si>
    <t>Interessi passivi su mutui</t>
  </si>
  <si>
    <t>CA0130</t>
  </si>
  <si>
    <t>Altri interessi passivi</t>
  </si>
  <si>
    <t>CA0140</t>
  </si>
  <si>
    <t>Altri oneri</t>
  </si>
  <si>
    <t>Altri oneri finanziari</t>
  </si>
  <si>
    <t>CA0160</t>
  </si>
  <si>
    <t>Perdite su cambi</t>
  </si>
  <si>
    <t>CA0170</t>
  </si>
  <si>
    <t>Svalutazioni per rettifiche di valori di attività finanziarie</t>
  </si>
  <si>
    <t>DA0020</t>
  </si>
  <si>
    <t>EA0260</t>
  </si>
  <si>
    <t>Minusvalenze</t>
  </si>
  <si>
    <t>EA0270</t>
  </si>
  <si>
    <t>Altri oneri straordinari</t>
  </si>
  <si>
    <t>EA0280</t>
  </si>
  <si>
    <t>Oneri tributari da esercizi precedenti</t>
  </si>
  <si>
    <t>EA0290</t>
  </si>
  <si>
    <t>Oneri da cause civili ed oneri processuali</t>
  </si>
  <si>
    <t>EA0300</t>
  </si>
  <si>
    <t>Sopravvenienze passive</t>
  </si>
  <si>
    <t>EA0310</t>
  </si>
  <si>
    <t>Sopravvenienze passive v/Aziende sanitarie pubbliche della Regione</t>
  </si>
  <si>
    <t>EA0320</t>
  </si>
  <si>
    <t>Sopravvenienze passive v/Aziende sanitarie pubbliche relative alla mobilità intraregionale</t>
  </si>
  <si>
    <t>EA0330</t>
  </si>
  <si>
    <t>Altre sopravvenienze passive v/Aziende sanitarie pubbliche della Regione</t>
  </si>
  <si>
    <t>EA0340</t>
  </si>
  <si>
    <t>Sopravvenienze passive v/terzi</t>
  </si>
  <si>
    <t>EA0350</t>
  </si>
  <si>
    <t>Sopravvenienze passive v/terzi relative alla mobilità extraregionale</t>
  </si>
  <si>
    <t>EA0360</t>
  </si>
  <si>
    <t>Sopravvenienze passive v/terzi relative al personale</t>
  </si>
  <si>
    <t>EA0370</t>
  </si>
  <si>
    <t>Soprav. passive v/terzi relative al personale - dirigenza medica</t>
  </si>
  <si>
    <t>EA0380</t>
  </si>
  <si>
    <t>Soprav. passive v/terzi relative al personale - dirigenza non medica</t>
  </si>
  <si>
    <t>EA0390</t>
  </si>
  <si>
    <t>Soprav. passive v/terzi relative al personale - comparto</t>
  </si>
  <si>
    <t>EA0400</t>
  </si>
  <si>
    <t>Sopravvenienze passive v/terzi relative alle convenzioni con medici di base</t>
  </si>
  <si>
    <t>EA0410</t>
  </si>
  <si>
    <t>Sopravvenienze passive v/terzi relative alle convenzioni per la specialistica</t>
  </si>
  <si>
    <t>EA0420</t>
  </si>
  <si>
    <t>Sopravvenienze passive v/terzi relative all'acquisto prestaz. sanitarie da operatori accreditati</t>
  </si>
  <si>
    <t>EA0430</t>
  </si>
  <si>
    <t>Sopravvenienze passive v/terzi relative all'acquisto di beni e servizi</t>
  </si>
  <si>
    <t>EA0440</t>
  </si>
  <si>
    <t>Altre sopravvenienze passive v/terzi</t>
  </si>
  <si>
    <t>EA0450</t>
  </si>
  <si>
    <t>Insussistenze passive</t>
  </si>
  <si>
    <t>EA0460</t>
  </si>
  <si>
    <t>Insussistenze passive per quote FS vincolato</t>
  </si>
  <si>
    <t>EA0461</t>
  </si>
  <si>
    <t>Insussistenze passive v/Aziende sanitarie pubbliche della Regione</t>
  </si>
  <si>
    <t>EA0470</t>
  </si>
  <si>
    <t>Insussistenze passive v/terzi</t>
  </si>
  <si>
    <t>EA0480</t>
  </si>
  <si>
    <t>Insussistenze passive v/terzi relative alla mobilità extraregionale</t>
  </si>
  <si>
    <t>EA0490</t>
  </si>
  <si>
    <t>Insussistenze passive v/terzi relative al personale</t>
  </si>
  <si>
    <t>EA0500</t>
  </si>
  <si>
    <t>Insussistenze passive v/terzi relative alle convenzioni con medici di base</t>
  </si>
  <si>
    <t>EA0510</t>
  </si>
  <si>
    <t>Insussistenze passive v/terzi relative alle convenzioni per la specialistica</t>
  </si>
  <si>
    <t>EA0520</t>
  </si>
  <si>
    <t>Insussistenze passive v/terzi relative all'acquisto prestaz. sanitarie da operatori accreditati</t>
  </si>
  <si>
    <t>EA0530</t>
  </si>
  <si>
    <t>Insussistenze passive v/terzi relative all'acquisto di beni e servizi</t>
  </si>
  <si>
    <t>EA0540</t>
  </si>
  <si>
    <t>Altre insussistenze passive v/terzi</t>
  </si>
  <si>
    <t>EA0550</t>
  </si>
  <si>
    <t>EA0560</t>
  </si>
  <si>
    <t>YA0010</t>
  </si>
  <si>
    <t>IRAP relativa a personale dipendente</t>
  </si>
  <si>
    <t>YA0020</t>
  </si>
  <si>
    <t>IRAP relativa a collaboratori e personale assimilato a lavoro dipendente</t>
  </si>
  <si>
    <t>YA0030</t>
  </si>
  <si>
    <t>IRAP relativa ad attività di libera professione (intramoenia)</t>
  </si>
  <si>
    <t>YA0040</t>
  </si>
  <si>
    <t>IRAP relativa ad attività commerciale</t>
  </si>
  <si>
    <t>YA0050</t>
  </si>
  <si>
    <t>YA0060</t>
  </si>
  <si>
    <t>IRES su attività istituzionale</t>
  </si>
  <si>
    <t>YA0070</t>
  </si>
  <si>
    <t>IRES su attività commerciale</t>
  </si>
  <si>
    <t>YA0080</t>
  </si>
  <si>
    <t>Accantonamento a F.do Imposte (Accertamenti, condoni, ecc.)</t>
  </si>
  <si>
    <t>YA0090</t>
  </si>
  <si>
    <t>MINISTERO DELLA SALUTE</t>
  </si>
  <si>
    <t>CE</t>
  </si>
  <si>
    <t>Direzione Generale della Programmazione Sanitaria</t>
  </si>
  <si>
    <t>Direzione Generale della Digitalizzazione, del Sistema Informativo Sanitario e della Statistica</t>
  </si>
  <si>
    <t>MODELLO DI RILEVAZIONE DEL CONTO ECONOMICO 
ENTI DEL SERVIZIO SANITARIO NAZIONALE</t>
  </si>
  <si>
    <t>STRUTTURA RILEVATA</t>
  </si>
  <si>
    <t>PERIODO DI RILEVAZIONE</t>
  </si>
  <si>
    <t xml:space="preserve"> REGIONE</t>
  </si>
  <si>
    <t>ENTE SSN</t>
  </si>
  <si>
    <t xml:space="preserve">            ANNO</t>
  </si>
  <si>
    <t xml:space="preserve">    TRIMESTRE</t>
  </si>
  <si>
    <t xml:space="preserve">    PREVENTIVO</t>
  </si>
  <si>
    <t>CONSUNTIVO</t>
  </si>
  <si>
    <t>APPROVAZIONE BILANCIO DA PARTE DEL COLLEGIO SINDACALE</t>
  </si>
  <si>
    <t xml:space="preserve">SI </t>
  </si>
  <si>
    <t xml:space="preserve">NO  </t>
  </si>
  <si>
    <t>Cons</t>
  </si>
  <si>
    <t>CODICE</t>
  </si>
  <si>
    <t>DESCRIZIONE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</si>
  <si>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</si>
  <si>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</si>
  <si>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</si>
  <si>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</si>
  <si>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</si>
  <si>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A.1.A.1.1) Finanziamento indistinto</t>
  </si>
  <si>
    <t>A.1.A.1.2) Finanziamento indistinto finalizzato da Regione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</si>
  <si>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</si>
  <si>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</si>
  <si>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</si>
  <si>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</si>
  <si>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</si>
  <si>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</si>
  <si>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</si>
  <si>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</si>
  <si>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</si>
  <si>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</si>
  <si>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</si>
  <si>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</si>
  <si>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</si>
  <si>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</si>
  <si>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</si>
  <si>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</si>
  <si>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</si>
  <si>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</si>
  <si>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</si>
  <si>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</si>
  <si>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</si>
  <si>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</si>
  <si>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</si>
  <si>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</si>
  <si>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</si>
  <si>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</si>
  <si>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</si>
  <si>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</si>
  <si>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</si>
  <si>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</si>
  <si>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</si>
  <si>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</si>
  <si>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</si>
  <si>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</si>
  <si>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</si>
  <si>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</si>
  <si>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</si>
  <si>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</si>
  <si>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</si>
  <si>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</si>
  <si>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</si>
  <si>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</si>
  <si>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</si>
  <si>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</si>
  <si>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</si>
  <si>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</si>
  <si>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</si>
  <si>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</si>
  <si>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</si>
  <si>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</si>
  <si>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</si>
  <si>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</si>
  <si>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</si>
  <si>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</si>
  <si>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</si>
  <si>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</si>
  <si>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</si>
  <si>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</si>
  <si>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</si>
  <si>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</si>
  <si>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</si>
  <si>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</si>
  <si>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</si>
  <si>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</si>
  <si>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</si>
  <si>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</si>
  <si>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</si>
  <si>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</si>
  <si>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</si>
  <si>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</si>
  <si>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</si>
  <si>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</si>
  <si>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</si>
  <si>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</si>
  <si>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</si>
  <si>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</si>
  <si>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</si>
  <si>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</si>
  <si>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</si>
  <si>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</si>
  <si>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</si>
  <si>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</si>
  <si>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</si>
  <si>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</si>
  <si>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</si>
  <si>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</si>
  <si>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</si>
  <si>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</si>
  <si>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</si>
  <si>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</si>
  <si>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</si>
  <si>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</si>
  <si>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</si>
  <si>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</si>
  <si>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</si>
  <si>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</si>
  <si>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</si>
  <si>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</si>
  <si>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</si>
  <si>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</si>
  <si>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</si>
  <si>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</si>
  <si>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</si>
  <si>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</si>
  <si>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</si>
  <si>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</si>
  <si>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</si>
  <si>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</si>
  <si>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</si>
  <si>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</si>
  <si>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</si>
  <si>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</si>
  <si>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</si>
  <si>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</si>
  <si>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</si>
  <si>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</si>
  <si>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</si>
  <si>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</si>
  <si>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</si>
  <si>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</si>
  <si>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</si>
  <si>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</si>
  <si>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</si>
  <si>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</si>
  <si>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</si>
  <si>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</si>
  <si>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</si>
  <si>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</si>
  <si>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</si>
  <si>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</si>
  <si>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</si>
  <si>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</si>
  <si>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</si>
  <si>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</si>
  <si>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</si>
  <si>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</si>
  <si>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</si>
  <si>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</si>
  <si>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</si>
  <si>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</si>
  <si>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</si>
  <si>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</si>
  <si>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</si>
  <si>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</si>
  <si>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</si>
  <si>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</si>
  <si>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</si>
  <si>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</si>
  <si>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</si>
  <si>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</si>
  <si>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</si>
  <si>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</si>
  <si>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</si>
  <si>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</si>
  <si>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</si>
  <si>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</si>
  <si>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</si>
  <si>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</si>
  <si>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</si>
  <si>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</si>
  <si>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</si>
  <si>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</si>
  <si>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</si>
  <si>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</si>
  <si>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</si>
  <si>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</si>
  <si>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</si>
  <si>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</si>
  <si>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</si>
  <si>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</si>
  <si>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</si>
  <si>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</si>
  <si>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</si>
  <si>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</si>
  <si>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</si>
  <si>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</si>
  <si>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</si>
  <si>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</si>
  <si>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</si>
  <si>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</si>
  <si>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</si>
  <si>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</si>
  <si>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</si>
  <si>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</si>
  <si>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</si>
  <si>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</si>
  <si>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</si>
  <si>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</si>
  <si>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</si>
  <si>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</si>
  <si>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</si>
  <si>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</si>
  <si>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</si>
  <si>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</si>
  <si>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</si>
  <si>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</si>
  <si>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</si>
  <si>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</si>
  <si>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</si>
  <si>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</si>
  <si>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</si>
  <si>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</si>
  <si>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</si>
  <si>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</si>
  <si>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</si>
  <si>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</si>
  <si>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</si>
  <si>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</si>
  <si>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</si>
  <si>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</si>
  <si>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</si>
  <si>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</si>
  <si>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</si>
  <si>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</si>
  <si>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</si>
  <si>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</si>
  <si>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</si>
  <si>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</si>
  <si>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</si>
  <si>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</si>
  <si>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</si>
  <si>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</si>
  <si>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</si>
  <si>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</si>
  <si>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</si>
  <si>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</si>
  <si>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</si>
  <si>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</si>
  <si>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</si>
  <si>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</si>
  <si>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</si>
  <si>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</si>
  <si>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</si>
  <si>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</si>
  <si>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</si>
  <si>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</si>
  <si>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</si>
  <si>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</si>
  <si>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</si>
  <si>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</si>
  <si>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</si>
  <si>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</si>
  <si>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</si>
  <si>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</si>
  <si>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</si>
  <si>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</si>
  <si>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</si>
  <si>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</si>
  <si>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</si>
  <si>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</si>
  <si>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</si>
  <si>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</si>
  <si>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</si>
  <si>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</si>
  <si>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</si>
  <si>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</si>
  <si>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</si>
  <si>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</si>
  <si>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</si>
  <si>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</si>
  <si>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</si>
  <si>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</si>
  <si>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</si>
  <si>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</si>
  <si>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</si>
  <si>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</si>
  <si>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</si>
  <si>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</si>
  <si>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</si>
  <si>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</si>
  <si>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</si>
  <si>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</si>
  <si>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</si>
  <si>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</si>
  <si>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</si>
  <si>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</si>
  <si>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</si>
  <si>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</si>
  <si>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</si>
  <si>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</si>
  <si>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</si>
  <si>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</si>
  <si>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</si>
  <si>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</si>
  <si>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</si>
  <si>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</si>
  <si>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</si>
  <si>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</si>
  <si>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</si>
  <si>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</si>
  <si>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</si>
  <si>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</si>
  <si>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</si>
  <si>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</si>
  <si>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</si>
  <si>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</si>
  <si>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</si>
  <si>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</si>
  <si>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</si>
  <si>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</si>
  <si>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</si>
  <si>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</si>
  <si>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</si>
  <si>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</si>
  <si>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</si>
  <si>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</si>
  <si>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</si>
  <si>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</si>
  <si>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</si>
  <si>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</si>
  <si>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</si>
  <si>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</si>
  <si>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</si>
  <si>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</si>
  <si>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</si>
  <si>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</si>
  <si>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</si>
  <si>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</si>
  <si>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</si>
  <si>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</si>
  <si>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</si>
  <si>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</si>
  <si>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</si>
  <si>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</si>
  <si>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</si>
  <si>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</si>
  <si>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</si>
  <si>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</si>
  <si>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</si>
  <si>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</si>
  <si>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</si>
  <si>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</si>
  <si>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</si>
  <si>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</si>
  <si>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</si>
  <si>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</si>
  <si>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</si>
  <si>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</si>
  <si>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</si>
  <si>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</si>
  <si>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</si>
  <si>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</si>
  <si>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</si>
  <si>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</si>
  <si>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</si>
  <si>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</si>
  <si>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</si>
  <si>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</si>
  <si>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</si>
  <si>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</si>
  <si>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</si>
  <si>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</si>
  <si>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</si>
  <si>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</si>
  <si>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</si>
  <si>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</si>
  <si>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</si>
  <si>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</si>
  <si>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</si>
  <si>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</si>
  <si>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</si>
  <si>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</si>
  <si>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</si>
  <si>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</si>
  <si>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</si>
  <si>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</si>
  <si>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</si>
  <si>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</si>
  <si>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</si>
  <si>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</si>
  <si>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</si>
  <si>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</si>
  <si>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</si>
  <si>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</si>
  <si>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</si>
  <si>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</si>
  <si>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</si>
  <si>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</si>
  <si>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</si>
  <si>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</si>
  <si>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</si>
  <si>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</si>
  <si>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</si>
  <si>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</si>
  <si>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</si>
  <si>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</si>
  <si>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</si>
  <si>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</si>
  <si>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</si>
  <si>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</si>
  <si>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</si>
  <si>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</si>
  <si>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</si>
  <si>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</si>
  <si>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</si>
  <si>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</si>
  <si>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</si>
  <si>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</si>
  <si>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</si>
  <si>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</si>
  <si>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</si>
  <si>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</si>
  <si>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</si>
  <si>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</si>
  <si>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</si>
  <si>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</si>
  <si>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</si>
  <si>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</si>
  <si>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</si>
  <si>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</si>
  <si>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</si>
  <si>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</si>
  <si>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</si>
  <si>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</si>
  <si>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</si>
  <si>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</si>
  <si>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</si>
  <si>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</si>
  <si>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</si>
  <si>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</si>
  <si>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</si>
  <si>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</si>
  <si>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</si>
  <si>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</si>
  <si>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</si>
  <si>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</si>
  <si>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</si>
  <si>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</si>
  <si>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</si>
  <si>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</si>
  <si>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</si>
  <si>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</si>
  <si>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</si>
  <si>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</si>
  <si>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</si>
  <si>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</si>
  <si>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</si>
  <si>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</si>
  <si>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</si>
  <si>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</si>
  <si>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</si>
  <si>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</si>
  <si>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</si>
  <si>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</si>
  <si>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</si>
  <si>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</si>
  <si>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</si>
  <si>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</si>
  <si>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</si>
  <si>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</si>
  <si>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</si>
  <si>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</si>
  <si>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</si>
  <si>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</si>
  <si>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</si>
  <si>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</si>
  <si>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</si>
  <si>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</si>
  <si>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</si>
  <si>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</si>
  <si>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</si>
  <si>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</si>
  <si>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</si>
  <si>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</si>
  <si>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</si>
  <si>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</si>
  <si>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</si>
  <si>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</si>
  <si>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</si>
  <si>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</si>
  <si>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</si>
  <si>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</si>
  <si>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</si>
  <si>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</si>
  <si>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</si>
  <si>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</si>
  <si>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</si>
  <si>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</si>
  <si>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</si>
  <si>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</si>
  <si>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</si>
  <si>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</si>
  <si>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</si>
  <si>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</si>
  <si>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</si>
  <si>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</si>
  <si>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</si>
  <si>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</si>
  <si>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</si>
  <si>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</si>
  <si>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</si>
  <si>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</si>
  <si>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</si>
  <si>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</si>
  <si>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</si>
  <si>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</si>
  <si>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</si>
  <si>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</si>
  <si>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</si>
  <si>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</si>
  <si>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</si>
  <si>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</si>
  <si>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</si>
  <si>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</si>
  <si>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</si>
  <si>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</si>
  <si>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</si>
  <si>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</si>
  <si>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</si>
  <si>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</si>
  <si>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</si>
  <si>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</si>
  <si>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</si>
  <si>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</si>
  <si>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</si>
  <si>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</si>
  <si>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</si>
  <si>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</si>
  <si>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</si>
  <si>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</si>
  <si>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</si>
  <si>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</si>
  <si>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</si>
  <si>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</si>
  <si>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</si>
  <si>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</si>
  <si>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</si>
  <si>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</si>
  <si>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</si>
  <si>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</si>
  <si>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</si>
  <si>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</si>
  <si>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</si>
  <si>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</si>
  <si>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</si>
  <si>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</si>
  <si>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</si>
  <si>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</si>
  <si>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</si>
  <si>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</si>
  <si>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</si>
  <si>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</si>
  <si>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</si>
  <si>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</si>
  <si>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</si>
  <si>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</si>
  <si>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</si>
  <si>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</si>
  <si>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</si>
  <si>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</si>
  <si>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</si>
  <si>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</si>
  <si>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</si>
  <si>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</si>
  <si>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</si>
  <si>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</si>
  <si>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</si>
  <si>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</si>
  <si>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</si>
  <si>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</si>
  <si>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</si>
  <si>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</si>
  <si>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</si>
  <si>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</si>
  <si>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</si>
  <si>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</si>
  <si>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</si>
  <si>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</si>
  <si>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</si>
  <si>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</si>
  <si>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</si>
  <si>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</si>
  <si>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</si>
  <si>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</si>
  <si>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</si>
  <si>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</si>
  <si>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</si>
  <si>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</si>
  <si>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</si>
  <si>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</si>
  <si>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Data ……………………</t>
  </si>
  <si>
    <t>Il Funzionario responsabile dell'area economico-finanziaria</t>
  </si>
  <si>
    <t>Il Direttore Amministrativo</t>
  </si>
  <si>
    <t>………………………………………………………………………..</t>
  </si>
  <si>
    <t>Il Direttore Generale</t>
  </si>
  <si>
    <t>SOMMA</t>
  </si>
  <si>
    <t>Prestazioni di pronto soccorso non seguite da ricovero</t>
  </si>
  <si>
    <t>Finanziamento indistinto</t>
  </si>
  <si>
    <t>Funzioni</t>
  </si>
  <si>
    <t>Compartecipazione alla spesa per prestazioni sanitarie - Ticket sulle prestazioni di specialistica ambulatoriale e APA-PAC</t>
  </si>
  <si>
    <t>SCHEMA DI BILANCIO
Decreto interministeriale 20 marzo 2013</t>
  </si>
  <si>
    <t>Esercizio 
2019</t>
  </si>
  <si>
    <t>Importo
2019</t>
  </si>
  <si>
    <t>IMPORTO
2019</t>
  </si>
  <si>
    <t>(Centesimi di euro)</t>
  </si>
  <si>
    <t>STATO PATRIMONIALE
Attivo</t>
  </si>
  <si>
    <t>Importi: Unità di Euro</t>
  </si>
  <si>
    <t>IMMOBILIZZAZIONI</t>
  </si>
  <si>
    <t>Immobilizzazioni immateriali</t>
  </si>
  <si>
    <t>Costi d'impianto e di ampliamento</t>
  </si>
  <si>
    <t>Costi di ricerca, sviluppo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</si>
  <si>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</si>
  <si>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</si>
  <si>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</si>
  <si>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</si>
  <si>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</si>
  <si>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</si>
  <si>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</si>
  <si>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</si>
  <si>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</si>
  <si>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</si>
  <si>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</si>
  <si>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</si>
  <si>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</si>
  <si>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</si>
  <si>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</si>
  <si>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</si>
  <si>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</si>
  <si>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</si>
  <si>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</si>
  <si>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</si>
  <si>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</si>
  <si>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</si>
  <si>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</si>
  <si>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</si>
  <si>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</si>
  <si>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</si>
  <si>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</si>
  <si>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</si>
  <si>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</si>
  <si>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</si>
  <si>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</si>
  <si>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</si>
  <si>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</si>
  <si>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</si>
  <si>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</si>
  <si>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</si>
  <si>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</si>
  <si>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</si>
  <si>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</si>
  <si>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</si>
  <si>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</si>
  <si>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</si>
  <si>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</si>
  <si>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</si>
  <si>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</si>
  <si>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t>Crediti (con separata indicazione per ciascuna voce, degli importi esigibili oltre l'esercizio successivo)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</si>
  <si>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</si>
  <si>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</si>
  <si>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</si>
  <si>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</si>
  <si>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</si>
  <si>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</si>
  <si>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v/Ministero della Salute per ricerca corrente </t>
  </si>
  <si>
    <t>Crediti v/ 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</si>
  <si>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</si>
  <si>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</si>
  <si>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</si>
  <si>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</si>
  <si>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</si>
  <si>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</si>
  <si>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</si>
  <si>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</si>
  <si>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</si>
  <si>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</si>
  <si>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</si>
  <si>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</si>
  <si>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</si>
  <si>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</si>
  <si>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</si>
  <si>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</si>
  <si>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</si>
  <si>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</si>
  <si>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</si>
  <si>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</si>
  <si>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</si>
  <si>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</si>
  <si>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</si>
  <si>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</si>
  <si>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</si>
  <si>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</si>
  <si>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</si>
  <si>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</si>
  <si>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</si>
  <si>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</si>
  <si>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</si>
  <si>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</si>
  <si>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RATEI E RISCONTI ATTIVI</t>
  </si>
  <si>
    <t>Ratei attivi</t>
  </si>
  <si>
    <t>Risconti attivi</t>
  </si>
  <si>
    <t>Totale C)</t>
  </si>
  <si>
    <t>TOTALE ATTIVO (A+B+C)</t>
  </si>
  <si>
    <t>CONTI D'ORDINE</t>
  </si>
  <si>
    <t xml:space="preserve">1) </t>
  </si>
  <si>
    <t>Canoni leasing ancora da pagare</t>
  </si>
  <si>
    <t>Depositi cauzionali</t>
  </si>
  <si>
    <t>Beni in comodato</t>
  </si>
  <si>
    <t>Altri conti d'ordine</t>
  </si>
  <si>
    <t>Totale D)</t>
  </si>
  <si>
    <t>STATO PATRIMONIALE
Passivo e Patrimonio netto</t>
  </si>
  <si>
    <t>Importi: unità di Euro</t>
  </si>
  <si>
    <t>PATRIMONIO NETTO</t>
  </si>
  <si>
    <t>Fondo di dotazione</t>
  </si>
  <si>
    <t>Finanziamenti per investimenti</t>
  </si>
  <si>
    <t xml:space="preserve"> Finanziamenti per beni di prima dotazione</t>
  </si>
  <si>
    <t>Finanziamenti da Stato per investimenti</t>
  </si>
  <si>
    <t xml:space="preserve">a) </t>
  </si>
  <si>
    <t>Finanziamenti da Stato per investimenti - ex art. 20 legge 67/88</t>
  </si>
  <si>
    <t>Finanziamenti da Stato per ricerca</t>
  </si>
  <si>
    <t xml:space="preserve">c) 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</si>
  <si>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</si>
  <si>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</si>
  <si>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</si>
  <si>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</si>
  <si>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</si>
  <si>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</si>
  <si>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 xml:space="preserve">Contributi per ripiani perdite </t>
  </si>
  <si>
    <t>Utili (perdite) portati a nuovo</t>
  </si>
  <si>
    <t>VII</t>
  </si>
  <si>
    <t>Utile (Perdita) dell'esercizio</t>
  </si>
  <si>
    <t>FONDI PER RISCHI E ONERI</t>
  </si>
  <si>
    <t>Fondi per imposte, anche differite</t>
  </si>
  <si>
    <t>Fondi per rischi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</si>
  <si>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</si>
  <si>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</si>
  <si>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</si>
  <si>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</si>
  <si>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</si>
  <si>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dipendente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</si>
  <si>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</si>
  <si>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</si>
  <si>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</si>
  <si>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</si>
  <si>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</si>
  <si>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</si>
  <si>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</si>
  <si>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</si>
  <si>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</si>
  <si>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</si>
  <si>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e)</t>
  </si>
  <si>
    <t>Debiti v/ aziende sanitarie pubbliche della Regione per versamenti a patrimonio netto</t>
  </si>
  <si>
    <t>f)</t>
  </si>
  <si>
    <t>Debiti v/ aziende sanitarie pubbliche fuori Regione</t>
  </si>
  <si>
    <t>Debiti v/ società partecipate e/o enti dipendenti della Regione</t>
  </si>
  <si>
    <t>Debiti v/ fornitori</t>
  </si>
  <si>
    <t>Debiti v/ istituto tesoriere</t>
  </si>
  <si>
    <t>Debiti tributari</t>
  </si>
  <si>
    <t>10)</t>
  </si>
  <si>
    <t>Debiti v/ altri finanziatori</t>
  </si>
  <si>
    <t>11)</t>
  </si>
  <si>
    <t>Debiti v/ istituti previdenziali e sicurezza sociale</t>
  </si>
  <si>
    <t>12)</t>
  </si>
  <si>
    <t>Debiti v/ altri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</si>
  <si>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</si>
  <si>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</si>
  <si>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</si>
  <si>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</si>
  <si>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</si>
  <si>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</si>
  <si>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</si>
  <si>
    <t>SP</t>
  </si>
  <si>
    <t xml:space="preserve">MODELLO DI RILEVAZIONE DELLO STATO PATRIMONIALE 
ENTI DEL SERVIZIO SANITARIO NAZIONALE
</t>
  </si>
  <si>
    <t>OGGETTO DELLA RILEVAZIONE</t>
  </si>
  <si>
    <t xml:space="preserve">CONSUNTIVO </t>
  </si>
  <si>
    <t>(Centesimo di euro)</t>
  </si>
  <si>
    <t>AAZ999</t>
  </si>
  <si>
    <t>A) IMMOBILIZZAZIONI</t>
  </si>
  <si>
    <t>AAA000</t>
  </si>
  <si>
    <t>A.I) IMMOBILIZZAZIONI IMMATERIALI</t>
  </si>
  <si>
    <t>AAA010</t>
  </si>
  <si>
    <t>A.I.1) Costi di impianto e di ampliamento</t>
  </si>
  <si>
    <t>AAA020</t>
  </si>
  <si>
    <t>A.I.1.a) Costi di impianto e di ampliamento</t>
  </si>
  <si>
    <t>AAA030</t>
  </si>
  <si>
    <t>A.I.1.b) F.do Amm.to costi di impianto e di ampliamento</t>
  </si>
  <si>
    <t>AAA040</t>
  </si>
  <si>
    <t>A.I.2) Costi di ricerca e sviluppo</t>
  </si>
  <si>
    <t>AAA050</t>
  </si>
  <si>
    <t>A.I.2.a) Costi di ricerca e sviluppo</t>
  </si>
  <si>
    <t>AAA060</t>
  </si>
  <si>
    <t>A.I.2.b) F.do Amm.to costi di ricerca e sviluppo</t>
  </si>
  <si>
    <t>AAA070</t>
  </si>
  <si>
    <t>A.I.3) Diritti di brevetto e diritti di utilizzazione delle opere d'ingegno</t>
  </si>
  <si>
    <t>AAA080</t>
  </si>
  <si>
    <t>A.I.3.a) Diritti di brevetto e diritti di utilizzazione delle opere d'ingegno - derivanti dall'attività di ricerca</t>
  </si>
  <si>
    <t>AAA090</t>
  </si>
  <si>
    <t>A.I.3.b) F.do Amm.to diritti di brevetto e diritti di utilizzazione delle opere d'ingegno - derivanti dall'attività di ricerca</t>
  </si>
  <si>
    <t>AAA100</t>
  </si>
  <si>
    <t>A.I.3.c) Diritti di brevetto e diritti di utilizzazione delle opere d'ingegno - altri</t>
  </si>
  <si>
    <t>AAA110</t>
  </si>
  <si>
    <t>A.I.3.d) F.do Amm.to diritti di brevetto e diritti di utilizzazione delle opere d'ingegno - altri</t>
  </si>
  <si>
    <t>AAA120</t>
  </si>
  <si>
    <t>A.I.4) Immobilizzazioni immateriali in corso e acconti</t>
  </si>
  <si>
    <t>AAA130</t>
  </si>
  <si>
    <t>A.I.5) Altre immobilizzazioni immateriali</t>
  </si>
  <si>
    <t>AAA140</t>
  </si>
  <si>
    <t>A.I.5.a) Concessioni, licenze, marchi e diritti simili</t>
  </si>
  <si>
    <t>AAA150</t>
  </si>
  <si>
    <t>A.I.5.b) F.do Amm.to concessioni, licenze, marchi e diritti simili</t>
  </si>
  <si>
    <t>AAA160</t>
  </si>
  <si>
    <t>A.I.5.c) Migliorie su beni di terzi</t>
  </si>
  <si>
    <t>AAA170</t>
  </si>
  <si>
    <t>A.I.5.d) F.do Amm.to migliorie su beni di terzi</t>
  </si>
  <si>
    <t>AAA180</t>
  </si>
  <si>
    <t>A.I.5.e) Pubblicità</t>
  </si>
  <si>
    <t>AAA190</t>
  </si>
  <si>
    <t>A.I.5.f) F.do Amm.to pubblicità</t>
  </si>
  <si>
    <t>AAA200</t>
  </si>
  <si>
    <t>A.I.5.g) Altre immobilizzazioni immateriali</t>
  </si>
  <si>
    <t>AAA210</t>
  </si>
  <si>
    <t>A.I.5.h) F.do Amm.to altre immobilizzazioni immateriali</t>
  </si>
  <si>
    <t>AAA220</t>
  </si>
  <si>
    <t>A.I.6) Fondo Svalutazione immobilizzazioni immateriali</t>
  </si>
  <si>
    <t>AAA230</t>
  </si>
  <si>
    <t>A.I.6.a) F.do Svalut. Costi di impianto e di ampliamento</t>
  </si>
  <si>
    <t>AAA240</t>
  </si>
  <si>
    <t>A.I.6.b) F.do Svalut. Costi di ricerca e sviluppo</t>
  </si>
  <si>
    <t>AAA250</t>
  </si>
  <si>
    <t>A.I.6.c) F.do Svalut. Diritti di brevetto e diritti di utilizzazione delle opere d'ingegno</t>
  </si>
  <si>
    <t>AAA260</t>
  </si>
  <si>
    <t>A.I.6.d) F.do Svalut. Altre immobilizzazioni immateriali</t>
  </si>
  <si>
    <t>AAA270</t>
  </si>
  <si>
    <t>A.II)IMMOBILIZZAZIONI MATERIALI</t>
  </si>
  <si>
    <t>AAA280</t>
  </si>
  <si>
    <t>A.II.1) Terreni</t>
  </si>
  <si>
    <t>AAA290</t>
  </si>
  <si>
    <t>A.II.1.a) Terreni disponibili</t>
  </si>
  <si>
    <t>AAA300</t>
  </si>
  <si>
    <t>A.II.1.b) Terreni indisponibili</t>
  </si>
  <si>
    <t>AAA310</t>
  </si>
  <si>
    <t>A.II.2) Fabbricati</t>
  </si>
  <si>
    <t>AAA320</t>
  </si>
  <si>
    <t>A.II.2.a) Fabbricati non strumentali (disponibili)</t>
  </si>
  <si>
    <t>AAA330</t>
  </si>
  <si>
    <t>A.II.2.a.1) Fabbricati non strumentali (disponibili)</t>
  </si>
  <si>
    <t>AAA340</t>
  </si>
  <si>
    <t>A.II.2.a.2) F.do Amm.to Fabbricati non strumentali (disponibili)</t>
  </si>
  <si>
    <t>AAA350</t>
  </si>
  <si>
    <t>A.II.2.b) Fabbricati strumentali (indisponibili)</t>
  </si>
  <si>
    <t>AAA360</t>
  </si>
  <si>
    <t>A.II.2.b.1) Fabbricati strumentali (indisponibili)</t>
  </si>
  <si>
    <t>AAA370</t>
  </si>
  <si>
    <t>A.II.2.b.2) F.do Amm.to Fabbricati strumentali (indisponibili)</t>
  </si>
  <si>
    <t>AAA380</t>
  </si>
  <si>
    <t>A.II.3) Impianti e macchinari</t>
  </si>
  <si>
    <t>AAA390</t>
  </si>
  <si>
    <t>A.II.3.a) Impianti e macchinari</t>
  </si>
  <si>
    <t>AAA400</t>
  </si>
  <si>
    <t>A.II.3.b) F.do Amm.to Impianti e macchinari</t>
  </si>
  <si>
    <t>AAA410</t>
  </si>
  <si>
    <t>A.II.4) Attrezzature sanitarie e scientifiche</t>
  </si>
  <si>
    <t>AAA420</t>
  </si>
  <si>
    <t>A.II.4.a) Attrezzature sanitarie e scientifiche</t>
  </si>
  <si>
    <t>AAA430</t>
  </si>
  <si>
    <t>A.II.4.b) F.do Amm.to Attrezzature sanitarie e scientifiche</t>
  </si>
  <si>
    <t>AAA440</t>
  </si>
  <si>
    <t>A.II.5) Mobili e arredi</t>
  </si>
  <si>
    <t>AAA450</t>
  </si>
  <si>
    <t>A.II.5.a) Mobili e arredi</t>
  </si>
  <si>
    <t>AAA460</t>
  </si>
  <si>
    <t>A.II.5.b) F.do Amm.to Mobili e arredi</t>
  </si>
  <si>
    <t>AAA470</t>
  </si>
  <si>
    <t>A.II.6) Automezzi</t>
  </si>
  <si>
    <t>AAA480</t>
  </si>
  <si>
    <t>A.II.6.a) Automezzi</t>
  </si>
  <si>
    <t>AAA490</t>
  </si>
  <si>
    <t>A.II.6.b) F.do Amm.to Automezzi</t>
  </si>
  <si>
    <t>AAA500</t>
  </si>
  <si>
    <t>A.II.7) Oggetti d'arte</t>
  </si>
  <si>
    <t>AAA510</t>
  </si>
  <si>
    <t>A.II.8) Altre immobilizzazioni materiali</t>
  </si>
  <si>
    <t>AAA520</t>
  </si>
  <si>
    <t>A.II.8.a) Altre immobilizzazioni materiali</t>
  </si>
  <si>
    <t>AAA530</t>
  </si>
  <si>
    <t>A.II.8.b) F.do Amm.to Altre immobilizzazioni materiali</t>
  </si>
  <si>
    <t>AAA540</t>
  </si>
  <si>
    <t>A.II.9) Immobilizzazioni materiali in corso e acconti</t>
  </si>
  <si>
    <t>AAA550</t>
  </si>
  <si>
    <t>A.II.10) Fondo Svalutazione immobilizzazioni materiali</t>
  </si>
  <si>
    <t>AAA560</t>
  </si>
  <si>
    <t>A.II.10.a) F.do Svalut. Terreni</t>
  </si>
  <si>
    <t>AAA570</t>
  </si>
  <si>
    <t>A.II.10.b) F.do Svalut. Fabbricati</t>
  </si>
  <si>
    <t>AAA580</t>
  </si>
  <si>
    <t>A.II.10.c) F.do Svalut. Impianti e macchinari</t>
  </si>
  <si>
    <t>AAA590</t>
  </si>
  <si>
    <t>A.II.10.d) F.do Svalut. Attrezzature sanitarie e scientifiche</t>
  </si>
  <si>
    <t>AAA600</t>
  </si>
  <si>
    <t>A.II.10.e) F.do Svalut. Mobili e arredi</t>
  </si>
  <si>
    <t>AAA610</t>
  </si>
  <si>
    <t>A.II.10.f) F.do Svalut. Automezzi</t>
  </si>
  <si>
    <t>AAA620</t>
  </si>
  <si>
    <t>A.II.10.g) F.do Svalut. Oggetti d'arte</t>
  </si>
  <si>
    <t>AAA630</t>
  </si>
  <si>
    <t>A.II.10.h) F.do Svalut. Altre immobilizzazioni materiali</t>
  </si>
  <si>
    <t>AAA640</t>
  </si>
  <si>
    <t>A.III)IMMOBILIZZAZIONI FINANZIARIE</t>
  </si>
  <si>
    <t>AAA650</t>
  </si>
  <si>
    <t>A.III.1) Crediti finanziari</t>
  </si>
  <si>
    <t>AAA660</t>
  </si>
  <si>
    <t>A.III.1.a) Crediti finanziari v/Stato</t>
  </si>
  <si>
    <t>AAA670</t>
  </si>
  <si>
    <t>A.III.1.b) Crediti finanziari v/Regione</t>
  </si>
  <si>
    <t>AAA680</t>
  </si>
  <si>
    <t>A.III.1.c) Crediti finanziari v/partecipate</t>
  </si>
  <si>
    <t>AAA690</t>
  </si>
  <si>
    <t>A.III.1.d) Crediti finanziari v/altri</t>
  </si>
  <si>
    <t>AAA700</t>
  </si>
  <si>
    <t>A.III.2) Titoli</t>
  </si>
  <si>
    <t>AAA710</t>
  </si>
  <si>
    <t>A.III.2.a) Partecipazioni</t>
  </si>
  <si>
    <t>AAA720</t>
  </si>
  <si>
    <t>A.III.2.b) Altri titoli</t>
  </si>
  <si>
    <t>AAA730</t>
  </si>
  <si>
    <t>A.III.2.b.1) Titoli di Stato</t>
  </si>
  <si>
    <t>AAA740</t>
  </si>
  <si>
    <t>A.III.2.b.2) Altre Obbligazioni</t>
  </si>
  <si>
    <t>AAA750</t>
  </si>
  <si>
    <t>A.III.2.b.3) Titoli azionari quotati in Borsa</t>
  </si>
  <si>
    <t>AAA760</t>
  </si>
  <si>
    <t>A.III.2.b.4) Titoli diversi</t>
  </si>
  <si>
    <t>ABZ999</t>
  </si>
  <si>
    <t>B) ATTIVO CIRCOLANTE</t>
  </si>
  <si>
    <t>ABA000</t>
  </si>
  <si>
    <t>B.I) RIMANENZE</t>
  </si>
  <si>
    <t>ABA010</t>
  </si>
  <si>
    <t>B.I.1) Rimanenze beni sanitari</t>
  </si>
  <si>
    <t>ABA020</t>
  </si>
  <si>
    <t>B.I.1.a) Prodotti farmaceutici ed emoderivati</t>
  </si>
  <si>
    <t>ABA030</t>
  </si>
  <si>
    <t>B.I.1.b) Sangue ed emocomponenti</t>
  </si>
  <si>
    <t>ABA040</t>
  </si>
  <si>
    <t>B.I.1.c) Dispositivi medici</t>
  </si>
  <si>
    <t>ABA050</t>
  </si>
  <si>
    <t>B.I.1.d) Prodotti dietetici</t>
  </si>
  <si>
    <t>ABA060</t>
  </si>
  <si>
    <t>B.I.1.e) Materiali per la profilassi (vaccini)</t>
  </si>
  <si>
    <t>ABA070</t>
  </si>
  <si>
    <t>B.I.1.f) Prodotti chimici</t>
  </si>
  <si>
    <t>ABA080</t>
  </si>
  <si>
    <t>B.I.1.g) Materiali e prodotti per uso veterinario</t>
  </si>
  <si>
    <t>ABA090</t>
  </si>
  <si>
    <t>B.I.1.h) Altri beni e prodotti sanitari</t>
  </si>
  <si>
    <t>ABA100</t>
  </si>
  <si>
    <t>B.I.1.i) Acconti per acquisto di beni e prodotti sanitari</t>
  </si>
  <si>
    <t>ABA110</t>
  </si>
  <si>
    <t>B.I.2) Rimanenze beni non sanitari</t>
  </si>
  <si>
    <t>ABA120</t>
  </si>
  <si>
    <t>B.I.2.a) Prodotti alimentari</t>
  </si>
  <si>
    <t>ABA130</t>
  </si>
  <si>
    <t>B.I.2.b) Materiali di guardaroba, di pulizia, e di convivenza in genere</t>
  </si>
  <si>
    <t>ABA140</t>
  </si>
  <si>
    <t>B.I.2.c) Combustibili, carburanti e lubrificanti</t>
  </si>
  <si>
    <t>ABA150</t>
  </si>
  <si>
    <t>B.I.2.d) Supporti informatici e cancelleria</t>
  </si>
  <si>
    <t>ABA160</t>
  </si>
  <si>
    <t>B.I.2.e) Materiale per la manutenzione</t>
  </si>
  <si>
    <t>ABA170</t>
  </si>
  <si>
    <t>B.I.2.f) Altri beni e prodotti non sanitari</t>
  </si>
  <si>
    <t>ABA180</t>
  </si>
  <si>
    <t>B.I.2.g) Acconti per acquisto di beni e prodotti non sanitari</t>
  </si>
  <si>
    <t>ABA190</t>
  </si>
  <si>
    <t xml:space="preserve">B.II) CREDITI </t>
  </si>
  <si>
    <t>ABA200</t>
  </si>
  <si>
    <t>B.II.1) Crediti v/Stato</t>
  </si>
  <si>
    <t>ABA201</t>
  </si>
  <si>
    <t>B.II.1.a) Crediti v/Stato per spesa corrente - FSN indistinto</t>
  </si>
  <si>
    <t>ABA220</t>
  </si>
  <si>
    <t>B.II.1.b) Crediti v/Stato per spesa corrente - FSN vincolato</t>
  </si>
  <si>
    <t>ABA230</t>
  </si>
  <si>
    <t>B.II.1.c) Crediti v/Stato per mobilità attiva extraregionale</t>
  </si>
  <si>
    <t>ABA240</t>
  </si>
  <si>
    <t>B.II.1.d) Crediti v/Stato per mobilità attiva internazionale</t>
  </si>
  <si>
    <t>ABA250</t>
  </si>
  <si>
    <t>B.II.1.e) Crediti v/Stato per acconto quota fabbisogno sanitario regionale standard</t>
  </si>
  <si>
    <t>ABA260</t>
  </si>
  <si>
    <t>B.II.1.f) Crediti v/Stato per finanziamento sanitario aggiuntivo corrente</t>
  </si>
  <si>
    <t>ABA270</t>
  </si>
  <si>
    <t>B.II.1.g) Crediti v/Stato per spesa corrente - altro</t>
  </si>
  <si>
    <t>ABA271</t>
  </si>
  <si>
    <t>B.II.1.h) Crediti v/Stato per spesa corrente per STP (ex D.lgs. 286/98)</t>
  </si>
  <si>
    <t>ABA280</t>
  </si>
  <si>
    <t>B.II.1.i) Crediti v/Stato per finanziamenti per investimenti</t>
  </si>
  <si>
    <t>ABA290</t>
  </si>
  <si>
    <t>B.II.1.j) Crediti v/Stato per ricerca</t>
  </si>
  <si>
    <t>ABA300</t>
  </si>
  <si>
    <t>B.II.1.j.1) Crediti v/Stato per ricerca corrente - Ministero della Salute</t>
  </si>
  <si>
    <t>ABA310</t>
  </si>
  <si>
    <t>B.II.1.j.2) Crediti v/Stato per ricerca finalizzata - Ministero della Salute</t>
  </si>
  <si>
    <t>ABA320</t>
  </si>
  <si>
    <t xml:space="preserve">B.II.1.j.3) Crediti v/Stato per ricerca - altre Amministrazioni centrali </t>
  </si>
  <si>
    <t>ABA330</t>
  </si>
  <si>
    <t>B.II.1.j.4) Crediti v/Stato per ricerca - finanziamenti per investimenti</t>
  </si>
  <si>
    <t>ABA340</t>
  </si>
  <si>
    <t>B.II.1.k) Crediti v/prefetture</t>
  </si>
  <si>
    <t>ABA350</t>
  </si>
  <si>
    <t>B.II.2) Crediti v/Regione o Provincia Autonoma</t>
  </si>
  <si>
    <t>ABA360</t>
  </si>
  <si>
    <t>B.II.2.a) Crediti v/Regione o Provincia Autonoma per spesa corrente</t>
  </si>
  <si>
    <t>RR</t>
  </si>
  <si>
    <t>ABA390</t>
  </si>
  <si>
    <t>B.II.2.a.1) Crediti v/Regione o Provincia Autonoma per quota FSR</t>
  </si>
  <si>
    <t>ABA400</t>
  </si>
  <si>
    <t>B.II.2.a.2) Crediti v/Regione o Provincia Autonoma per mobilità attiva intraregionale</t>
  </si>
  <si>
    <t>ABA410</t>
  </si>
  <si>
    <t>B.II.2.a.3) Crediti v/Regione o Provincia Autonoma per mobilità attiva extraregionale</t>
  </si>
  <si>
    <t>ABA420</t>
  </si>
  <si>
    <t>B.II.2.a.4) Crediti v/Regione o Provincia Autonoma per acconto quota FSR</t>
  </si>
  <si>
    <t>ABA430</t>
  </si>
  <si>
    <t>B.II.2.a.5) Crediti v/Regione o Provincia Autonoma per finanziamento sanitario aggiuntivo corrente LEA</t>
  </si>
  <si>
    <t>ABA440</t>
  </si>
  <si>
    <t>B.II.2.a.6) Crediti v/Regione o Provincia Autonoma per finanziamento sanitario aggiuntivo corrente extra LEA</t>
  </si>
  <si>
    <t>ABA450</t>
  </si>
  <si>
    <t>B.II.2.a.7) Crediti v/Regione o Provincia Autonoma per spesa corrente - altro</t>
  </si>
  <si>
    <t>ABA451</t>
  </si>
  <si>
    <t>B.II.2.a.8) Crediti v/Regione o Provincia Autonoma per spesa corrente - STP (ex D.lgs. 286/98)</t>
  </si>
  <si>
    <t>ABA460</t>
  </si>
  <si>
    <t>B.II.2.a.9) Crediti v/Regione o Provincia Autonoma per ricerca</t>
  </si>
  <si>
    <t>ABA461</t>
  </si>
  <si>
    <t>B.II.2.a.10) Crediti v/Regione o Provincia Autonoma per mobilità attiva internazionale</t>
  </si>
  <si>
    <t>ABA470</t>
  </si>
  <si>
    <t>B.II.2.b) Crediti v/Regione o Provincia Autonoma per versamenti a patrimonio netto</t>
  </si>
  <si>
    <t>ABA480</t>
  </si>
  <si>
    <t>B.II.2.b.1) Crediti v/Regione o Provincia Autonoma per finanziamenti per investimenti</t>
  </si>
  <si>
    <t>ABA490</t>
  </si>
  <si>
    <t>B.II.2.b.2) Crediti v/Regione o Provincia Autonoma per incremento fondo dotazione</t>
  </si>
  <si>
    <t>ABA500</t>
  </si>
  <si>
    <t>B.II.2.b.3) Crediti v/Regione o Provincia Autonoma per ripiano perdite</t>
  </si>
  <si>
    <t>ABA501</t>
  </si>
  <si>
    <t>B.II.2.b.4) Crediti v/Regione o Provincia Autonoma per anticipazione ripiano disavanzo programmato dai Piani aziendali di cui all'art. 1, comma 528, L. 208/2015</t>
  </si>
  <si>
    <t>ABA510</t>
  </si>
  <si>
    <t>B.II.2.b.5) Crediti v/Regione per copertura debiti al 31/12/2005</t>
  </si>
  <si>
    <t>ABA520</t>
  </si>
  <si>
    <t>B.II.2.b.6) Crediti v/Regione o Provincia Autonoma per ricostituzione risorse da investimenti esercizi precedenti</t>
  </si>
  <si>
    <t>ABA521</t>
  </si>
  <si>
    <t>B.II.2.c)  Crediti v/Regione o Provincia Autonoma per contributi L. 210/92</t>
  </si>
  <si>
    <t>ABA522</t>
  </si>
  <si>
    <t>B.II.2.d) Crediti v/Regione o Provincia Autonoma per contributi L. 210/92 – aziende sanitarie</t>
  </si>
  <si>
    <t>ABA530</t>
  </si>
  <si>
    <t>B.II.3) Crediti v/Comuni</t>
  </si>
  <si>
    <t>ABA540</t>
  </si>
  <si>
    <t>B.II.4) Crediti v/Aziende sanitarie pubbliche</t>
  </si>
  <si>
    <t>ABA550</t>
  </si>
  <si>
    <t>B.II.4.a) Crediti v/Aziende sanitarie pubbliche della Regione</t>
  </si>
  <si>
    <t>ABA560</t>
  </si>
  <si>
    <t>B.II.4.a.1) Crediti v/Aziende sanitarie pubbliche della Regione - per mobilità in compensazione</t>
  </si>
  <si>
    <t>ABA570</t>
  </si>
  <si>
    <t>B.II.4.a.2) Crediti v/Aziende sanitarie pubbliche della Regione - per mobilità non in compensazione</t>
  </si>
  <si>
    <t>ABA580</t>
  </si>
  <si>
    <t>B.II.4.a.3) Crediti v/Aziende sanitarie pubbliche della Regione - per altre prestazioni</t>
  </si>
  <si>
    <t>ABA590</t>
  </si>
  <si>
    <t>B.II.4.b) Acconto quota FSR da distribuire</t>
  </si>
  <si>
    <t>ABA591</t>
  </si>
  <si>
    <t>B.II.4.c) Crediti v/Aziende sanitarie pubbliche della Regione per anticipazione ripiano disavanzo programmato dai Piani aziendali di cui all'art. 1, comma 528, L. 208/2015</t>
  </si>
  <si>
    <t>ABA600</t>
  </si>
  <si>
    <t>B.II.4.d) Crediti v/Aziende sanitarie pubbliche Extraregione</t>
  </si>
  <si>
    <t>ABA601</t>
  </si>
  <si>
    <t xml:space="preserve">B.II.4.e)  Crediti v/Aziende sanitarie pubbliche della Regione - per Contributi da Aziende sanitarie pubbliche della Regione o Prov. Aut. (extra fondo) </t>
  </si>
  <si>
    <t>ABA610</t>
  </si>
  <si>
    <t>B.II.5) Crediti v/società partecipate e/o enti dipendenti della Regione</t>
  </si>
  <si>
    <t>ABA620</t>
  </si>
  <si>
    <t>B.II.5.a) Crediti v/enti regionali</t>
  </si>
  <si>
    <t>ABA630</t>
  </si>
  <si>
    <t>B.II.5.b) Crediti v/sperimentazioni gestionali</t>
  </si>
  <si>
    <t>ABA640</t>
  </si>
  <si>
    <t>B.II.5.c) Crediti v/altre partecipate</t>
  </si>
  <si>
    <t>ABA650</t>
  </si>
  <si>
    <t>B.II.6) Crediti v/Erario</t>
  </si>
  <si>
    <t>ABA660</t>
  </si>
  <si>
    <t>B.II.7) Crediti v/altri</t>
  </si>
  <si>
    <t>ABA670</t>
  </si>
  <si>
    <t>B.II.7.a) Crediti v/clienti privati</t>
  </si>
  <si>
    <t>ABA680</t>
  </si>
  <si>
    <t>B.II.7.b) Crediti v/gestioni liquidatorie</t>
  </si>
  <si>
    <t>ABA690</t>
  </si>
  <si>
    <t>B.II.7.c) Crediti v/altri soggetti pubblici</t>
  </si>
  <si>
    <t>ABA700</t>
  </si>
  <si>
    <t>B.II.7.d) Crediti v/altri soggetti pubblici per ricerca</t>
  </si>
  <si>
    <t>ABA710</t>
  </si>
  <si>
    <t>B.II.7.e) Altri crediti diversi</t>
  </si>
  <si>
    <t>ABA711</t>
  </si>
  <si>
    <t xml:space="preserve">B.II.7.e.1) Altri Crediti  diversi </t>
  </si>
  <si>
    <t>ABA712</t>
  </si>
  <si>
    <t>B.II.7.e.2) Note di credito da emettere (diverse)</t>
  </si>
  <si>
    <t>ABA713</t>
  </si>
  <si>
    <t>B.II.7.f) Altri Crediti verso erogatori (privati accreditati e convenzionati) di prestazioni sanitarie</t>
  </si>
  <si>
    <t>ABA714</t>
  </si>
  <si>
    <t>B.II.7.f.1) Altri Crediti verso erogatori (privati accreditati e convenzionati) di prestazioni sanitarie</t>
  </si>
  <si>
    <t>ABA715</t>
  </si>
  <si>
    <t>B.II.7.f.2) Note di credito da emettere  (privati accreditati e convenzionati)</t>
  </si>
  <si>
    <t>ABA720</t>
  </si>
  <si>
    <t>B.III) ATTIVITA' FINANZIARIE CHE NON COSTITUISCONO IMMOBILIZZAZIONI</t>
  </si>
  <si>
    <t>ABA730</t>
  </si>
  <si>
    <t>B.III.1) Partecipazioni che non costituiscono immobilizzazioni</t>
  </si>
  <si>
    <t>ABA740</t>
  </si>
  <si>
    <t>B.III.2) Altri titoli che non costituiscono immobilizzazioni</t>
  </si>
  <si>
    <t>ABA750</t>
  </si>
  <si>
    <t>B.IV) DISPONIBILITA' LIQUIDE</t>
  </si>
  <si>
    <t>ABA760</t>
  </si>
  <si>
    <t>B.IV.1) Cassa</t>
  </si>
  <si>
    <t>ABA770</t>
  </si>
  <si>
    <t>B.IV.2) Istituto Tesoriere</t>
  </si>
  <si>
    <t>ABA780</t>
  </si>
  <si>
    <t>B.IV.3) Tesoreria Unica</t>
  </si>
  <si>
    <t>ABA790</t>
  </si>
  <si>
    <t>B.IV.4) Conto corrente postale</t>
  </si>
  <si>
    <t>ACZ999</t>
  </si>
  <si>
    <t>C) RATEI E RISCONTI ATTIVI</t>
  </si>
  <si>
    <t>ACA000</t>
  </si>
  <si>
    <t>C.I) RATEI ATTIVI</t>
  </si>
  <si>
    <t>ACA010</t>
  </si>
  <si>
    <t>C.I.1) Ratei attivi</t>
  </si>
  <si>
    <t>ACA020</t>
  </si>
  <si>
    <t>C.I.2) Ratei attivi v/Aziende sanitarie pubbliche della Regione</t>
  </si>
  <si>
    <t>ACA030</t>
  </si>
  <si>
    <t>C.II) RISCONTI ATTIVI</t>
  </si>
  <si>
    <t>ACA040</t>
  </si>
  <si>
    <t>C.II.1) Risconti attivi</t>
  </si>
  <si>
    <t>ACA050</t>
  </si>
  <si>
    <t>C.II.2) Risconti attivi v/Aziende sanitarie pubbliche della Regione</t>
  </si>
  <si>
    <t>AZZ999</t>
  </si>
  <si>
    <t>D) TOTALE ATTIVO</t>
  </si>
  <si>
    <t>ADZ999</t>
  </si>
  <si>
    <t>E) CONTI D'ORDINE</t>
  </si>
  <si>
    <t>ADA000</t>
  </si>
  <si>
    <t>E.I) CANONI DI LEASING ANCORA DA PAGARE</t>
  </si>
  <si>
    <t>ADA010</t>
  </si>
  <si>
    <t>E.II) DEPOSITI CAUZIONALI</t>
  </si>
  <si>
    <t>ADA020</t>
  </si>
  <si>
    <t>E.III) BENI IN COMODATO</t>
  </si>
  <si>
    <t>ADA021</t>
  </si>
  <si>
    <t>E.IV) CANONI DI PROJECT FINANCING ANCORA DA PAGARE</t>
  </si>
  <si>
    <t>ADA030</t>
  </si>
  <si>
    <t>E.V) ALTRI CONTI D'ORDINE</t>
  </si>
  <si>
    <t>PAZ999</t>
  </si>
  <si>
    <t>A) PATRIMONIO NETTO</t>
  </si>
  <si>
    <t>PAA000</t>
  </si>
  <si>
    <t>A.I) FONDO DI DOTAZIONE</t>
  </si>
  <si>
    <t>PAA010</t>
  </si>
  <si>
    <t>A.II) FINANZIAMENTI PER INVESTIMENTI</t>
  </si>
  <si>
    <t>PAA020</t>
  </si>
  <si>
    <t>A.II.1) Finanziamenti per beni di prima dotazione</t>
  </si>
  <si>
    <t>PAA030</t>
  </si>
  <si>
    <t>A.II.2) Finanziamenti da Stato per investimenti</t>
  </si>
  <si>
    <t>PAA040</t>
  </si>
  <si>
    <t>A.II.2.a) Finanziamenti da Stato per investimenti - ex art. 20 legge 67/88</t>
  </si>
  <si>
    <t>PAA050</t>
  </si>
  <si>
    <t>A.II.2.b) Finanziamenti da Stato per investimenti - ricerca</t>
  </si>
  <si>
    <t>PAA060</t>
  </si>
  <si>
    <t>A.II.2.c) Finanziamenti da Stato per investimenti - altro</t>
  </si>
  <si>
    <t>PAA070</t>
  </si>
  <si>
    <t>A.II.3) Finanziamenti da Regione per investimenti</t>
  </si>
  <si>
    <t>PAA080</t>
  </si>
  <si>
    <t>A.II.4) Finanziamenti da altri soggetti pubblici per investimenti</t>
  </si>
  <si>
    <t>PAA090</t>
  </si>
  <si>
    <t>A.II.5) Finanziamenti per investimenti da rettifica contributi in conto esercizio</t>
  </si>
  <si>
    <t>PAA100</t>
  </si>
  <si>
    <t>A.III) RISERVE DA DONAZIONI E LASCITI VINCOLATI AD INVESTIMENTI</t>
  </si>
  <si>
    <t>PAA110</t>
  </si>
  <si>
    <t>A.IV) ALTRE RISERVE</t>
  </si>
  <si>
    <t>PAA120</t>
  </si>
  <si>
    <t>A.IV.1) Riserve da rivalutazioni</t>
  </si>
  <si>
    <t>PAA130</t>
  </si>
  <si>
    <t>A.IV.2) Riserve da plusvalenze da reinvestire</t>
  </si>
  <si>
    <t>PAA140</t>
  </si>
  <si>
    <t>A.IV.3) Contributi da reinvestire</t>
  </si>
  <si>
    <t>PAA150</t>
  </si>
  <si>
    <t>A.IV.4) Riserve da utili di esercizio destinati ad investimenti</t>
  </si>
  <si>
    <t>PAA160</t>
  </si>
  <si>
    <t>A.IV.5) Riserve diverse</t>
  </si>
  <si>
    <t>PAA170</t>
  </si>
  <si>
    <t>A.V) CONTRIBUTI PER RIPIANO PERDITE</t>
  </si>
  <si>
    <t>PAA180</t>
  </si>
  <si>
    <t>A.V.1) Contributi per copertura debiti al 31/12/2005</t>
  </si>
  <si>
    <t>PAA190</t>
  </si>
  <si>
    <t>A.V.2) Contributi per ricostituzione risorse da investimenti esercizi precedenti</t>
  </si>
  <si>
    <t>PAA200</t>
  </si>
  <si>
    <t>A.V.3) Altro</t>
  </si>
  <si>
    <t>PAA210</t>
  </si>
  <si>
    <t>A.VI) UTILI (PERDITE) PORTATI A NUOVO</t>
  </si>
  <si>
    <t>PAA220</t>
  </si>
  <si>
    <t>A.VII) UTILE (PERDITA) D'ESERCIZIO</t>
  </si>
  <si>
    <t>PBZ999</t>
  </si>
  <si>
    <t>B) FONDI PER RISCHI E ONERI</t>
  </si>
  <si>
    <t>PBA000</t>
  </si>
  <si>
    <t>B.I) FONDI PER IMPOSTE, ANCHE DIFFERITE</t>
  </si>
  <si>
    <t>PBA010</t>
  </si>
  <si>
    <t>B.II) FONDI PER RISCHI</t>
  </si>
  <si>
    <t>PBA020</t>
  </si>
  <si>
    <t>B.II.1) Fondo rischi per cause civili ed oneri processuali</t>
  </si>
  <si>
    <t>PBA030</t>
  </si>
  <si>
    <t>B.II.2) Fondo rischi per contenzioso personale dipendente</t>
  </si>
  <si>
    <t>PBA040</t>
  </si>
  <si>
    <t>B.II.3) Fondo rischi connessi all'acquisto di prestazioni sanitarie da privato</t>
  </si>
  <si>
    <t>PBA050</t>
  </si>
  <si>
    <t>B.II.4) Fondo rischi per copertura diretta dei rischi (autoassicurazione)</t>
  </si>
  <si>
    <t>PBA051</t>
  </si>
  <si>
    <t>B.II.5) Fondo rischi per franchigia assicurativa</t>
  </si>
  <si>
    <t>PBA052</t>
  </si>
  <si>
    <t>B.II.6) Fondo rischi per interessi di mora</t>
  </si>
  <si>
    <t>PBA060</t>
  </si>
  <si>
    <t>B.II.7) Altri fondi rischi</t>
  </si>
  <si>
    <t>PBA070</t>
  </si>
  <si>
    <t>B.III) FONDI DA DISTRIBUIRE</t>
  </si>
  <si>
    <t>PBA080</t>
  </si>
  <si>
    <t>B.III.1) FSR indistinto da distribuire</t>
  </si>
  <si>
    <t>PBA090</t>
  </si>
  <si>
    <t>B.III.2) FSR vincolato da distribuire</t>
  </si>
  <si>
    <t>PBA100</t>
  </si>
  <si>
    <t>B.III.3) Fondo per ripiano disavanzi pregressi</t>
  </si>
  <si>
    <t>PBA110</t>
  </si>
  <si>
    <t>B.III.4) Fondo finanziamento sanitario aggiuntivo corrente LEA</t>
  </si>
  <si>
    <t>PBA120</t>
  </si>
  <si>
    <t>B.III.5) Fondo finanziamento sanitario aggiuntivo corrente extra LEA</t>
  </si>
  <si>
    <t>PBA130</t>
  </si>
  <si>
    <t>B.III.6) Fondo finanziamento per ricerca</t>
  </si>
  <si>
    <t>PBA140</t>
  </si>
  <si>
    <t>B.III.7) Fondo finanziamento per investimenti</t>
  </si>
  <si>
    <t>PBA141</t>
  </si>
  <si>
    <t>B.III.8) Fondo finanziamento sanitario aggiuntivo corrente (extra fondo) - Risorse aggiuntive da bilancio regionale a titolo di copertura extra LEA</t>
  </si>
  <si>
    <t>PBA150</t>
  </si>
  <si>
    <t>B.IV) QUOTE INUTILIZZATE CONTRIBUTI</t>
  </si>
  <si>
    <t>PBA151</t>
  </si>
  <si>
    <t>B.IV.1) Quote inutilizzate contributi da Regione o Prov. Aut. per quota F.S. indistinto finalizzato</t>
  </si>
  <si>
    <t>PBA160</t>
  </si>
  <si>
    <t>B.IV.2) Quote inutilizzate contributi da Regione o Prov. Aut. per quota F.S. vincolato</t>
  </si>
  <si>
    <t>PBA170</t>
  </si>
  <si>
    <t>B.IV.3) Quote inutilizzate contributi vincolati da soggetti pubblici (extra fondo)</t>
  </si>
  <si>
    <t>PBA180</t>
  </si>
  <si>
    <t>B.IV.4) Quote inutilizzate contributi per ricerca</t>
  </si>
  <si>
    <t>PBA190</t>
  </si>
  <si>
    <t>B.IV.5) Quote inutilizzate contributi vincolati da privati</t>
  </si>
  <si>
    <t>PBA200</t>
  </si>
  <si>
    <t>B.V) ALTRI FONDI PER ONERI E SPESE</t>
  </si>
  <si>
    <t>PBA210</t>
  </si>
  <si>
    <t>B.V.1) Fondi integrativi pensione</t>
  </si>
  <si>
    <t>PBA220</t>
  </si>
  <si>
    <t>B.V.2) Fondi rinnovi contrattuali</t>
  </si>
  <si>
    <t>PBA230</t>
  </si>
  <si>
    <t xml:space="preserve">B.V.2.a) Fondo rinnovi contrattuali personale dipendente </t>
  </si>
  <si>
    <t>PBA240</t>
  </si>
  <si>
    <t>B.V.2.b) Fondo rinnovi convenzioni MMG/PLS/MCA</t>
  </si>
  <si>
    <t>PBA250</t>
  </si>
  <si>
    <t>B.V.2.c) Fondo rinnovi convenzioni medici Sumai</t>
  </si>
  <si>
    <t>PBA260</t>
  </si>
  <si>
    <t>B.V.3) Altri fondi per oneri e spese</t>
  </si>
  <si>
    <t>PBA270</t>
  </si>
  <si>
    <t>B.V.4) Altri Fondi incentivi funzioni tecniche Art. 113 D.Lgs 50/2016</t>
  </si>
  <si>
    <t>PCZ999</t>
  </si>
  <si>
    <t>C) TRATTAMENTO FINE RAPPORTO</t>
  </si>
  <si>
    <t>PCA000</t>
  </si>
  <si>
    <t>C.I) FONDO PER PREMI OPEROSITA' MEDICI SUMAI</t>
  </si>
  <si>
    <t>PCA010</t>
  </si>
  <si>
    <t>C.II) FONDO PER TRATTAMENTO DI FINE RAPPORTO DIPENDENTI</t>
  </si>
  <si>
    <t>PCA020</t>
  </si>
  <si>
    <t>C.III) FONDO PER TRATTAMENTI DI QUIESCENZA E SIMILI</t>
  </si>
  <si>
    <t>PDZ999</t>
  </si>
  <si>
    <t>D) DEBITI</t>
  </si>
  <si>
    <t>PDA000</t>
  </si>
  <si>
    <t>D.I) DEBITI PER MUTUI PASSIVI</t>
  </si>
  <si>
    <t>PDA010</t>
  </si>
  <si>
    <t>D.II) DEBITI V/STATO</t>
  </si>
  <si>
    <t>PDA020</t>
  </si>
  <si>
    <t>D.II.1) Debiti v/Stato per mobilità passiva extraregionale</t>
  </si>
  <si>
    <t>PDA030</t>
  </si>
  <si>
    <t>D.II.2) Debiti v/Stato per mobilità passiva internazionale</t>
  </si>
  <si>
    <t>PDA040</t>
  </si>
  <si>
    <t>D.II.3) Acconto quota FSR v/Stato</t>
  </si>
  <si>
    <t>PDA050</t>
  </si>
  <si>
    <t>D.II.4) Debiti v/Stato per restituzione finanziamenti - per ricerca</t>
  </si>
  <si>
    <t>PDA060</t>
  </si>
  <si>
    <t>D.II.5) Altri debiti v/Stato</t>
  </si>
  <si>
    <t>PDA070</t>
  </si>
  <si>
    <t>D.III) DEBITI V/REGIONE O PROVINCIA AUTONOMA</t>
  </si>
  <si>
    <t>PDA080</t>
  </si>
  <si>
    <t>D.III.1) Debiti v/Regione o Provincia Autonoma per finanziamenti - GSA</t>
  </si>
  <si>
    <t>PDA081</t>
  </si>
  <si>
    <t>D.III.2) Debiti v/Regione o Provincia Autonoma per finanziamenti</t>
  </si>
  <si>
    <t>PDA090</t>
  </si>
  <si>
    <t>D.III.3) Debiti v/Regione o Provincia Autonoma per mobilità passiva intraregionale</t>
  </si>
  <si>
    <t>PDA100</t>
  </si>
  <si>
    <t>D.III.4) Debiti v/Regione o Provincia Autonoma per mobilità passiva extraregionale</t>
  </si>
  <si>
    <t>PDA101</t>
  </si>
  <si>
    <t>D.III.5) Debiti v/Regione o Provincia Autonoma per mobilità passiva internazionale</t>
  </si>
  <si>
    <t>PDA110</t>
  </si>
  <si>
    <t>D.III.6) Acconto quota FSR da Regione o Provincia Autonoma</t>
  </si>
  <si>
    <t>PDA111</t>
  </si>
  <si>
    <t>D.III.7) Acconto da Regione o Provincia Autonoma per anticipazione ripiano disavanzo programmato dai Piani aziendali di cui all'art. 1, comma 528, L. 208/2015</t>
  </si>
  <si>
    <t>PDA112</t>
  </si>
  <si>
    <t xml:space="preserve">D.III.8) Debiti v/Regione o Provincia Autonoma per contributi L. 210/92 </t>
  </si>
  <si>
    <t>PDA120</t>
  </si>
  <si>
    <t>D.III.9) Altri debiti v/Regione o Provincia Autonoma – GSA</t>
  </si>
  <si>
    <t>PDA121</t>
  </si>
  <si>
    <t>D.III.10) Altri debiti v/Regione o Provincia Autonoma</t>
  </si>
  <si>
    <t>PDA130</t>
  </si>
  <si>
    <t>D.IV) DEBITI V/COMUNI</t>
  </si>
  <si>
    <t>PDA140</t>
  </si>
  <si>
    <t>D.V) DEBITI V/AZIENDE SANITARIE PUBBLICHE</t>
  </si>
  <si>
    <t>PDA150</t>
  </si>
  <si>
    <t>D.V.1) Debiti v/Aziende sanitarie pubbliche della Regione</t>
  </si>
  <si>
    <t>PDA160</t>
  </si>
  <si>
    <t>D.V.1.a) Debiti v/Aziende sanitarie pubbliche della Regione - per quota FSR</t>
  </si>
  <si>
    <t>PDA170</t>
  </si>
  <si>
    <t>D.V.1.b) Debiti v/Aziende sanitarie pubbliche della Regione - per finanziamento sanitario aggiuntivo corrente LEA</t>
  </si>
  <si>
    <t>PDA180</t>
  </si>
  <si>
    <t>D.V.1.c) Debiti v/Aziende sanitarie pubbliche della Regione - per finanziamento sanitario aggiuntivo corrente extra LEA</t>
  </si>
  <si>
    <t>PDA190</t>
  </si>
  <si>
    <t>D.V.1.d) Debiti v/Aziende sanitarie pubbliche della Regione - per mobilità in compensazione</t>
  </si>
  <si>
    <t>PDA200</t>
  </si>
  <si>
    <t>D.V.1.e) Debiti v/Aziende sanitarie pubbliche della Regione - per mobilità non in compensazione</t>
  </si>
  <si>
    <t>PDA210</t>
  </si>
  <si>
    <t>D.V.1.f) Debiti v/Aziende sanitarie pubbliche della Regione - per altre prestazioni</t>
  </si>
  <si>
    <t>PDA211</t>
  </si>
  <si>
    <t>D.V.1.g) Debiti v/Aziende sanitarie pubbliche della Regione - altre prestazioni per STP</t>
  </si>
  <si>
    <t>PDA212</t>
  </si>
  <si>
    <t xml:space="preserve">D.V.1.h)  Debiti v/Aziende sanitarie pubbliche della Regione - per Contributi da Aziende sanitarie pubbliche della Regione o Prov. Aut. (extra fondo) </t>
  </si>
  <si>
    <t>PDA213</t>
  </si>
  <si>
    <t xml:space="preserve">D.V.1.i) Debiti v/Aziende sanitarie pubbliche della Regione - per contributi L. 210/92 </t>
  </si>
  <si>
    <t>PDA220</t>
  </si>
  <si>
    <t xml:space="preserve">D.V.2) Debiti v/Aziende sanitarie pubbliche Extraregione </t>
  </si>
  <si>
    <t>PDA230</t>
  </si>
  <si>
    <t>D.V.3) Debiti v/Aziende sanitarie pubbliche della Regione per versamenti c/patrimonio netto</t>
  </si>
  <si>
    <t>PDA231</t>
  </si>
  <si>
    <t>D.V.3.a) Debiti v/Aziende sanitarie pubbliche della Regione per versamenti c/patrimonio netto - finanziamenti per investimenti</t>
  </si>
  <si>
    <t>PDA232</t>
  </si>
  <si>
    <t>D.V.3.b) Debiti v/Aziende sanitarie pubbliche della Regione per versamenti c/patrimonio netto - incremento fondo dotazione</t>
  </si>
  <si>
    <t>PDA233</t>
  </si>
  <si>
    <t>D.V.3.c) Debiti v/Aziende sanitarie pubbliche della Regione per versamenti c/patrimonio netto - ripiano perdite</t>
  </si>
  <si>
    <t>PDA234</t>
  </si>
  <si>
    <t>D.V.3.d) Debiti v/Aziende sanitarie pubbliche della Regione per anticipazione ripiano disavanzo programmato dai Piani aziendali di cui all'art. 1, comma 528, L. 208/2015</t>
  </si>
  <si>
    <t>PDA235</t>
  </si>
  <si>
    <t>D.V.3.e) Debiti v/Aziende sanitarie pubbliche della Regione per versamenti c/patrimonio netto - altro</t>
  </si>
  <si>
    <t>PDA240</t>
  </si>
  <si>
    <t>D.VI) DEBITI V/ SOCIETA' PARTECIPATE E/O ENTI DIPENDENTI DELLA REGIONE</t>
  </si>
  <si>
    <t>PDA250</t>
  </si>
  <si>
    <t>D.VI.1) Debiti v/enti regionali</t>
  </si>
  <si>
    <t>PDA260</t>
  </si>
  <si>
    <t>D.VI.2) Debiti v/sperimentazioni gestionali</t>
  </si>
  <si>
    <t>PDA270</t>
  </si>
  <si>
    <t>D.VI.3) Debiti v/altre partecipate</t>
  </si>
  <si>
    <t>PDA280</t>
  </si>
  <si>
    <t>D.VII) DEBITI V/FORNITORI</t>
  </si>
  <si>
    <t>PDA290</t>
  </si>
  <si>
    <t xml:space="preserve">D.VII.1) Debiti verso erogatori (privati accreditati e convenzionati) di prestazioni sanitarie </t>
  </si>
  <si>
    <t>PDA291</t>
  </si>
  <si>
    <t xml:space="preserve">D.VII.1.a) Debiti verso erogatori (privati accreditati e convenzionati) di prestazioni sanitarie </t>
  </si>
  <si>
    <t>PDA292</t>
  </si>
  <si>
    <t>D.VII.1.b) Note di credito da ricevere (privati accreditati e convenzionati)</t>
  </si>
  <si>
    <t>PDA300</t>
  </si>
  <si>
    <t>D.VII.2) Debiti verso altri fornitori</t>
  </si>
  <si>
    <t>PDA301</t>
  </si>
  <si>
    <t>D.VII.2.a) Debiti verso altri fornitori</t>
  </si>
  <si>
    <t>PDA302</t>
  </si>
  <si>
    <t>D.VII.2.b) Note di credito da ricevere (altri fornitori)</t>
  </si>
  <si>
    <t>PDA310</t>
  </si>
  <si>
    <t>D.VIII) DEBITI V/ISTITUTO TESORIERE</t>
  </si>
  <si>
    <t>PDA320</t>
  </si>
  <si>
    <t>D.IX) DEBITI TRIBUTARI</t>
  </si>
  <si>
    <t>PDA330</t>
  </si>
  <si>
    <t>D.X) DEBITI V/ISTITUTI PREVIDENZIALI, ASSISTENZIALI E SICUREZZA SOCIALE</t>
  </si>
  <si>
    <t>PDA340</t>
  </si>
  <si>
    <t>D.XI) DEBITI V/ALTRI</t>
  </si>
  <si>
    <t>PDA350</t>
  </si>
  <si>
    <t>D.XI.1) Debiti v/altri finanziatori</t>
  </si>
  <si>
    <t>PDA360</t>
  </si>
  <si>
    <t>D.XI.2) Debiti v/dipendenti</t>
  </si>
  <si>
    <t>PDA370</t>
  </si>
  <si>
    <t>D.XI.3) Debiti v/gestioni liquidatorie</t>
  </si>
  <si>
    <t>PDA380</t>
  </si>
  <si>
    <t>D.XI.4) Altri debiti diversi</t>
  </si>
  <si>
    <t>PEZ999</t>
  </si>
  <si>
    <t>E) RATEI E RISCONTI PASSIVI</t>
  </si>
  <si>
    <t>PEA000</t>
  </si>
  <si>
    <t>E.I) RATEI PASSIVI</t>
  </si>
  <si>
    <t>PEA010</t>
  </si>
  <si>
    <t>E.I.1) Ratei passivi</t>
  </si>
  <si>
    <t>PEA020</t>
  </si>
  <si>
    <t>E.I.2) Ratei passivi v/Aziende sanitarie pubbliche della Regione</t>
  </si>
  <si>
    <t>PEA030</t>
  </si>
  <si>
    <t>E.II) RISCONTI PASSIVI</t>
  </si>
  <si>
    <t>PEA040</t>
  </si>
  <si>
    <t>E.II.1) Risconti passivi</t>
  </si>
  <si>
    <t>PEA050</t>
  </si>
  <si>
    <t>E.II.2) Risconti passivi v/Aziende sanitarie pubbliche della Regione</t>
  </si>
  <si>
    <t>PEA060</t>
  </si>
  <si>
    <t>E.II.3) Risconti passivi - in attuazione dell’art.79, comma 1 sexies lettera c), del D.L. 112/2008, convertito con legge 133/2008 e della legge 23 dicembre 2009 n. 191</t>
  </si>
  <si>
    <t>PZZ999</t>
  </si>
  <si>
    <t>F) TOTALE PASSIVO E PATRIMONIO NETTO</t>
  </si>
  <si>
    <t>PFZ999</t>
  </si>
  <si>
    <t>G) CONTI D'ORDINE</t>
  </si>
  <si>
    <t>PFA000</t>
  </si>
  <si>
    <t>G.I) CANONI DI LEASING ANCORA DA PAGARE</t>
  </si>
  <si>
    <t>PFA010</t>
  </si>
  <si>
    <t>G.II) DEPOSITI CAUZIONALI</t>
  </si>
  <si>
    <t>PFA020</t>
  </si>
  <si>
    <t>G.III) BENI IN COMODATO</t>
  </si>
  <si>
    <t>PFA021</t>
  </si>
  <si>
    <t>G.IV) CANONI DI PROJECT FINANCING ANCORA DA PAGARE</t>
  </si>
  <si>
    <t>PFA030</t>
  </si>
  <si>
    <t>G.V) ALTRI CONTI D'ORDINE</t>
  </si>
  <si>
    <t>Stato Patrimoniale Attivo</t>
  </si>
  <si>
    <t>CODICE VOCE 
SP Ministeriale</t>
  </si>
  <si>
    <t>IMMOBILIZZAZIONI IMMATERIALI</t>
  </si>
  <si>
    <t>Costi di impianto e di ampliamento</t>
  </si>
  <si>
    <t>Costi di ricerca e sviluppo</t>
  </si>
  <si>
    <t>Diritti di brevetto e diritti di utilizzazione delle opere d'ingegno</t>
  </si>
  <si>
    <t>Diritti di brevetto e diritti di utilizzazione delle opere d'ingegno - derivanti dall'attività di ricerca</t>
  </si>
  <si>
    <t>Diritti di brevetto e diritti di utilizzazione delle opere d'ingegno - altri</t>
  </si>
  <si>
    <t>Concessioni, licenze, marchi e diritti simili</t>
  </si>
  <si>
    <t>Migliorie su beni di terzi</t>
  </si>
  <si>
    <t>Pubblicità</t>
  </si>
  <si>
    <t>IMMOBILIZZAZIONI MATERIALI</t>
  </si>
  <si>
    <t>IMMOBILIZZAZIONI FINANZIARIE</t>
  </si>
  <si>
    <t>per contributi in conto capitale su gestioni pregresse (ASSR e altri)</t>
  </si>
  <si>
    <t>per contributi in conto capitale su gestioni liquidatorie (ASSR e altri)</t>
  </si>
  <si>
    <t>Altri crediti (ASSR e altri)</t>
  </si>
  <si>
    <t>Titoli di Stato</t>
  </si>
  <si>
    <t>Altre Obbligazioni</t>
  </si>
  <si>
    <t>Titoli azionari quotati in Borsa</t>
  </si>
  <si>
    <t>Titoli diversi</t>
  </si>
  <si>
    <t>RIMANENZE</t>
  </si>
  <si>
    <t>Acconti per acquisto di beni e prodotti sanitari</t>
  </si>
  <si>
    <t>Materiali di guardaroba, di pulizia, e di convivenza in genere</t>
  </si>
  <si>
    <t>Acconti per acquisto di beni e prodotti non sanitari</t>
  </si>
  <si>
    <t xml:space="preserve">CREDITI </t>
  </si>
  <si>
    <t>Crediti v/Stato per spesa corrente - FSN indistinto</t>
  </si>
  <si>
    <t>Crediti v/Stato per spesa corrente - FSN vincolato</t>
  </si>
  <si>
    <t>Crediti v/Stato per mobilità attiva extraregionale</t>
  </si>
  <si>
    <t>Crediti v/Stato per mobilità attiva internazionale</t>
  </si>
  <si>
    <t>Crediti v/Stato per acconto quota fabbisogno sanitario regionale standard</t>
  </si>
  <si>
    <t>Crediti v/Stato per finanziamento sanitario aggiuntivo corrente</t>
  </si>
  <si>
    <t>Crediti v/Stato per spesa corrente - altro</t>
  </si>
  <si>
    <t>Crediti per fatture e ricevute da emettere</t>
  </si>
  <si>
    <t>Crediti v/Stato per spesa corrente per STP (ex D.lgs. 286/98)</t>
  </si>
  <si>
    <t>Crediti v/Stato per finanziamenti per investimenti</t>
  </si>
  <si>
    <t>Crediti v/Stato per ricerca corrente - Ministero della Salute</t>
  </si>
  <si>
    <t>Crediti v/Stato per ricerca finalizzata - Ministero della Salute</t>
  </si>
  <si>
    <t>Crediti verso ministero dell'università</t>
  </si>
  <si>
    <t>Crediti verso ministero della difesa</t>
  </si>
  <si>
    <t xml:space="preserve">Crediti verso altre Amministrazioni centrali </t>
  </si>
  <si>
    <t>Crediti v/Stato per ricerca - finanziamenti per investimenti</t>
  </si>
  <si>
    <t>Crediti verso prefetture</t>
  </si>
  <si>
    <t>Crediti v/Regione o Provincia Autonoma per quota FSR</t>
  </si>
  <si>
    <t>Crediti v/Regione o Provincia Autonoma per mobilità attiva intraregionale</t>
  </si>
  <si>
    <t>Crediti v/Regione o Provincia Autonoma per mobilità attiva extraregionale</t>
  </si>
  <si>
    <t>Crediti v/Regione o Provincia Autonoma per acconto quota FSR</t>
  </si>
  <si>
    <t>Crediti v/Regione o Provincia Autonoma per finanziamento sanitario aggiuntivo corrente LEA</t>
  </si>
  <si>
    <t>Crediti v/Regione o Provincia Autonoma per finanziamento sanitario aggiuntivo corrente extra LEA</t>
  </si>
  <si>
    <t>Crediti v/Regione o Provincia Autonoma per spesa corrente - altro</t>
  </si>
  <si>
    <t>Crediti v/Regione o Provincia Autonoma per spesa corrente - STP (ex D.lgs. 286/98)</t>
  </si>
  <si>
    <t>Crediti v/Regione o Provincia Autonoma per ricerca - vincolati a progetti europei</t>
  </si>
  <si>
    <t>Crediti v/Regione o Provincia Autonoma per ricerca -  vincolati a progetti ministeriali</t>
  </si>
  <si>
    <t>Crediti v/Regione o Provincia Autonoma per ricerca - quota regionale</t>
  </si>
  <si>
    <t>Crediti v/Regione o Provincia Autonoma per ricerca - Altro</t>
  </si>
  <si>
    <t>Crediti v/Regione o Provincia Autonoma per mobilità attiva internazionale</t>
  </si>
  <si>
    <t>Crediti v/Regione o Provincia Autonoma per versamenti a patrimonio netto</t>
  </si>
  <si>
    <t>Crediti v/Regione o Provincia Autonoma per anticipazione ripiano disavanzo programmato dai Piani aziendali di cui all'art. 1, comma 528, L. 208/2015</t>
  </si>
  <si>
    <t>Crediti v/Regione per copertura debiti al 31/12/2005</t>
  </si>
  <si>
    <t xml:space="preserve"> Crediti v/Regione o Provincia Autonoma per contributi L. 210/92</t>
  </si>
  <si>
    <t>Crediti v/Regione o Provincia Autonoma per contributi L. 210/92 – aziende sanitarie</t>
  </si>
  <si>
    <t>Crediti v/comuni</t>
  </si>
  <si>
    <t>Crediti v/Aziende sanitarie pubbliche</t>
  </si>
  <si>
    <t>Crediti v/Aziende sanitarie pubbliche della Regione - per mobilità in compensazione</t>
  </si>
  <si>
    <t>Crediti v/Aziende sanitarie pubbliche della Regione - per mobilità non in compensazione</t>
  </si>
  <si>
    <t>Crediti v/Aziende sanitarie pubbliche della Regione - per altre prestazioni</t>
  </si>
  <si>
    <t xml:space="preserve"> Crediti v/Aziende sanitarie pubbliche della Regione - per altre prestazioni</t>
  </si>
  <si>
    <t>Acconto quota FSR da distribuire</t>
  </si>
  <si>
    <t xml:space="preserve"> Crediti v/Aziende sanitarie pubbliche della Regione per anticipazione ripiano disavanzo programmato dai Piani aziendali di cui all'art. 1, comma 528, L. 208/2015</t>
  </si>
  <si>
    <t>Crediti v/Aziende sanitarie pubbliche Extraregione</t>
  </si>
  <si>
    <t xml:space="preserve">Crediti v/Aziende sanitarie pubbliche della Regione - per Contributi da Aziende sanitarie pubbliche della Regione o Prov. Aut. (extra fondo) </t>
  </si>
  <si>
    <t>Crediti v/enti regionali</t>
  </si>
  <si>
    <t>Crediti v/sperimentazioni gestionali</t>
  </si>
  <si>
    <t>Crediti v/altre partecipate</t>
  </si>
  <si>
    <t>IVA a Credito</t>
  </si>
  <si>
    <t>IVA a Credito per acquisti Infra CEE</t>
  </si>
  <si>
    <t>IVA a Credito per autofatture</t>
  </si>
  <si>
    <t>Imposte varie</t>
  </si>
  <si>
    <t>Crediti v/clienti privati</t>
  </si>
  <si>
    <t>Privati paganti</t>
  </si>
  <si>
    <t>Crediti verso soggetti esteri</t>
  </si>
  <si>
    <t>Altri crediti v/clienti privati</t>
  </si>
  <si>
    <t>Crediti v/gestioni liquidatorie</t>
  </si>
  <si>
    <t>Crediti v/altri soggetti pubblici</t>
  </si>
  <si>
    <t>Crediti verso enti previdenziali per acconti pensione</t>
  </si>
  <si>
    <t>Crediti verso altre amministrazioni pubbliche</t>
  </si>
  <si>
    <t>Crediti v/altri soggetti pubblici per ricerca</t>
  </si>
  <si>
    <t>Altri crediti diversi</t>
  </si>
  <si>
    <t>Crediti verso dipendenti</t>
  </si>
  <si>
    <t>Acconti, anticipi a personale</t>
  </si>
  <si>
    <t>Altri crediti verso personale</t>
  </si>
  <si>
    <t>Acconti a farmacie</t>
  </si>
  <si>
    <t>Acconti a fornitori</t>
  </si>
  <si>
    <t>Note di credito da emettere (diversi)</t>
  </si>
  <si>
    <t>Altri Crediti verso erogatori (privati accreditati e convenzionati) di prestazioni sanitarie</t>
  </si>
  <si>
    <t>Note di credito da emettere  (privati accreditati e convenzionati)</t>
  </si>
  <si>
    <t>ATTIVITA' FINANZIARIE CHE NON COSTITUISCONO IMMOBILIZZAZIONI</t>
  </si>
  <si>
    <t>Partecipazioni in imprese controllate</t>
  </si>
  <si>
    <t>Partecipazioni in imprese collegate</t>
  </si>
  <si>
    <t>Partecipazioni in altre imprese</t>
  </si>
  <si>
    <t>DISPONIBILITA' LIQUIDE</t>
  </si>
  <si>
    <t>Cassa economale</t>
  </si>
  <si>
    <t>Cassa economale 1</t>
  </si>
  <si>
    <t>Cassa economale 2</t>
  </si>
  <si>
    <t>Cassa economale 3</t>
  </si>
  <si>
    <t>Cassa economale 4</t>
  </si>
  <si>
    <t>Cassa economale 5</t>
  </si>
  <si>
    <t>Cassa economale 6</t>
  </si>
  <si>
    <t>Cassa economale 7</t>
  </si>
  <si>
    <t>Cassa economale 8</t>
  </si>
  <si>
    <t>Cassa economale 9</t>
  </si>
  <si>
    <t>Cassa prestazioni</t>
  </si>
  <si>
    <t>Cassa prestazioni 1</t>
  </si>
  <si>
    <t>Cassa prestazioni 2</t>
  </si>
  <si>
    <t>Cassa prestazioni 3</t>
  </si>
  <si>
    <t>Cassa prestazioni 4</t>
  </si>
  <si>
    <t>Cassa prestazioni 5</t>
  </si>
  <si>
    <t>Cassa prestazioni 6</t>
  </si>
  <si>
    <t>Cassa prestazioni 7</t>
  </si>
  <si>
    <t>Cassa prestazioni 8</t>
  </si>
  <si>
    <t>c/c di tesoreria</t>
  </si>
  <si>
    <t>c/c di tesoreria - delega</t>
  </si>
  <si>
    <t>Interessi attivi da liquidare</t>
  </si>
  <si>
    <t>Conto corrente postale 1</t>
  </si>
  <si>
    <t>Conto corrente postale 2</t>
  </si>
  <si>
    <t>Conto corrente postale 3</t>
  </si>
  <si>
    <t>Conto corrente postale 4</t>
  </si>
  <si>
    <t>Deposito affrancatrice1</t>
  </si>
  <si>
    <t>Deposito affrancatrice2</t>
  </si>
  <si>
    <t>Deposito affrancatrice3</t>
  </si>
  <si>
    <t>Conti transitori</t>
  </si>
  <si>
    <t>Incassi c/transitorio</t>
  </si>
  <si>
    <t>Pagamenti c/transitorio</t>
  </si>
  <si>
    <t>Giroconti interni</t>
  </si>
  <si>
    <t>Giroconti note</t>
  </si>
  <si>
    <t>Giroconti cauzioni</t>
  </si>
  <si>
    <t>Giroconti documenti pagati</t>
  </si>
  <si>
    <t>Giroconti protocolli errati</t>
  </si>
  <si>
    <t>Giroconti ritenute personale dipendente</t>
  </si>
  <si>
    <t>Giroconti ritenute personale esterno</t>
  </si>
  <si>
    <t>Giroconti ritenute personale convenzionato</t>
  </si>
  <si>
    <t>Giroconti ritenute personale altro</t>
  </si>
  <si>
    <t>Giroconti c/c postale</t>
  </si>
  <si>
    <t>RATEI ATTIVI</t>
  </si>
  <si>
    <t>Ratei attivi v/Aziende sanitarie pubbliche della Regione</t>
  </si>
  <si>
    <t>RISCONTI ATTIVI</t>
  </si>
  <si>
    <t>Risconti attivi v/Aziende sanitarie pubbliche della Regione</t>
  </si>
  <si>
    <t>TOTALE ATTIVO</t>
  </si>
  <si>
    <t>CANONI DI LEASING ANCORA DA PAGARE</t>
  </si>
  <si>
    <t>DEPOSITI CAUZIONALI</t>
  </si>
  <si>
    <t>BENI IN COMODATO</t>
  </si>
  <si>
    <t>CANONI DI PROJECT FINANCING ANCORA DA PAGARE</t>
  </si>
  <si>
    <t>ALTRI CONTI D'ORDINE</t>
  </si>
  <si>
    <t>Canoni di leasing a scadere</t>
  </si>
  <si>
    <t>Beni di terzi presso l'Azienda</t>
  </si>
  <si>
    <t>Garanzie prestate (fideiussioni, avalli, altre garanzie personali e reali)</t>
  </si>
  <si>
    <t>Garanzie ricevute (fideiussioni, avalli, altre garanzie personali e reali)</t>
  </si>
  <si>
    <t>Beni in contenzioso</t>
  </si>
  <si>
    <t>Altri impegni assunti</t>
  </si>
  <si>
    <t>Stato Patrimoniale Passivo</t>
  </si>
  <si>
    <t>FONDO DI DOTAZIONE</t>
  </si>
  <si>
    <t>FINANZIAMENTI PER INVESTIMENTI</t>
  </si>
  <si>
    <t>Finanziamenti per beni di prima dotazione</t>
  </si>
  <si>
    <t>Finanziamenti da Stato per investimenti - ricerca</t>
  </si>
  <si>
    <t>Finanziamenti da Stato per investimenti - altro</t>
  </si>
  <si>
    <t>Contributi regionali in c/capitale indistinti</t>
  </si>
  <si>
    <t>Contributi regionali in c/capitale vincolati</t>
  </si>
  <si>
    <t>Contributi per rimborso mutui</t>
  </si>
  <si>
    <t>Altri contributi</t>
  </si>
  <si>
    <t>RISERVE DA DONAZIONI E LASCITI VINCOLATI AD INVESTIMENTI</t>
  </si>
  <si>
    <t>ALTRE RISERVE</t>
  </si>
  <si>
    <t>Riserve da rivalutazioni</t>
  </si>
  <si>
    <t>Riserve da plusvalenze da reinvestire</t>
  </si>
  <si>
    <t>Contributi da reinvestire</t>
  </si>
  <si>
    <t>Riserve da utili di esercizio destinati ad investimenti</t>
  </si>
  <si>
    <t>Riserve diverse</t>
  </si>
  <si>
    <t>CONTRIBUTI PER RIPIANO PERDITE</t>
  </si>
  <si>
    <t>Contributi per copertura debiti al 31/12/2005</t>
  </si>
  <si>
    <r>
      <t>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</si>
  <si>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>UTILI (PERDITE) PORTATI A NUOVO</t>
  </si>
  <si>
    <t>UTILE (PERDITA) D'ESERCIZIO</t>
  </si>
  <si>
    <t>FONDI AMMORTAMENTO e FONDI SVALUTAZIONE</t>
  </si>
  <si>
    <t>FONDI AMMORTAMENTO IMMOBILIZZAZIONI IMMATERIALI</t>
  </si>
  <si>
    <t>F.do Amm.to costi di impianto e di ampliamento</t>
  </si>
  <si>
    <t>F.do Amm.to costi di ricerca e sviluppo</t>
  </si>
  <si>
    <t>F.do Amm.to diritti di brevetto e diritti di utilizzazione delle opere d'ingegno - derivanti dall'attività di ricerca</t>
  </si>
  <si>
    <t>F.do Amm.to diritti di brevetto e diritti di utilizzazione delle opere d'ingegno - altri</t>
  </si>
  <si>
    <t>F.do Amm.to concessioni, licenze, marchi e diritti simili</t>
  </si>
  <si>
    <t>F.do Amm.to migliorie su beni di terzi</t>
  </si>
  <si>
    <t>F.do Amm.to pubblicità</t>
  </si>
  <si>
    <t>F.do Amm.to altre immobilizzazioni immateriali</t>
  </si>
  <si>
    <t>FONDI AMMORTAMENTO IMMOBILIZZAZIONI MATERIALI</t>
  </si>
  <si>
    <t>F.do Amm.to Fabbricati non strumentali (disponibili)</t>
  </si>
  <si>
    <t>F.do Amm.to Fabbricati strumentali (indisponibili)</t>
  </si>
  <si>
    <t>F.do Amm.to Impianti e macchinari</t>
  </si>
  <si>
    <t>F.do Amm.to Attrezzature sanitarie e scientifiche</t>
  </si>
  <si>
    <t>F.do Amm.to Mobili e arredi</t>
  </si>
  <si>
    <t>F.do Amm.to Automezzi</t>
  </si>
  <si>
    <t>F.do Amm.to Altre immobilizzazioni materiali</t>
  </si>
  <si>
    <t>FONDI SVALUTAZIONE IMMOBILIZZAZIONI IMMATERIALI</t>
  </si>
  <si>
    <t>F.do Svalut. Costi di impianto e di ampliamento</t>
  </si>
  <si>
    <t>F.do Svalut. Costi di ricerca e sviluppo</t>
  </si>
  <si>
    <t>F.do Svalut. Diritti di brevetto e diritti di utilizzazione delle opere d'ingegno</t>
  </si>
  <si>
    <t>F.do Svalut. Altre immobilizzazioni immateriali</t>
  </si>
  <si>
    <t>FONDI SVALUTAZIONE IMMOBILIZZAZIONI MATERIALI</t>
  </si>
  <si>
    <t>F.do Svalut. Terreni disponibili</t>
  </si>
  <si>
    <t>F.do Svalut. Terreni indisponibili</t>
  </si>
  <si>
    <t>F.do Svalut. Fabbricati disponibili</t>
  </si>
  <si>
    <t>F.do Svalut. Fabbricati indisponibili</t>
  </si>
  <si>
    <t>F.do Svalut. Impianti e macchinari</t>
  </si>
  <si>
    <t>F.do Svalut. Attrezzature sanitarie e scientifiche</t>
  </si>
  <si>
    <t>F.do Svalut. Mobili e arredi</t>
  </si>
  <si>
    <t>F.do Svalut. Automezzi</t>
  </si>
  <si>
    <t>F.do Svalut. Oggetti d'arte</t>
  </si>
  <si>
    <t>F.do Svalut. Altre immobilizzazioni materiali</t>
  </si>
  <si>
    <t>FONDI SVALUTAZIONE CREDITI</t>
  </si>
  <si>
    <t>Fondo svalutazione Crediti finanziari v/Stato</t>
  </si>
  <si>
    <t>Fondo svalutazione Crediti finanziari v/Regione</t>
  </si>
  <si>
    <t>Fondo svalutazione Crediti finanziari v/partecipate</t>
  </si>
  <si>
    <t>Fondo svalutazione Crediti finanziari v/altri</t>
  </si>
  <si>
    <t>Fondo Svalutazione Crediti v/Stato per spesa corrente - FSN indistinto</t>
  </si>
  <si>
    <t>Fondo Svalutazione Crediti v/Stato per spesa corrente - FSN vincolato</t>
  </si>
  <si>
    <t>Fondo Svalutazione Crediti v/Stato per mobilità attiva extraregionale</t>
  </si>
  <si>
    <t>Fondo Svalutazione Crediti v/Stato per mobilità attiva internazionale</t>
  </si>
  <si>
    <t>Fondo Svalutazione Crediti v/Stato per acconto quota fabbisogno sanitario regionale standard</t>
  </si>
  <si>
    <t>Fondo Svalutazione Crediti v/Stato per finanziamento sanitario aggiuntivo corrente</t>
  </si>
  <si>
    <t>Fondo Svalutazione  Crediti v/Stato per spesa corrente - altro</t>
  </si>
  <si>
    <t>Fondo Svalutazione Crediti v/Stato per spesa corrente per STP (ex D.lgs. 286/98)</t>
  </si>
  <si>
    <t>Fondo Svalutazione Crediti v/Stato per finanziamenti per investimenti</t>
  </si>
  <si>
    <t>Fondo Svalutazione Crediti v/Stato per ricerca corrente - Ministero della Salute</t>
  </si>
  <si>
    <t>Fondo Svalutazione Crediti v/Stato per ricerca finalizzata - Ministero della Salute</t>
  </si>
  <si>
    <t xml:space="preserve">Fondo Svalutazione Crediti v/Stato per ricerca - altre Amministrazioni centrali </t>
  </si>
  <si>
    <t>Fondo Svalutazione Crediti v/Stato per ricerca - finanziamenti per investimenti</t>
  </si>
  <si>
    <t>Fondo Svalutazione Crediti v/prefetture</t>
  </si>
  <si>
    <t>Fondo Svalutazione Crediti v/Regione o Provincia Autonoma per quota FSR</t>
  </si>
  <si>
    <t>Fondo Svalutazione  Crediti v/Regione o Provincia Autonoma per mobilità attiva intraregionale</t>
  </si>
  <si>
    <t>Fondo Svalutazione  Crediti v/Regione o Provincia Autonoma per mobilità attiva extraregionale</t>
  </si>
  <si>
    <t>Fondo Svalutazione  Crediti v/Regione o Provincia Autonoma per acconto quota FSR</t>
  </si>
  <si>
    <t>Fondo Svalutazione Crediti v/Regione o Provincia Autonoma per finanziamento sanitario aggiuntivo corrente LEA</t>
  </si>
  <si>
    <t>Fondo Svalutazione  Crediti v/Regione o Provincia Autonoma per finanziamento sanitario aggiuntivo corrente extra LEA</t>
  </si>
  <si>
    <t>Fondo Svalutazione  Crediti v/Regione o Provincia Autonoma per spesa corrente - altro</t>
  </si>
  <si>
    <t>Fondo Svalutazione Crediti v/Regione o Provincia Autonoma per spesa corrente - STP (ex D.lgs. 286/98)</t>
  </si>
  <si>
    <t>Fondo Svalutazione Crediti v/Regione o Provincia Autonoma per ricerca</t>
  </si>
  <si>
    <t>Fondo Svalutazione Crediti v/Regione o Provincia Autonoma per mobilità attiva internazionale</t>
  </si>
  <si>
    <t>Fondo Svalutazione Crediti v/Regione o Provincia Autonoma per finanziamenti per investimenti</t>
  </si>
  <si>
    <t>Fondo Svalutazione Crediti v/Regione o Provincia Autonoma per incremento fondo dotazione</t>
  </si>
  <si>
    <t>Fondo Svalutazione Crediti v/Regione o Provincia Autonoma per ripiano perdite</t>
  </si>
  <si>
    <t>Fondo Svalutazione Crediti v/Regione per copertura debiti al 31/12/2005</t>
  </si>
  <si>
    <t>Fondo Svalutazione Crediti v/Regione o Provincia Autonoma per ricostituzione risorse da investimenti esercizi precedenti</t>
  </si>
  <si>
    <t>Fondo Svalutazione Crediti v/Comuni</t>
  </si>
  <si>
    <t>Fondo Svalutazione Crediti v/Aziende sanitarie pubbliche della Regione - per mobilità in compensazione</t>
  </si>
  <si>
    <t>Fondo Svalutazione Crediti v/Aziende sanitarie pubbliche della Regione - per mobilità non in compensazione</t>
  </si>
  <si>
    <t>Fondo Svalutazione Crediti v/Aziende sanitarie pubbliche della Regione - per altre prestazioni</t>
  </si>
  <si>
    <t>Fondo Svalutazione Crediti v/Aziende sanitarie pubbliche della Regione - acconto quota FSR da distribuire</t>
  </si>
  <si>
    <t>Fondo Svalutazione Crediti v/Aziende sanitarie pubbliche Extraregione</t>
  </si>
  <si>
    <t>Fondo Svalutazione Crediti v/enti regionali</t>
  </si>
  <si>
    <t>Fondo Svalutazione Crediti v/sperimentazioni gestionali</t>
  </si>
  <si>
    <t>Fondo Svalutazione Crediti v/altre partecipate</t>
  </si>
  <si>
    <t>Fondo Svalutazione Crediti v/Erario</t>
  </si>
  <si>
    <t>Fondo Svalutazione Crediti v/clienti privati</t>
  </si>
  <si>
    <t>Fondo Svalutazione Crediti v/gestioni liquidatorie</t>
  </si>
  <si>
    <t>Fondo Svalutazione Crediti v/altri soggetti pubblici</t>
  </si>
  <si>
    <t>Fondo Svalutazione Crediti v/altri soggetti pubblici per ricerca</t>
  </si>
  <si>
    <t>Fondo Svalutazione Altri crediti diversi</t>
  </si>
  <si>
    <t>Fondo Svalutazione  Altri Crediti verso erogatori (privati accreditati e convenzionati) di prestazioni sanitarie</t>
  </si>
  <si>
    <t>FONDI PER IMPOSTE, ANCHE DIFFERITE</t>
  </si>
  <si>
    <t>FONDI PER RISCHI</t>
  </si>
  <si>
    <t>Fondo rischi per cause civili ed oneri processuali</t>
  </si>
  <si>
    <t>Fondo rischi per contenzioso personale dipendente</t>
  </si>
  <si>
    <t>Fondo rischi connessi all'acquisto di prestazioni sanitarie da privato</t>
  </si>
  <si>
    <t>Fondo rischi per copertura diretta dei rischi (autoassicurazione)</t>
  </si>
  <si>
    <t>Fondo rischi per franchigia assicurativa</t>
  </si>
  <si>
    <t>Fondo rischi per interessi di mora</t>
  </si>
  <si>
    <t>Altri fondi rischi</t>
  </si>
  <si>
    <t>Fondo equo indennizzo</t>
  </si>
  <si>
    <t>Fondo accordi bonari</t>
  </si>
  <si>
    <t>FONDI DA DISTRIBUIRE</t>
  </si>
  <si>
    <t>FSR indistinto da distribuire</t>
  </si>
  <si>
    <t>FSR vincolato da distribuire</t>
  </si>
  <si>
    <t>Fondo per ripiano disavanzi pregressi</t>
  </si>
  <si>
    <t>Fondo finanziamento sanitario aggiuntivo corrente LEA</t>
  </si>
  <si>
    <t>Fondo finanziamento sanitario aggiuntivo corrente extra LEA</t>
  </si>
  <si>
    <t>Fondo finanziamento per ricerca</t>
  </si>
  <si>
    <t>Fondo finanziamento per investimenti</t>
  </si>
  <si>
    <t>Fondo finanziamento sanitario aggiuntivo corrente (extra fondo) - Risorse aggiuntive da bilancio regionale a titolo di copertura extra LEA</t>
  </si>
  <si>
    <t>QUOTE INUTILIZZATE CONTRIBUTI</t>
  </si>
  <si>
    <t xml:space="preserve"> Quote inutilizzate contributi da Regione o Prov. Aut. per quota F.S. indistinto finalizzato</t>
  </si>
  <si>
    <t>Quote inutilizzate contributi da Regione o Prov. Aut. per quota F.S. vincolato</t>
  </si>
  <si>
    <t>Quote inutilizzate contributi vincolati da soggetti pubblici (extra fondo)</t>
  </si>
  <si>
    <t>Quote inutilizzate contributi per ricerca</t>
  </si>
  <si>
    <t>Quote inutilizzate contributi vincolati da privati</t>
  </si>
  <si>
    <t>Quote inutilizzate contributi vincolati da privati - sperimentazioni</t>
  </si>
  <si>
    <t>Quote inutilizzate contributi vincolati da privati - altro</t>
  </si>
  <si>
    <t>ALTRI FONDI PER ONERI E SPESE</t>
  </si>
  <si>
    <t>Fondi integrativi pensione</t>
  </si>
  <si>
    <t>Fondi rinnovi contrattuali</t>
  </si>
  <si>
    <t xml:space="preserve">Fondo rinnovi contrattuali personale dipendente </t>
  </si>
  <si>
    <t>Fondo rinnovi convenzioni MMG/PLS/MCA</t>
  </si>
  <si>
    <t>Fondo rinnovi convenzioni medici Sumai</t>
  </si>
  <si>
    <t>Altri fondi per oneri e spese</t>
  </si>
  <si>
    <t>Fondo oneri personale in quiescienza</t>
  </si>
  <si>
    <t>Altri Fondi incentivi funzioni tecniche Art. 113 D.Lgs 50/2016</t>
  </si>
  <si>
    <t>FONDO PER PREMI OPEROSITA' MEDICI SUMAI</t>
  </si>
  <si>
    <t>FONDO PER TRATTAMENTO DI FINE RAPPORTO DIPENDENTI</t>
  </si>
  <si>
    <t>FONDO PER TRATTAMENTI DI QUIESCENZA E SIMILI</t>
  </si>
  <si>
    <t>DEBITI</t>
  </si>
  <si>
    <t>DEBITI PER MUTUI PASSIVI</t>
  </si>
  <si>
    <t>DEBITI V/STATO</t>
  </si>
  <si>
    <t>Debiti v/Stato per mobilità passiva extraregionale</t>
  </si>
  <si>
    <t>Debiti v/Stato per mobilità passiva internazionale</t>
  </si>
  <si>
    <t>Acconto quota FSR v/Stato</t>
  </si>
  <si>
    <t>Debiti v/Stato per restituzione finanziamenti - per ricerca</t>
  </si>
  <si>
    <t>Altri debiti v/Stato</t>
  </si>
  <si>
    <t xml:space="preserve">Acconti su contributi </t>
  </si>
  <si>
    <t>Debiti per fatture ricevute e da ricevere</t>
  </si>
  <si>
    <t>DEBITI V/REGIONE O PROVINCIA AUTONOMA</t>
  </si>
  <si>
    <t>Debiti v/Regione o Provincia Autonoma per finanziamenti</t>
  </si>
  <si>
    <t>Debiti v/Regione o Provincia Autonoma per finanziamenti - GSA</t>
  </si>
  <si>
    <t>Debiti v/Regione o Provincia Autonoma per mobilità passiva intraregionale</t>
  </si>
  <si>
    <t>Debiti v/Regione o Provincia Autonoma per mobilità passiva extraregionale</t>
  </si>
  <si>
    <t>Debiti v/Regione o Provincia Autonoma per mobilità passiva internazionale</t>
  </si>
  <si>
    <t>Acconto quota FSR da Regione o Provincia Autonoma</t>
  </si>
  <si>
    <t>Acconto da Regione o Provincia Autonoma per anticipazione ripiano disavanzo programmato dai Piani aziendali di cui all'art. 1, comma 528, L. 208/2015</t>
  </si>
  <si>
    <t xml:space="preserve">Debiti v/Regione o Provincia Autonoma per contributi L. 210/92 </t>
  </si>
  <si>
    <t>Altri debiti v/Regione o Provincia Autonoma - GSA</t>
  </si>
  <si>
    <t>Altri debiti v/Regione o Provincia Autonoma</t>
  </si>
  <si>
    <t>Altri debiti v/Regione o Provincia Autonoma - vincolati a progetti europei</t>
  </si>
  <si>
    <t>Altri debiti v/Regione o Provincia Autonoma - vincolati a progetti ministeriali</t>
  </si>
  <si>
    <t>DEBITI V/COMUNI</t>
  </si>
  <si>
    <t xml:space="preserve">Acconti da comuni </t>
  </si>
  <si>
    <t>Debiti verso comuni</t>
  </si>
  <si>
    <t>DEBITI V/AZIENDE SANITARIE PUBBLICHE</t>
  </si>
  <si>
    <t>Debiti v/Aziende sanitarie pubbliche della Regione</t>
  </si>
  <si>
    <t>Debiti v/Aziende sanitarie pubbliche della Regione - per quota FSR</t>
  </si>
  <si>
    <t>Debiti v/Aziende sanitarie pubbliche della Regione - per finanziamento sanitario aggiuntivo corrente LEA</t>
  </si>
  <si>
    <t>Debiti v/Aziende sanitarie pubbliche della Regione - per finanziamento sanitario aggiuntivo corrente extra LEA</t>
  </si>
  <si>
    <t>Debiti v/Aziende sanitarie pubbliche della Regione - per mobilità in compensazione</t>
  </si>
  <si>
    <t>Debiti v/Aziende sanitarie pubbliche della Regione - per mobilità non in compensazione</t>
  </si>
  <si>
    <t>Debiti v/Aziende sanitarie pubbliche della Regione - per altre prestazioni</t>
  </si>
  <si>
    <t>Debiti verso aziende sanitarie della Regione - per altre prestazioni</t>
  </si>
  <si>
    <t>Debiti v/Aziende sanitarie pubbliche della Regione - altre prestazioni per STP</t>
  </si>
  <si>
    <t xml:space="preserve">Debiti v/Aziende sanitarie pubbliche della Regione - per Contributi da Aziende sanitarie pubbliche della Regione o Prov. Aut. (extra fondo) </t>
  </si>
  <si>
    <t xml:space="preserve">Debiti v/Aziende sanitarie pubbliche della Regione - per contributi L. 210/92 </t>
  </si>
  <si>
    <t xml:space="preserve">Debiti v/Aziende sanitarie pubbliche Extraregione </t>
  </si>
  <si>
    <t>Debiti verso aziende sanitarie extra regionali</t>
  </si>
  <si>
    <t>Debiti v/Aziende sanitarie pubbliche della Regione per versamenti c/patrimonio netto</t>
  </si>
  <si>
    <t>Debiti v/Aziende sanitarie pubbliche della Regione per versamenti c/patrimonio netto - finanziamenti per investimenti</t>
  </si>
  <si>
    <t xml:space="preserve"> Debiti v/Aziende sanitarie pubbliche della Regione per versamenti c/patrimonio netto - incremento fondo dotazione</t>
  </si>
  <si>
    <t>Debiti v/Aziende sanitarie pubbliche della Regione per versamenti c/patrimonio netto - ripiano perdite</t>
  </si>
  <si>
    <t>Debiti v/Aziende sanitarie pubbliche della Regione per anticipazione ripiano disavanzo programmato dai Piani aziendali di cui all'art. 1, comma 528, L. 208/2015</t>
  </si>
  <si>
    <t>Debiti v/Aziende sanitarie pubbliche della Regione per versamenti c/patrimonio netto - altro</t>
  </si>
  <si>
    <t>DEBITI V/ SOCIETA' PARTECIPATE E/O ENTI DIPENDENTI DELLA REGIONE</t>
  </si>
  <si>
    <t>Debiti v/enti regionali</t>
  </si>
  <si>
    <t>Debiti v/sperimentazioni gestionali</t>
  </si>
  <si>
    <t>Debiti v/altre partecipate</t>
  </si>
  <si>
    <t>DEBITI V/FORNITORI</t>
  </si>
  <si>
    <t xml:space="preserve">Debiti verso erogatori (privati accreditati e convenzionati) di prestazioni sanitarie </t>
  </si>
  <si>
    <t>Note di credito da ricevere (privati accreditati e convenzionati)</t>
  </si>
  <si>
    <t>Debiti verso altri fornitori</t>
  </si>
  <si>
    <t>Fornitori nazionali</t>
  </si>
  <si>
    <t>Fornitori esteri</t>
  </si>
  <si>
    <t>Assicurazioni</t>
  </si>
  <si>
    <t>Debiti vs farmacie</t>
  </si>
  <si>
    <t>Per trattenute a farmacie</t>
  </si>
  <si>
    <t>Note di credito da ricevere (altri fornitori)</t>
  </si>
  <si>
    <t>DEBITI V/ISTITUTO TESORIERE</t>
  </si>
  <si>
    <t>Anticipazioni</t>
  </si>
  <si>
    <t>Interessi passivi da liquidare</t>
  </si>
  <si>
    <t>DEBITI TRIBUTARI</t>
  </si>
  <si>
    <t>Ritenute fiscali</t>
  </si>
  <si>
    <t>Erario c/IVA</t>
  </si>
  <si>
    <t>Iva a debito</t>
  </si>
  <si>
    <t>Iva a debito x acquisti infra CEE</t>
  </si>
  <si>
    <t>Iva a debito per autofatture</t>
  </si>
  <si>
    <t>Iva a debito per split payment</t>
  </si>
  <si>
    <t>Altri debiti tributari</t>
  </si>
  <si>
    <t>DEBITI V/ISTITUTI PREVIDENZIALI, ASSISTENZIALI E SICUREZZA SOCIALE</t>
  </si>
  <si>
    <t>INPS (ex gestione INPDAP)</t>
  </si>
  <si>
    <t>INPS</t>
  </si>
  <si>
    <t>INAIL</t>
  </si>
  <si>
    <t>ENPAM</t>
  </si>
  <si>
    <t>ENPAF</t>
  </si>
  <si>
    <t>ONAOSI</t>
  </si>
  <si>
    <t>ENPAP</t>
  </si>
  <si>
    <t>ENPAV</t>
  </si>
  <si>
    <t>debiti vs/altri istituti di previdenza</t>
  </si>
  <si>
    <t>DEBITI V/ALTRI</t>
  </si>
  <si>
    <t>Debiti v/altri finanziatori</t>
  </si>
  <si>
    <t>Debiti v/dipendenti</t>
  </si>
  <si>
    <t xml:space="preserve">Debiti verso personale dipendente </t>
  </si>
  <si>
    <t>Debiti CCNL da liquidare</t>
  </si>
  <si>
    <t>Debiti v/gestioni liquidatorie</t>
  </si>
  <si>
    <t>Debiti vs gestione stralcio 1</t>
  </si>
  <si>
    <t>Debiti vs gestione stralcio 2</t>
  </si>
  <si>
    <t>Altri debiti diversi</t>
  </si>
  <si>
    <t>Debiti verso associazioni di volontariato</t>
  </si>
  <si>
    <t>Debiti verso privati paganti c/cauzioni</t>
  </si>
  <si>
    <t>Debiti verso assistiti</t>
  </si>
  <si>
    <t>Debiti per trattenute al personale</t>
  </si>
  <si>
    <t>Debiti verso personale convenzionato</t>
  </si>
  <si>
    <t>Debiti per ACN da liquidare</t>
  </si>
  <si>
    <t>Debiti verso personale non convenzionato</t>
  </si>
  <si>
    <t>Debiti verso personale tirocinante e borsisti</t>
  </si>
  <si>
    <t>Debiti per autofatture da emettere</t>
  </si>
  <si>
    <t>Debiti verso organi direttivi e istituzionali</t>
  </si>
  <si>
    <t>Debiti per quota integrativa organi direttivi e istituzionali da liquidare</t>
  </si>
  <si>
    <t>Debiti vs altri enti pubblici</t>
  </si>
  <si>
    <t>Altri debiti</t>
  </si>
  <si>
    <t>RATEI PASSIVI</t>
  </si>
  <si>
    <t>Ratei passivi v/Aziende sanitarie pubbliche della Regione</t>
  </si>
  <si>
    <t>RISCONTI PASSIVI</t>
  </si>
  <si>
    <t>Risconti passivi v/Aziende sanitarie pubbliche della Regione</t>
  </si>
  <si>
    <t xml:space="preserve"> Risconti passivi - in attuazione dell’art.79, comma 1 sexies lettera c), del D.L. 112/2008, convertito con legge 133/2008 e della legge 23 dicembre 2009 n. 191.</t>
  </si>
  <si>
    <t>TOTALE PASSIVO E PATRIMONIO NETTO</t>
  </si>
  <si>
    <t>CONTI DI RIEPILOGO</t>
  </si>
  <si>
    <t>Stato Patrimoniale di chiusura</t>
  </si>
  <si>
    <t>Stato Patrimoniale di apertura</t>
  </si>
  <si>
    <t>Conto Economico</t>
  </si>
  <si>
    <t>SCHEMA DI RENDICONTO FINANZIARIO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</si>
  <si>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</si>
  <si>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</si>
  <si>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</si>
  <si>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</si>
  <si>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</si>
  <si>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</si>
  <si>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</si>
  <si>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</si>
  <si>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</si>
  <si>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</si>
  <si>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</si>
  <si>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</si>
  <si>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</si>
  <si>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</si>
  <si>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</si>
  <si>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</si>
  <si>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</si>
  <si>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</si>
  <si>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</si>
  <si>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</si>
  <si>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</si>
  <si>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</si>
  <si>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</si>
  <si>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 (compreso il rilascio fondi per esubero)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</si>
  <si>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</si>
  <si>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</si>
  <si>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</si>
  <si>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</si>
  <si>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</si>
  <si>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</si>
  <si>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</si>
  <si>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</si>
  <si>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</si>
  <si>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</si>
  <si>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</si>
  <si>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</si>
  <si>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</si>
  <si>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</si>
  <si>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</si>
  <si>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</si>
  <si>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</si>
  <si>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</si>
  <si>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</si>
  <si>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</si>
  <si>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</si>
  <si>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</si>
  <si>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</si>
  <si>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</si>
  <si>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</si>
  <si>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</si>
  <si>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</si>
  <si>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posta a pareggio svalutazioni e fondi svalutazione = '- svalutazioni crediti + utilizzi fondi svalutazioni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</si>
  <si>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</si>
  <si>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</si>
  <si>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</si>
  <si>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</si>
  <si>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</si>
  <si>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</si>
  <si>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</si>
  <si>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</si>
  <si>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</si>
  <si>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</si>
  <si>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</si>
  <si>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</si>
  <si>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</si>
  <si>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</si>
  <si>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</si>
  <si>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</si>
  <si>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</si>
  <si>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</si>
  <si>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</si>
  <si>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</si>
  <si>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</si>
  <si>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</si>
  <si>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</si>
  <si>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</si>
  <si>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</si>
  <si>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 xml:space="preserve">Acquisto immobilizzazioni materiali in corso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</si>
  <si>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</si>
  <si>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</si>
  <si>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</si>
  <si>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</si>
  <si>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</si>
  <si>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</si>
  <si>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</si>
  <si>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</si>
  <si>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</si>
  <si>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</si>
  <si>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</si>
  <si>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</si>
  <si>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</si>
  <si>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</si>
  <si>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</si>
  <si>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</si>
  <si>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</si>
  <si>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Totale = - SP A) Immobilizzazioni - Ammortamenti - svalutazioni + Utilizzi fondo svalutazioni + Fornitori x immobilizzazioni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</si>
  <si>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</si>
  <si>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</si>
  <si>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</si>
  <si>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</si>
  <si>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</si>
  <si>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</si>
  <si>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</si>
  <si>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</si>
  <si>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</si>
  <si>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</si>
  <si>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</si>
  <si>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</si>
  <si>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</si>
  <si>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</si>
  <si>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</si>
  <si>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</si>
  <si>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</si>
  <si>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ANNO 2019</t>
  </si>
  <si>
    <t xml:space="preserve">Altri beni e prodotti non sanitari </t>
  </si>
  <si>
    <t>Note di credito da ricevere</t>
  </si>
  <si>
    <t>Note di credito da emettere</t>
  </si>
  <si>
    <t>Costi presidio</t>
  </si>
  <si>
    <t>Ricavi presidio</t>
  </si>
  <si>
    <t>Esercizio 
2020</t>
  </si>
  <si>
    <t>VARIAZIONE 2020/2019</t>
  </si>
  <si>
    <t>Consuntivo 2020 di Presidio</t>
  </si>
  <si>
    <t>X</t>
  </si>
  <si>
    <t>IMPORTO
2020</t>
  </si>
  <si>
    <t>CE 2020 presidio</t>
  </si>
  <si>
    <t>Importo
2020</t>
  </si>
  <si>
    <t>Importo 
2019</t>
  </si>
  <si>
    <t>ANNO 2020</t>
  </si>
  <si>
    <t>Importo
al 01/01/2020</t>
  </si>
  <si>
    <t>Importo
al 31/12/2020</t>
  </si>
  <si>
    <t>IMPORTO
al 01/01/2020</t>
  </si>
  <si>
    <t>Anno 2019 (importi al 01/01/2020)</t>
  </si>
  <si>
    <t>Anno 2020 (importi al 31/12/2020)</t>
  </si>
  <si>
    <t>IMPORTO
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</si>
</sst>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_€_-;\-* #,##0.00\ _€_-;_-* &quot;-&quot;??\ _€_-;_-@_-"/>
    <numFmt numFmtId="166" formatCode="#,##0;\(#,##0\)"/>
    <numFmt numFmtId="167" formatCode="_-* #,##0.00_-;\-* #,##0.00_-;_-* \-??_-;_-@_-"/>
    <numFmt numFmtId="168" formatCode="&quot;L.&quot;\ #,##0;[Red]\-&quot;L.&quot;\ #,##0"/>
    <numFmt numFmtId="169" formatCode="_-[$€]\ * #,##0.00_-;\-[$€]\ * #,##0.00_-;_-[$€]\ * &quot;-&quot;??_-;_-@_-"/>
    <numFmt numFmtId="170" formatCode="_(* #,##0_);_(* \(#,##0\);_(* &quot;-&quot;_);_(@_)"/>
    <numFmt numFmtId="171" formatCode="_(* #,##0.00_);_(* \(#,##0.00\);_(* &quot;-&quot;??_);_(@_)"/>
    <numFmt numFmtId="172" formatCode="_(* #,##0.00_);_(* \(#,##0.00\);_(* \-??_);_(@_)"/>
    <numFmt numFmtId="173" formatCode="_(&quot;$&quot;* #,##0_);_(&quot;$&quot;* \(#,##0\);_(&quot;$&quot;* &quot;-&quot;_);_(@_)"/>
    <numFmt numFmtId="174" formatCode="#,###"/>
    <numFmt numFmtId="175" formatCode="_-* #,##0.0\ _€_-;\-* #,##0.0\ _€_-;_-* &quot;-&quot;??\ _€_-;_-@_-"/>
    <numFmt numFmtId="176" formatCode="0.0"/>
    <numFmt numFmtId="177" formatCode="_ * #,##0.00_ ;_ * \-#,##0.00_ ;_ * &quot;-&quot;??_ ;_ @_ "/>
    <numFmt numFmtId="178" formatCode="_ * #,##0_ ;_ * \-#,##0_ ;_ * &quot;-&quot;??_ ;_ @_ "/>
    <numFmt numFmtId="179" formatCode="_-* #,##0_-;\-* #,##0_-;_-* &quot;-&quot;??_-;_-@_-"/>
    <numFmt numFmtId="180" formatCode="_-* #,##0.0_-;\-* #,##0.0_-;_-* &quot;-&quot;?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2"/>
      <name val="Times New Roman"/>
      <family val="1"/>
    </font>
    <font>
      <strike/>
      <sz val="10"/>
      <name val="DecimaWE Rg"/>
    </font>
    <font>
      <b/>
      <u/>
      <sz val="10"/>
      <name val="DecimaWE Rg"/>
    </font>
    <font>
      <sz val="10"/>
      <name val="MS Sans Serif"/>
      <family val="2"/>
    </font>
    <font>
      <sz val="10"/>
      <color indexed="9"/>
      <name val="DecimaWE Rg"/>
    </font>
    <font>
      <sz val="12"/>
      <name val="DecimaWE Rg"/>
    </font>
    <font>
      <sz val="12"/>
      <color rgb="FFFF0000"/>
      <name val="DecimaWE Rg"/>
    </font>
    <font>
      <sz val="8"/>
      <color rgb="FFFF0000"/>
      <name val="DecimaWE Rg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4"/>
      <name val="Calibri"/>
      <family val="2"/>
      <scheme val="minor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u/>
      <sz val="10"/>
      <name val="Tahoma"/>
      <family val="2"/>
    </font>
    <font>
      <strike/>
      <sz val="10"/>
      <name val="Tahoma"/>
      <family val="2"/>
    </font>
    <font>
      <b/>
      <i/>
      <u/>
      <sz val="10"/>
      <name val="Tahoma"/>
      <family val="2"/>
    </font>
    <font>
      <i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New Century Schlbk"/>
    </font>
    <font>
      <b/>
      <sz val="14"/>
      <name val="DecimaWE Rg"/>
    </font>
    <font>
      <sz val="16"/>
      <name val="Tahoma"/>
      <family val="2"/>
    </font>
    <font>
      <sz val="12"/>
      <color theme="0"/>
      <name val="Tahoma"/>
      <family val="2"/>
    </font>
    <font>
      <b/>
      <sz val="16"/>
      <color rgb="FFFF0000"/>
      <name val="Tahoma"/>
      <family val="2"/>
    </font>
    <font>
      <sz val="10"/>
      <color theme="0"/>
      <name val="Tahoma"/>
      <family val="2"/>
    </font>
    <font>
      <b/>
      <sz val="10"/>
      <color rgb="FFFF0000"/>
      <name val="Tahoma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trike/>
      <sz val="10"/>
      <name val="Tahoma"/>
      <family val="2"/>
    </font>
    <font>
      <b/>
      <i/>
      <strike/>
      <sz val="10"/>
      <name val="Tahoma"/>
      <family val="2"/>
    </font>
    <font>
      <sz val="10"/>
      <color rgb="FFFF0000"/>
      <name val="DecimaWE Rg"/>
    </font>
    <font>
      <sz val="10"/>
      <color indexed="8"/>
      <name val="DecimaWE Rg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Univers 45 Light"/>
    </font>
    <font>
      <b/>
      <sz val="8"/>
      <color rgb="FFFF0000"/>
      <name val="Univers 45 Light"/>
    </font>
    <font>
      <b/>
      <sz val="8"/>
      <name val="Univers 45 Light"/>
    </font>
    <font>
      <b/>
      <i/>
      <sz val="8"/>
      <color rgb="FFFF0000"/>
      <name val="Univers 45 Light"/>
    </font>
    <font>
      <b/>
      <i/>
      <sz val="8"/>
      <name val="Univers 45 Light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name val="Book Antiqua"/>
      <family val="1"/>
    </font>
    <font>
      <i/>
      <sz val="8"/>
      <name val="Univers 45 Light"/>
    </font>
    <font>
      <b/>
      <i/>
      <sz val="8"/>
      <color indexed="9"/>
      <name val="Univers 45 Light"/>
    </font>
    <font>
      <sz val="11"/>
      <name val="Calibri"/>
      <family val="2"/>
    </font>
    <font>
      <sz val="11"/>
      <color rgb="FFFF0000"/>
      <name val="Calibri"/>
      <family val="2"/>
    </font>
    <font>
      <sz val="8"/>
      <name val="Arial"/>
      <family val="2"/>
    </font>
    <font>
      <sz val="8"/>
      <color rgb="FFFF0000"/>
      <name val="Univers 45 Light"/>
    </font>
    <font>
      <b/>
      <sz val="8"/>
      <color theme="0"/>
      <name val="Univers 45 Light"/>
    </font>
    <font>
      <sz val="10"/>
      <color theme="0"/>
      <name val="Arial"/>
      <family val="2"/>
    </font>
    <font>
      <sz val="8"/>
      <color theme="0"/>
      <name val="Univers 45 Light"/>
    </font>
    <font>
      <sz val="11"/>
      <color theme="0"/>
      <name val="Calibri"/>
      <family val="2"/>
    </font>
    <font>
      <b/>
      <i/>
      <sz val="8"/>
      <color theme="0"/>
      <name val="Univers 45 Light"/>
    </font>
  </fonts>
  <fills count="4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25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5" fillId="0" borderId="0"/>
    <xf numFmtId="0" fontId="17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6" borderId="0" applyNumberFormat="0" applyBorder="0" applyAlignment="0" applyProtection="0"/>
    <xf numFmtId="0" fontId="24" fillId="5" borderId="49" applyNumberFormat="0" applyAlignment="0" applyProtection="0"/>
    <xf numFmtId="0" fontId="25" fillId="0" borderId="50" applyNumberFormat="0" applyFill="0" applyAlignment="0" applyProtection="0"/>
    <xf numFmtId="0" fontId="26" fillId="14" borderId="51" applyNumberFormat="0" applyAlignment="0" applyProtection="0"/>
    <xf numFmtId="0" fontId="27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38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ill="0" applyBorder="0" applyAlignment="0" applyProtection="0"/>
    <xf numFmtId="4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8" fillId="6" borderId="49" applyNumberFormat="0" applyAlignment="0" applyProtection="0"/>
    <xf numFmtId="170" fontId="29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2" fillId="11" borderId="0" applyNumberFormat="0" applyBorder="0" applyAlignment="0" applyProtection="0"/>
    <xf numFmtId="0" fontId="5" fillId="0" borderId="0"/>
    <xf numFmtId="0" fontId="17" fillId="0" borderId="0"/>
    <xf numFmtId="0" fontId="30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1" fillId="7" borderId="52" applyNumberFormat="0" applyAlignment="0" applyProtection="0"/>
    <xf numFmtId="0" fontId="33" fillId="9" borderId="53" applyNumberFormat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49" fontId="34" fillId="19" borderId="54">
      <alignment vertical="center"/>
    </xf>
    <xf numFmtId="49" fontId="5" fillId="20" borderId="54">
      <alignment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8" fillId="0" borderId="56" applyNumberFormat="0" applyFill="0" applyAlignment="0" applyProtection="0"/>
    <xf numFmtId="0" fontId="39" fillId="0" borderId="5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8" applyNumberFormat="0" applyFill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173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68" fillId="0" borderId="0">
      <alignment horizontal="left"/>
    </xf>
    <xf numFmtId="165" fontId="1" fillId="0" borderId="0" applyFont="0" applyFill="0" applyBorder="0" applyAlignment="0" applyProtection="0"/>
    <xf numFmtId="0" fontId="14" fillId="0" borderId="0"/>
    <xf numFmtId="0" fontId="1" fillId="0" borderId="0"/>
    <xf numFmtId="177" fontId="14" fillId="0" borderId="0" applyFont="0" applyFill="0" applyBorder="0" applyAlignment="0" applyProtection="0"/>
    <xf numFmtId="0" fontId="30" fillId="0" borderId="0"/>
    <xf numFmtId="166" fontId="90" fillId="0" borderId="0"/>
  </cellStyleXfs>
  <cellXfs count="1042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6" fontId="6" fillId="0" borderId="0" xfId="2" applyNumberFormat="1" applyFont="1" applyFill="1" applyAlignment="1">
      <alignment vertical="center"/>
    </xf>
    <xf numFmtId="10" fontId="6" fillId="0" borderId="0" xfId="2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66" fontId="8" fillId="0" borderId="0" xfId="2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10" fontId="8" fillId="0" borderId="0" xfId="2" applyNumberFormat="1" applyFont="1" applyFill="1" applyBorder="1" applyAlignment="1" applyProtection="1">
      <alignment horizontal="right" vertical="center"/>
    </xf>
    <xf numFmtId="166" fontId="8" fillId="0" borderId="0" xfId="2" quotePrefix="1" applyNumberFormat="1" applyFont="1" applyFill="1" applyBorder="1" applyAlignment="1" applyProtection="1">
      <alignment horizontal="center" vertical="center" wrapText="1"/>
    </xf>
    <xf numFmtId="10" fontId="8" fillId="0" borderId="0" xfId="2" quotePrefix="1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>
      <alignment vertical="center"/>
    </xf>
    <xf numFmtId="10" fontId="8" fillId="0" borderId="0" xfId="2" applyNumberFormat="1" applyFont="1" applyFill="1" applyBorder="1" applyAlignment="1" applyProtection="1">
      <alignment horizontal="right" vertical="center" wrapText="1"/>
    </xf>
    <xf numFmtId="0" fontId="9" fillId="0" borderId="1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10" fontId="9" fillId="0" borderId="0" xfId="3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</xf>
    <xf numFmtId="10" fontId="11" fillId="0" borderId="0" xfId="3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10" fontId="8" fillId="0" borderId="0" xfId="3" applyNumberFormat="1" applyFont="1" applyFill="1" applyBorder="1" applyAlignment="1" applyProtection="1">
      <alignment horizontal="right" vertical="center"/>
    </xf>
    <xf numFmtId="10" fontId="9" fillId="0" borderId="0" xfId="3" applyNumberFormat="1" applyFont="1" applyFill="1" applyBorder="1" applyAlignment="1" applyProtection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5" xfId="0" quotePrefix="1" applyFont="1" applyBorder="1" applyAlignment="1" applyProtection="1">
      <alignment horizontal="left" vertical="center"/>
    </xf>
    <xf numFmtId="0" fontId="4" fillId="0" borderId="15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3" fillId="0" borderId="15" xfId="0" applyFont="1" applyBorder="1" applyAlignment="1" applyProtection="1">
      <alignment horizontal="left" vertical="center"/>
    </xf>
    <xf numFmtId="0" fontId="9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43" fontId="6" fillId="0" borderId="0" xfId="1" applyFont="1" applyFill="1" applyAlignment="1">
      <alignment vertical="center" wrapText="1"/>
    </xf>
    <xf numFmtId="10" fontId="6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0" fontId="6" fillId="0" borderId="0" xfId="2" applyNumberFormat="1" applyFont="1" applyFill="1" applyAlignment="1">
      <alignment vertical="center" wrapText="1"/>
    </xf>
    <xf numFmtId="0" fontId="6" fillId="0" borderId="0" xfId="4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0" fontId="4" fillId="3" borderId="1" xfId="5" applyFont="1" applyFill="1" applyBorder="1" applyAlignment="1" applyProtection="1">
      <alignment horizontal="left" vertical="center" wrapText="1"/>
    </xf>
    <xf numFmtId="0" fontId="4" fillId="3" borderId="39" xfId="5" applyFont="1" applyFill="1" applyBorder="1" applyAlignment="1" applyProtection="1">
      <alignment horizontal="center" vertical="center" wrapText="1"/>
    </xf>
    <xf numFmtId="0" fontId="4" fillId="0" borderId="0" xfId="4" applyFont="1" applyFill="1" applyAlignment="1">
      <alignment vertical="center"/>
    </xf>
    <xf numFmtId="0" fontId="6" fillId="0" borderId="2" xfId="5" applyFont="1" applyFill="1" applyBorder="1" applyAlignment="1" applyProtection="1">
      <alignment horizontal="left" vertical="center" wrapText="1"/>
    </xf>
    <xf numFmtId="0" fontId="6" fillId="0" borderId="40" xfId="5" applyFont="1" applyFill="1" applyBorder="1" applyAlignment="1" applyProtection="1">
      <alignment horizontal="center" vertical="center" wrapText="1"/>
    </xf>
    <xf numFmtId="4" fontId="6" fillId="0" borderId="0" xfId="4" applyNumberFormat="1" applyFont="1" applyFill="1" applyAlignment="1">
      <alignment vertical="center"/>
    </xf>
    <xf numFmtId="0" fontId="4" fillId="0" borderId="2" xfId="5" applyFont="1" applyFill="1" applyBorder="1" applyAlignment="1" applyProtection="1">
      <alignment horizontal="left" vertical="center" wrapText="1"/>
    </xf>
    <xf numFmtId="0" fontId="6" fillId="0" borderId="0" xfId="4" applyFont="1" applyFill="1" applyAlignment="1">
      <alignment vertical="center" wrapText="1"/>
    </xf>
    <xf numFmtId="0" fontId="6" fillId="0" borderId="40" xfId="5" applyFont="1" applyFill="1" applyBorder="1" applyAlignment="1" applyProtection="1">
      <alignment horizontal="center" vertical="center"/>
    </xf>
    <xf numFmtId="0" fontId="15" fillId="0" borderId="40" xfId="5" applyFont="1" applyFill="1" applyBorder="1" applyAlignment="1" applyProtection="1">
      <alignment horizontal="center" vertical="center"/>
    </xf>
    <xf numFmtId="0" fontId="15" fillId="0" borderId="40" xfId="5" applyFont="1" applyFill="1" applyBorder="1" applyAlignment="1" applyProtection="1">
      <alignment horizontal="center" vertical="center" wrapText="1"/>
    </xf>
    <xf numFmtId="0" fontId="6" fillId="0" borderId="10" xfId="5" applyFont="1" applyFill="1" applyBorder="1" applyAlignment="1" applyProtection="1">
      <alignment horizontal="left" vertical="center" wrapText="1"/>
    </xf>
    <xf numFmtId="0" fontId="4" fillId="0" borderId="2" xfId="6" applyFont="1" applyFill="1" applyBorder="1" applyAlignment="1">
      <alignment vertical="center" wrapText="1"/>
    </xf>
    <xf numFmtId="0" fontId="4" fillId="0" borderId="41" xfId="6" applyFont="1" applyFill="1" applyBorder="1" applyAlignment="1">
      <alignment vertical="center" wrapText="1"/>
    </xf>
    <xf numFmtId="0" fontId="18" fillId="0" borderId="0" xfId="4" applyFont="1" applyFill="1" applyAlignment="1">
      <alignment vertical="center"/>
    </xf>
    <xf numFmtId="0" fontId="4" fillId="0" borderId="20" xfId="5" applyFont="1" applyFill="1" applyBorder="1" applyAlignment="1" applyProtection="1">
      <alignment horizontal="left" vertical="center" wrapText="1"/>
    </xf>
    <xf numFmtId="0" fontId="6" fillId="0" borderId="45" xfId="5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>
      <alignment vertical="center" wrapText="1"/>
    </xf>
    <xf numFmtId="0" fontId="6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19" fillId="0" borderId="0" xfId="4" applyFont="1" applyFill="1" applyAlignment="1">
      <alignment vertical="center"/>
    </xf>
    <xf numFmtId="0" fontId="4" fillId="3" borderId="46" xfId="5" applyFont="1" applyFill="1" applyBorder="1" applyAlignment="1" applyProtection="1">
      <alignment horizontal="left" vertical="center" wrapText="1"/>
    </xf>
    <xf numFmtId="39" fontId="6" fillId="3" borderId="39" xfId="5" applyNumberFormat="1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 applyProtection="1">
      <alignment horizontal="left" vertical="center" wrapText="1"/>
    </xf>
    <xf numFmtId="0" fontId="6" fillId="0" borderId="1" xfId="5" applyFont="1" applyFill="1" applyBorder="1" applyAlignment="1" applyProtection="1">
      <alignment horizontal="left" vertical="center" wrapText="1"/>
    </xf>
    <xf numFmtId="39" fontId="6" fillId="0" borderId="40" xfId="5" applyNumberFormat="1" applyFont="1" applyFill="1" applyBorder="1" applyAlignment="1" applyProtection="1">
      <alignment horizontal="center" vertical="center" wrapText="1"/>
    </xf>
    <xf numFmtId="0" fontId="8" fillId="0" borderId="0" xfId="4" applyFont="1" applyFill="1" applyAlignment="1">
      <alignment vertical="center"/>
    </xf>
    <xf numFmtId="0" fontId="6" fillId="0" borderId="46" xfId="5" applyFont="1" applyFill="1" applyBorder="1" applyAlignment="1" applyProtection="1">
      <alignment horizontal="left" vertical="center" wrapText="1"/>
    </xf>
    <xf numFmtId="0" fontId="6" fillId="0" borderId="2" xfId="5" quotePrefix="1" applyFont="1" applyFill="1" applyBorder="1" applyAlignment="1" applyProtection="1">
      <alignment horizontal="left" vertical="center" wrapText="1"/>
    </xf>
    <xf numFmtId="0" fontId="20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6" fillId="0" borderId="8" xfId="5" applyFont="1" applyFill="1" applyBorder="1" applyAlignment="1" applyProtection="1">
      <alignment horizontal="center" vertical="center" wrapText="1"/>
    </xf>
    <xf numFmtId="0" fontId="6" fillId="0" borderId="39" xfId="5" applyFont="1" applyFill="1" applyBorder="1" applyAlignment="1" applyProtection="1">
      <alignment horizontal="center" vertical="center" wrapText="1"/>
    </xf>
    <xf numFmtId="0" fontId="4" fillId="3" borderId="38" xfId="5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left" vertical="center"/>
    </xf>
    <xf numFmtId="0" fontId="6" fillId="0" borderId="2" xfId="5" applyFont="1" applyFill="1" applyBorder="1" applyAlignment="1" applyProtection="1">
      <alignment horizontal="left" vertical="center"/>
    </xf>
    <xf numFmtId="0" fontId="4" fillId="0" borderId="46" xfId="5" applyFont="1" applyFill="1" applyBorder="1" applyAlignment="1" applyProtection="1">
      <alignment horizontal="left" vertical="center" wrapText="1"/>
    </xf>
    <xf numFmtId="0" fontId="4" fillId="0" borderId="47" xfId="5" applyFont="1" applyFill="1" applyBorder="1" applyAlignment="1" applyProtection="1">
      <alignment horizontal="left" vertical="center"/>
    </xf>
    <xf numFmtId="0" fontId="4" fillId="0" borderId="48" xfId="5" applyFont="1" applyFill="1" applyBorder="1" applyAlignment="1" applyProtection="1">
      <alignment horizontal="left" vertical="center" wrapText="1"/>
    </xf>
    <xf numFmtId="0" fontId="6" fillId="0" borderId="40" xfId="5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vertical="center" wrapText="1"/>
    </xf>
    <xf numFmtId="0" fontId="19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44" fillId="0" borderId="0" xfId="4" applyFont="1" applyFill="1" applyAlignment="1">
      <alignment horizontal="left" vertical="center"/>
    </xf>
    <xf numFmtId="0" fontId="45" fillId="0" borderId="0" xfId="4" applyFont="1" applyFill="1" applyAlignment="1">
      <alignment horizontal="center" vertical="center"/>
    </xf>
    <xf numFmtId="0" fontId="45" fillId="0" borderId="0" xfId="4" applyFont="1" applyFill="1" applyAlignment="1">
      <alignment vertical="center"/>
    </xf>
    <xf numFmtId="165" fontId="46" fillId="23" borderId="0" xfId="116" applyFont="1" applyFill="1" applyAlignment="1">
      <alignment vertical="center"/>
    </xf>
    <xf numFmtId="0" fontId="45" fillId="23" borderId="0" xfId="4" applyFont="1" applyFill="1" applyAlignment="1">
      <alignment vertical="center"/>
    </xf>
    <xf numFmtId="0" fontId="48" fillId="24" borderId="0" xfId="4" applyFont="1" applyFill="1" applyAlignment="1">
      <alignment vertical="center"/>
    </xf>
    <xf numFmtId="0" fontId="49" fillId="0" borderId="0" xfId="4" applyFont="1" applyFill="1" applyAlignment="1">
      <alignment horizontal="left" vertical="center"/>
    </xf>
    <xf numFmtId="0" fontId="47" fillId="0" borderId="0" xfId="4" applyFont="1" applyFill="1" applyAlignment="1">
      <alignment horizontal="left" vertical="center"/>
    </xf>
    <xf numFmtId="0" fontId="47" fillId="0" borderId="0" xfId="4" applyFont="1" applyFill="1" applyAlignment="1">
      <alignment horizontal="center" vertical="center" wrapText="1"/>
    </xf>
    <xf numFmtId="165" fontId="50" fillId="23" borderId="0" xfId="116" applyFont="1" applyFill="1" applyAlignment="1">
      <alignment horizontal="center" vertical="center" wrapText="1"/>
    </xf>
    <xf numFmtId="0" fontId="47" fillId="23" borderId="0" xfId="4" applyFont="1" applyFill="1" applyAlignment="1">
      <alignment horizontal="center" vertical="center" wrapText="1"/>
    </xf>
    <xf numFmtId="0" fontId="51" fillId="24" borderId="0" xfId="4" applyFont="1" applyFill="1" applyAlignment="1">
      <alignment vertical="center"/>
    </xf>
    <xf numFmtId="0" fontId="49" fillId="23" borderId="0" xfId="4" applyFont="1" applyFill="1" applyAlignment="1">
      <alignment vertical="center"/>
    </xf>
    <xf numFmtId="0" fontId="49" fillId="23" borderId="0" xfId="4" applyFont="1" applyFill="1" applyBorder="1" applyAlignment="1">
      <alignment horizontal="center" vertical="center"/>
    </xf>
    <xf numFmtId="0" fontId="49" fillId="0" borderId="0" xfId="4" applyFont="1" applyFill="1" applyAlignment="1">
      <alignment horizontal="center" vertical="center"/>
    </xf>
    <xf numFmtId="165" fontId="46" fillId="23" borderId="0" xfId="116" applyFont="1" applyFill="1" applyAlignment="1">
      <alignment horizontal="center" vertical="center"/>
    </xf>
    <xf numFmtId="0" fontId="49" fillId="23" borderId="0" xfId="4" applyFont="1" applyFill="1" applyAlignment="1">
      <alignment horizontal="center" vertical="center"/>
    </xf>
    <xf numFmtId="0" fontId="44" fillId="25" borderId="31" xfId="4" applyFont="1" applyFill="1" applyBorder="1" applyAlignment="1">
      <alignment horizontal="left" vertical="center"/>
    </xf>
    <xf numFmtId="0" fontId="44" fillId="25" borderId="32" xfId="4" applyFont="1" applyFill="1" applyBorder="1" applyAlignment="1">
      <alignment horizontal="center" vertical="center"/>
    </xf>
    <xf numFmtId="165" fontId="50" fillId="3" borderId="32" xfId="116" applyFont="1" applyFill="1" applyBorder="1" applyAlignment="1">
      <alignment horizontal="center" vertical="center"/>
    </xf>
    <xf numFmtId="0" fontId="44" fillId="3" borderId="31" xfId="4" applyFont="1" applyFill="1" applyBorder="1" applyAlignment="1">
      <alignment horizontal="left" vertical="center"/>
    </xf>
    <xf numFmtId="0" fontId="49" fillId="0" borderId="24" xfId="4" applyFont="1" applyFill="1" applyBorder="1" applyAlignment="1">
      <alignment horizontal="center" vertical="center"/>
    </xf>
    <xf numFmtId="0" fontId="49" fillId="0" borderId="25" xfId="4" applyFont="1" applyFill="1" applyBorder="1" applyAlignment="1">
      <alignment horizontal="center" vertical="center"/>
    </xf>
    <xf numFmtId="165" fontId="46" fillId="23" borderId="25" xfId="116" applyFont="1" applyFill="1" applyBorder="1" applyAlignment="1">
      <alignment horizontal="center" vertical="center"/>
    </xf>
    <xf numFmtId="0" fontId="49" fillId="23" borderId="25" xfId="4" applyFont="1" applyFill="1" applyBorder="1" applyAlignment="1">
      <alignment horizontal="center" vertical="center"/>
    </xf>
    <xf numFmtId="0" fontId="49" fillId="23" borderId="59" xfId="4" applyFont="1" applyFill="1" applyBorder="1" applyAlignment="1">
      <alignment horizontal="center" vertical="center"/>
    </xf>
    <xf numFmtId="0" fontId="49" fillId="23" borderId="24" xfId="4" applyFont="1" applyFill="1" applyBorder="1" applyAlignment="1">
      <alignment horizontal="center" vertical="center"/>
    </xf>
    <xf numFmtId="0" fontId="49" fillId="0" borderId="14" xfId="4" applyFont="1" applyFill="1" applyBorder="1" applyAlignment="1">
      <alignment horizontal="center" vertical="center"/>
    </xf>
    <xf numFmtId="0" fontId="49" fillId="23" borderId="38" xfId="4" applyFont="1" applyFill="1" applyBorder="1" applyAlignment="1">
      <alignment horizontal="center" vertical="center"/>
    </xf>
    <xf numFmtId="0" fontId="49" fillId="23" borderId="62" xfId="4" applyFont="1" applyFill="1" applyBorder="1" applyAlignment="1">
      <alignment horizontal="center" vertical="center"/>
    </xf>
    <xf numFmtId="0" fontId="49" fillId="23" borderId="14" xfId="4" applyFont="1" applyFill="1" applyBorder="1" applyAlignment="1">
      <alignment horizontal="left" vertical="center"/>
    </xf>
    <xf numFmtId="0" fontId="49" fillId="23" borderId="0" xfId="4" applyFont="1" applyFill="1" applyBorder="1" applyAlignment="1">
      <alignment horizontal="left" vertical="center"/>
    </xf>
    <xf numFmtId="0" fontId="49" fillId="0" borderId="0" xfId="4" applyFont="1" applyFill="1" applyBorder="1" applyAlignment="1">
      <alignment horizontal="center" vertical="center"/>
    </xf>
    <xf numFmtId="165" fontId="46" fillId="23" borderId="0" xfId="116" applyFont="1" applyFill="1" applyBorder="1" applyAlignment="1">
      <alignment horizontal="center" vertical="center"/>
    </xf>
    <xf numFmtId="0" fontId="49" fillId="23" borderId="14" xfId="4" applyFont="1" applyFill="1" applyBorder="1" applyAlignment="1">
      <alignment horizontal="center" vertical="center"/>
    </xf>
    <xf numFmtId="0" fontId="49" fillId="23" borderId="0" xfId="4" applyFont="1" applyFill="1" applyBorder="1" applyAlignment="1">
      <alignment horizontal="right" vertical="center"/>
    </xf>
    <xf numFmtId="0" fontId="49" fillId="0" borderId="60" xfId="4" applyFont="1" applyFill="1" applyBorder="1" applyAlignment="1">
      <alignment horizontal="center" vertical="center"/>
    </xf>
    <xf numFmtId="0" fontId="49" fillId="0" borderId="28" xfId="4" applyFont="1" applyFill="1" applyBorder="1" applyAlignment="1">
      <alignment horizontal="center" vertical="center"/>
    </xf>
    <xf numFmtId="165" fontId="46" fillId="23" borderId="28" xfId="116" applyFont="1" applyFill="1" applyBorder="1" applyAlignment="1">
      <alignment horizontal="center" vertical="center"/>
    </xf>
    <xf numFmtId="0" fontId="49" fillId="23" borderId="28" xfId="4" applyFont="1" applyFill="1" applyBorder="1" applyAlignment="1">
      <alignment horizontal="center" vertical="center"/>
    </xf>
    <xf numFmtId="0" fontId="49" fillId="23" borderId="61" xfId="4" applyFont="1" applyFill="1" applyBorder="1" applyAlignment="1">
      <alignment horizontal="center" vertical="center"/>
    </xf>
    <xf numFmtId="0" fontId="49" fillId="23" borderId="60" xfId="4" applyFont="1" applyFill="1" applyBorder="1" applyAlignment="1">
      <alignment horizontal="center" vertical="center"/>
    </xf>
    <xf numFmtId="0" fontId="45" fillId="23" borderId="24" xfId="4" applyFont="1" applyFill="1" applyBorder="1" applyAlignment="1">
      <alignment vertical="center"/>
    </xf>
    <xf numFmtId="0" fontId="44" fillId="0" borderId="25" xfId="4" applyFont="1" applyFill="1" applyBorder="1" applyAlignment="1">
      <alignment horizontal="center" vertical="center"/>
    </xf>
    <xf numFmtId="165" fontId="50" fillId="23" borderId="25" xfId="116" applyFont="1" applyFill="1" applyBorder="1" applyAlignment="1">
      <alignment horizontal="center" vertical="center"/>
    </xf>
    <xf numFmtId="0" fontId="44" fillId="23" borderId="25" xfId="4" applyFont="1" applyFill="1" applyBorder="1" applyAlignment="1">
      <alignment horizontal="center" vertical="center"/>
    </xf>
    <xf numFmtId="0" fontId="44" fillId="23" borderId="59" xfId="4" applyFont="1" applyFill="1" applyBorder="1" applyAlignment="1">
      <alignment horizontal="center" vertical="center"/>
    </xf>
    <xf numFmtId="0" fontId="45" fillId="23" borderId="14" xfId="4" applyFont="1" applyFill="1" applyBorder="1" applyAlignment="1">
      <alignment vertical="center"/>
    </xf>
    <xf numFmtId="0" fontId="49" fillId="23" borderId="0" xfId="4" applyFont="1" applyFill="1" applyBorder="1" applyAlignment="1">
      <alignment vertical="center"/>
    </xf>
    <xf numFmtId="0" fontId="45" fillId="23" borderId="60" xfId="4" applyFont="1" applyFill="1" applyBorder="1" applyAlignment="1">
      <alignment vertical="center"/>
    </xf>
    <xf numFmtId="0" fontId="44" fillId="23" borderId="0" xfId="4" applyFont="1" applyFill="1" applyBorder="1" applyAlignment="1">
      <alignment horizontal="center" vertical="center" wrapText="1"/>
    </xf>
    <xf numFmtId="0" fontId="44" fillId="0" borderId="0" xfId="4" applyFont="1" applyFill="1" applyBorder="1" applyAlignment="1">
      <alignment horizontal="center" vertical="center" wrapText="1"/>
    </xf>
    <xf numFmtId="0" fontId="45" fillId="23" borderId="0" xfId="4" applyFont="1" applyFill="1" applyAlignment="1">
      <alignment vertical="center" wrapText="1"/>
    </xf>
    <xf numFmtId="0" fontId="48" fillId="24" borderId="0" xfId="4" applyFont="1" applyFill="1" applyAlignment="1">
      <alignment vertical="center" wrapText="1"/>
    </xf>
    <xf numFmtId="0" fontId="45" fillId="24" borderId="0" xfId="4" applyFont="1" applyFill="1" applyAlignment="1">
      <alignment vertical="center" wrapText="1"/>
    </xf>
    <xf numFmtId="0" fontId="53" fillId="0" borderId="24" xfId="5" applyFont="1" applyFill="1" applyBorder="1" applyAlignment="1" applyProtection="1">
      <alignment horizontal="center" vertical="center" wrapText="1"/>
    </xf>
    <xf numFmtId="0" fontId="53" fillId="0" borderId="31" xfId="5" applyFont="1" applyFill="1" applyBorder="1" applyAlignment="1" applyProtection="1">
      <alignment vertical="center" wrapText="1"/>
    </xf>
    <xf numFmtId="0" fontId="53" fillId="24" borderId="0" xfId="5" applyFont="1" applyFill="1" applyBorder="1" applyAlignment="1" applyProtection="1">
      <alignment vertical="center" wrapText="1"/>
    </xf>
    <xf numFmtId="0" fontId="57" fillId="24" borderId="0" xfId="4" applyFont="1" applyFill="1" applyAlignment="1">
      <alignment vertical="center" wrapText="1"/>
    </xf>
    <xf numFmtId="0" fontId="55" fillId="24" borderId="0" xfId="4" applyFont="1" applyFill="1" applyAlignment="1">
      <alignment vertical="center" wrapText="1"/>
    </xf>
    <xf numFmtId="0" fontId="55" fillId="0" borderId="0" xfId="4" applyFont="1" applyFill="1" applyAlignment="1">
      <alignment vertical="center" wrapText="1"/>
    </xf>
    <xf numFmtId="0" fontId="49" fillId="0" borderId="66" xfId="5" applyFont="1" applyFill="1" applyBorder="1" applyAlignment="1" applyProtection="1">
      <alignment horizontal="center" vertical="center" wrapText="1"/>
    </xf>
    <xf numFmtId="0" fontId="53" fillId="0" borderId="47" xfId="5" applyFont="1" applyFill="1" applyBorder="1" applyAlignment="1" applyProtection="1">
      <alignment horizontal="center" vertical="center" wrapText="1"/>
    </xf>
    <xf numFmtId="0" fontId="53" fillId="0" borderId="47" xfId="5" applyFont="1" applyFill="1" applyBorder="1" applyAlignment="1" applyProtection="1">
      <alignment horizontal="left" vertical="center" wrapText="1"/>
    </xf>
    <xf numFmtId="165" fontId="56" fillId="0" borderId="40" xfId="116" applyFont="1" applyBorder="1" applyAlignment="1">
      <alignment horizontal="right" vertical="center" wrapText="1"/>
    </xf>
    <xf numFmtId="0" fontId="44" fillId="24" borderId="0" xfId="4" applyFont="1" applyFill="1" applyAlignment="1">
      <alignment vertical="center" wrapText="1"/>
    </xf>
    <xf numFmtId="0" fontId="44" fillId="0" borderId="0" xfId="4" applyFont="1" applyFill="1" applyAlignment="1">
      <alignment vertical="center" wrapText="1"/>
    </xf>
    <xf numFmtId="0" fontId="60" fillId="0" borderId="47" xfId="5" applyFont="1" applyFill="1" applyBorder="1" applyAlignment="1" applyProtection="1">
      <alignment horizontal="center" vertical="center" wrapText="1"/>
    </xf>
    <xf numFmtId="0" fontId="60" fillId="0" borderId="47" xfId="5" applyFont="1" applyFill="1" applyBorder="1" applyAlignment="1" applyProtection="1">
      <alignment horizontal="left" vertical="center" wrapText="1"/>
    </xf>
    <xf numFmtId="0" fontId="61" fillId="0" borderId="0" xfId="4" applyFont="1" applyFill="1" applyAlignment="1">
      <alignment vertical="center" wrapText="1"/>
    </xf>
    <xf numFmtId="0" fontId="59" fillId="0" borderId="47" xfId="5" applyFont="1" applyFill="1" applyBorder="1" applyAlignment="1" applyProtection="1">
      <alignment horizontal="center" vertical="center" wrapText="1"/>
    </xf>
    <xf numFmtId="0" fontId="59" fillId="0" borderId="47" xfId="5" applyFont="1" applyFill="1" applyBorder="1" applyAlignment="1" applyProtection="1">
      <alignment horizontal="left" vertical="center" wrapText="1"/>
    </xf>
    <xf numFmtId="0" fontId="45" fillId="0" borderId="0" xfId="4" applyFont="1" applyFill="1" applyAlignment="1">
      <alignment vertical="center" wrapText="1"/>
    </xf>
    <xf numFmtId="0" fontId="49" fillId="0" borderId="47" xfId="5" applyFont="1" applyFill="1" applyBorder="1" applyAlignment="1" applyProtection="1">
      <alignment horizontal="center" vertical="center" wrapText="1"/>
    </xf>
    <xf numFmtId="0" fontId="49" fillId="0" borderId="47" xfId="5" applyFont="1" applyFill="1" applyBorder="1" applyAlignment="1" applyProtection="1">
      <alignment horizontal="left" vertical="center" wrapText="1"/>
    </xf>
    <xf numFmtId="0" fontId="49" fillId="24" borderId="47" xfId="5" applyFont="1" applyFill="1" applyBorder="1" applyAlignment="1" applyProtection="1">
      <alignment horizontal="center" vertical="center" wrapText="1"/>
    </xf>
    <xf numFmtId="0" fontId="49" fillId="24" borderId="47" xfId="5" applyFont="1" applyFill="1" applyBorder="1" applyAlignment="1" applyProtection="1">
      <alignment horizontal="left" vertical="center" wrapText="1"/>
    </xf>
    <xf numFmtId="0" fontId="49" fillId="24" borderId="66" xfId="5" applyFont="1" applyFill="1" applyBorder="1" applyAlignment="1" applyProtection="1">
      <alignment horizontal="center" vertical="center" wrapText="1"/>
    </xf>
    <xf numFmtId="0" fontId="48" fillId="24" borderId="0" xfId="4" applyFont="1" applyFill="1" applyAlignment="1">
      <alignment horizontal="left" vertical="center" wrapText="1"/>
    </xf>
    <xf numFmtId="0" fontId="45" fillId="24" borderId="0" xfId="4" applyFont="1" applyFill="1" applyAlignment="1">
      <alignment horizontal="left" vertical="center" wrapText="1"/>
    </xf>
    <xf numFmtId="0" fontId="53" fillId="0" borderId="66" xfId="5" applyFont="1" applyFill="1" applyBorder="1" applyAlignment="1" applyProtection="1">
      <alignment horizontal="center" vertical="center" wrapText="1"/>
    </xf>
    <xf numFmtId="0" fontId="49" fillId="0" borderId="40" xfId="5" applyFont="1" applyFill="1" applyBorder="1" applyAlignment="1" applyProtection="1">
      <alignment horizontal="center" vertical="center" wrapText="1"/>
    </xf>
    <xf numFmtId="0" fontId="49" fillId="0" borderId="66" xfId="5" applyFont="1" applyFill="1" applyBorder="1" applyAlignment="1">
      <alignment horizontal="center" vertical="center" wrapText="1"/>
    </xf>
    <xf numFmtId="0" fontId="48" fillId="0" borderId="0" xfId="4" applyFont="1" applyFill="1" applyAlignment="1">
      <alignment vertical="center" wrapText="1"/>
    </xf>
    <xf numFmtId="165" fontId="56" fillId="0" borderId="40" xfId="116" applyFont="1" applyFill="1" applyBorder="1" applyAlignment="1">
      <alignment horizontal="right" vertical="center" wrapText="1"/>
    </xf>
    <xf numFmtId="0" fontId="59" fillId="26" borderId="47" xfId="5" applyFont="1" applyFill="1" applyBorder="1" applyAlignment="1" applyProtection="1">
      <alignment horizontal="center" vertical="center" wrapText="1"/>
    </xf>
    <xf numFmtId="0" fontId="59" fillId="26" borderId="47" xfId="5" applyFont="1" applyFill="1" applyBorder="1" applyAlignment="1" applyProtection="1">
      <alignment horizontal="left" vertical="center" wrapText="1"/>
    </xf>
    <xf numFmtId="165" fontId="56" fillId="26" borderId="40" xfId="116" applyFont="1" applyFill="1" applyBorder="1" applyAlignment="1">
      <alignment horizontal="right" vertical="center" wrapText="1"/>
    </xf>
    <xf numFmtId="0" fontId="49" fillId="24" borderId="66" xfId="5" applyFont="1" applyFill="1" applyBorder="1" applyAlignment="1">
      <alignment horizontal="center" vertical="center" wrapText="1"/>
    </xf>
    <xf numFmtId="0" fontId="58" fillId="0" borderId="0" xfId="4" applyFont="1" applyFill="1" applyAlignment="1">
      <alignment vertical="center" wrapText="1"/>
    </xf>
    <xf numFmtId="0" fontId="53" fillId="0" borderId="66" xfId="5" applyFont="1" applyFill="1" applyBorder="1" applyAlignment="1">
      <alignment horizontal="center" vertical="center" wrapText="1"/>
    </xf>
    <xf numFmtId="0" fontId="53" fillId="24" borderId="66" xfId="5" applyFont="1" applyFill="1" applyBorder="1" applyAlignment="1" applyProtection="1">
      <alignment horizontal="center" vertical="center" wrapText="1"/>
    </xf>
    <xf numFmtId="0" fontId="59" fillId="24" borderId="47" xfId="5" applyFont="1" applyFill="1" applyBorder="1" applyAlignment="1" applyProtection="1">
      <alignment horizontal="center" vertical="center" wrapText="1"/>
    </xf>
    <xf numFmtId="0" fontId="59" fillId="24" borderId="47" xfId="5" applyFont="1" applyFill="1" applyBorder="1" applyAlignment="1" applyProtection="1">
      <alignment horizontal="left" vertical="center" wrapText="1"/>
    </xf>
    <xf numFmtId="0" fontId="59" fillId="24" borderId="67" xfId="5" applyFont="1" applyFill="1" applyBorder="1" applyAlignment="1" applyProtection="1">
      <alignment horizontal="left" vertical="center" wrapText="1"/>
    </xf>
    <xf numFmtId="0" fontId="49" fillId="24" borderId="0" xfId="5" applyFont="1" applyFill="1" applyAlignment="1">
      <alignment vertical="center"/>
    </xf>
    <xf numFmtId="0" fontId="49" fillId="24" borderId="0" xfId="5" applyFont="1" applyFill="1" applyBorder="1" applyAlignment="1">
      <alignment vertical="center"/>
    </xf>
    <xf numFmtId="0" fontId="49" fillId="24" borderId="0" xfId="4" applyFont="1" applyFill="1" applyBorder="1" applyAlignment="1">
      <alignment horizontal="center" vertical="center"/>
    </xf>
    <xf numFmtId="0" fontId="49" fillId="24" borderId="0" xfId="4" applyFont="1" applyFill="1" applyBorder="1" applyAlignment="1">
      <alignment vertical="center"/>
    </xf>
    <xf numFmtId="0" fontId="45" fillId="24" borderId="0" xfId="4" applyFont="1" applyFill="1" applyBorder="1" applyAlignment="1">
      <alignment vertical="center"/>
    </xf>
    <xf numFmtId="0" fontId="45" fillId="23" borderId="0" xfId="4" applyFont="1" applyFill="1" applyAlignment="1">
      <alignment horizontal="center" vertical="center"/>
    </xf>
    <xf numFmtId="0" fontId="49" fillId="0" borderId="0" xfId="5" applyFont="1" applyFill="1" applyAlignment="1">
      <alignment horizontal="center" vertical="center"/>
    </xf>
    <xf numFmtId="0" fontId="49" fillId="0" borderId="0" xfId="5" applyFont="1" applyFill="1" applyAlignment="1">
      <alignment vertical="center"/>
    </xf>
    <xf numFmtId="165" fontId="46" fillId="24" borderId="0" xfId="116" applyFont="1" applyFill="1" applyAlignment="1">
      <alignment vertical="center"/>
    </xf>
    <xf numFmtId="0" fontId="51" fillId="24" borderId="0" xfId="5" applyFont="1" applyFill="1" applyAlignment="1">
      <alignment vertical="center"/>
    </xf>
    <xf numFmtId="0" fontId="49" fillId="24" borderId="0" xfId="4" applyFont="1" applyFill="1" applyBorder="1" applyAlignment="1">
      <alignment horizontal="right" vertical="center"/>
    </xf>
    <xf numFmtId="0" fontId="49" fillId="0" borderId="0" xfId="5" applyFont="1" applyFill="1" applyBorder="1" applyAlignment="1">
      <alignment vertical="center"/>
    </xf>
    <xf numFmtId="165" fontId="46" fillId="24" borderId="0" xfId="116" applyFont="1" applyFill="1" applyBorder="1" applyAlignment="1">
      <alignment vertical="center"/>
    </xf>
    <xf numFmtId="0" fontId="51" fillId="24" borderId="0" xfId="5" applyFont="1" applyFill="1" applyBorder="1" applyAlignment="1">
      <alignment vertical="center"/>
    </xf>
    <xf numFmtId="165" fontId="46" fillId="24" borderId="0" xfId="116" applyFont="1" applyFill="1" applyBorder="1" applyAlignment="1">
      <alignment horizontal="center" vertical="center"/>
    </xf>
    <xf numFmtId="0" fontId="51" fillId="24" borderId="0" xfId="4" applyFont="1" applyFill="1" applyBorder="1" applyAlignment="1">
      <alignment horizontal="center" vertical="center"/>
    </xf>
    <xf numFmtId="0" fontId="49" fillId="0" borderId="0" xfId="4" applyFont="1" applyFill="1" applyBorder="1" applyAlignment="1">
      <alignment horizontal="left" vertical="center"/>
    </xf>
    <xf numFmtId="0" fontId="49" fillId="0" borderId="0" xfId="4" applyFont="1" applyFill="1" applyBorder="1" applyAlignment="1">
      <alignment vertical="center"/>
    </xf>
    <xf numFmtId="0" fontId="49" fillId="0" borderId="0" xfId="4" applyFont="1" applyFill="1" applyAlignment="1">
      <alignment vertical="center"/>
    </xf>
    <xf numFmtId="0" fontId="45" fillId="24" borderId="0" xfId="4" applyFont="1" applyFill="1" applyAlignment="1">
      <alignment vertical="center"/>
    </xf>
    <xf numFmtId="0" fontId="45" fillId="0" borderId="0" xfId="4" applyFont="1" applyFill="1" applyBorder="1" applyAlignment="1">
      <alignment vertical="center"/>
    </xf>
    <xf numFmtId="165" fontId="56" fillId="4" borderId="40" xfId="116" applyFont="1" applyFill="1" applyBorder="1" applyAlignment="1">
      <alignment horizontal="right" vertical="center" wrapText="1"/>
    </xf>
    <xf numFmtId="0" fontId="60" fillId="4" borderId="47" xfId="5" applyFont="1" applyFill="1" applyBorder="1" applyAlignment="1" applyProtection="1">
      <alignment horizontal="center" vertical="center" wrapText="1"/>
    </xf>
    <xf numFmtId="0" fontId="60" fillId="4" borderId="47" xfId="5" applyFont="1" applyFill="1" applyBorder="1" applyAlignment="1" applyProtection="1">
      <alignment horizontal="left" vertical="center" wrapText="1"/>
    </xf>
    <xf numFmtId="0" fontId="54" fillId="27" borderId="64" xfId="5" applyFont="1" applyFill="1" applyBorder="1" applyAlignment="1" applyProtection="1">
      <alignment horizontal="center" vertical="center" wrapText="1"/>
    </xf>
    <xf numFmtId="0" fontId="55" fillId="27" borderId="64" xfId="5" applyFont="1" applyFill="1" applyBorder="1" applyAlignment="1" applyProtection="1">
      <alignment vertical="center" wrapText="1"/>
    </xf>
    <xf numFmtId="165" fontId="56" fillId="27" borderId="65" xfId="116" applyFont="1" applyFill="1" applyBorder="1" applyAlignment="1">
      <alignment horizontal="right" vertical="center" wrapText="1"/>
    </xf>
    <xf numFmtId="0" fontId="53" fillId="28" borderId="47" xfId="5" applyFont="1" applyFill="1" applyBorder="1" applyAlignment="1" applyProtection="1">
      <alignment horizontal="center" vertical="center" wrapText="1"/>
    </xf>
    <xf numFmtId="0" fontId="53" fillId="28" borderId="47" xfId="5" applyFont="1" applyFill="1" applyBorder="1" applyAlignment="1" applyProtection="1">
      <alignment horizontal="left" vertical="center" wrapText="1"/>
    </xf>
    <xf numFmtId="165" fontId="56" fillId="28" borderId="40" xfId="116" applyFont="1" applyFill="1" applyBorder="1" applyAlignment="1">
      <alignment horizontal="right" vertical="center" wrapText="1"/>
    </xf>
    <xf numFmtId="0" fontId="53" fillId="29" borderId="47" xfId="5" applyFont="1" applyFill="1" applyBorder="1" applyAlignment="1" applyProtection="1">
      <alignment horizontal="center" vertical="center" wrapText="1"/>
    </xf>
    <xf numFmtId="0" fontId="53" fillId="29" borderId="47" xfId="5" applyFont="1" applyFill="1" applyBorder="1" applyAlignment="1" applyProtection="1">
      <alignment horizontal="left" vertical="center" wrapText="1"/>
    </xf>
    <xf numFmtId="165" fontId="56" fillId="29" borderId="40" xfId="116" applyFont="1" applyFill="1" applyBorder="1" applyAlignment="1">
      <alignment horizontal="right" vertical="center" wrapText="1"/>
    </xf>
    <xf numFmtId="0" fontId="59" fillId="30" borderId="47" xfId="5" applyFont="1" applyFill="1" applyBorder="1" applyAlignment="1" applyProtection="1">
      <alignment horizontal="center" vertical="center" wrapText="1"/>
    </xf>
    <xf numFmtId="0" fontId="59" fillId="30" borderId="47" xfId="5" applyFont="1" applyFill="1" applyBorder="1" applyAlignment="1" applyProtection="1">
      <alignment horizontal="left" vertical="center" wrapText="1"/>
    </xf>
    <xf numFmtId="165" fontId="56" fillId="30" borderId="40" xfId="116" applyFont="1" applyFill="1" applyBorder="1" applyAlignment="1">
      <alignment horizontal="right" vertical="center" wrapText="1"/>
    </xf>
    <xf numFmtId="0" fontId="49" fillId="31" borderId="47" xfId="5" applyFont="1" applyFill="1" applyBorder="1" applyAlignment="1" applyProtection="1">
      <alignment horizontal="center" vertical="center" wrapText="1"/>
    </xf>
    <xf numFmtId="0" fontId="49" fillId="31" borderId="47" xfId="5" applyFont="1" applyFill="1" applyBorder="1" applyAlignment="1" applyProtection="1">
      <alignment horizontal="left" vertical="center" wrapText="1"/>
    </xf>
    <xf numFmtId="165" fontId="56" fillId="31" borderId="40" xfId="116" applyFont="1" applyFill="1" applyBorder="1" applyAlignment="1">
      <alignment horizontal="right" vertical="center" wrapText="1"/>
    </xf>
    <xf numFmtId="0" fontId="51" fillId="24" borderId="0" xfId="4" applyFont="1" applyFill="1" applyAlignment="1">
      <alignment vertical="center" wrapText="1"/>
    </xf>
    <xf numFmtId="0" fontId="59" fillId="31" borderId="47" xfId="5" applyFont="1" applyFill="1" applyBorder="1" applyAlignment="1" applyProtection="1">
      <alignment horizontal="center" vertical="center" wrapText="1"/>
    </xf>
    <xf numFmtId="0" fontId="59" fillId="31" borderId="47" xfId="5" applyFont="1" applyFill="1" applyBorder="1" applyAlignment="1" applyProtection="1">
      <alignment horizontal="left" vertical="center" wrapText="1"/>
    </xf>
    <xf numFmtId="165" fontId="65" fillId="31" borderId="40" xfId="116" applyFont="1" applyFill="1" applyBorder="1" applyAlignment="1">
      <alignment horizontal="right" vertical="center" wrapText="1"/>
    </xf>
    <xf numFmtId="165" fontId="56" fillId="32" borderId="40" xfId="116" applyFont="1" applyFill="1" applyBorder="1" applyAlignment="1">
      <alignment horizontal="right" vertical="center" wrapText="1"/>
    </xf>
    <xf numFmtId="0" fontId="49" fillId="27" borderId="47" xfId="5" applyFont="1" applyFill="1" applyBorder="1" applyAlignment="1" applyProtection="1">
      <alignment horizontal="center" vertical="center" wrapText="1"/>
    </xf>
    <xf numFmtId="0" fontId="53" fillId="27" borderId="47" xfId="5" applyFont="1" applyFill="1" applyBorder="1" applyAlignment="1" applyProtection="1">
      <alignment horizontal="left" vertical="center" wrapText="1"/>
    </xf>
    <xf numFmtId="165" fontId="56" fillId="27" borderId="40" xfId="116" applyFont="1" applyFill="1" applyBorder="1" applyAlignment="1">
      <alignment horizontal="right" vertical="center" wrapText="1"/>
    </xf>
    <xf numFmtId="0" fontId="4" fillId="0" borderId="39" xfId="5" applyFont="1" applyFill="1" applyBorder="1" applyAlignment="1" applyProtection="1">
      <alignment horizontal="center" vertical="center" wrapText="1"/>
    </xf>
    <xf numFmtId="0" fontId="44" fillId="27" borderId="47" xfId="5" applyFont="1" applyFill="1" applyBorder="1" applyAlignment="1" applyProtection="1">
      <alignment horizontal="left" vertical="center" wrapText="1"/>
    </xf>
    <xf numFmtId="0" fontId="60" fillId="30" borderId="47" xfId="5" applyFont="1" applyFill="1" applyBorder="1" applyAlignment="1" applyProtection="1">
      <alignment horizontal="center" vertical="center" wrapText="1"/>
    </xf>
    <xf numFmtId="0" fontId="60" fillId="30" borderId="47" xfId="5" applyFont="1" applyFill="1" applyBorder="1" applyAlignment="1" applyProtection="1">
      <alignment horizontal="left" vertical="center" wrapText="1"/>
    </xf>
    <xf numFmtId="0" fontId="64" fillId="33" borderId="47" xfId="5" applyFont="1" applyFill="1" applyBorder="1" applyAlignment="1" applyProtection="1">
      <alignment horizontal="center" vertical="center" wrapText="1"/>
    </xf>
    <xf numFmtId="0" fontId="64" fillId="33" borderId="47" xfId="5" applyFont="1" applyFill="1" applyBorder="1" applyAlignment="1" applyProtection="1">
      <alignment horizontal="left" vertical="center" wrapText="1"/>
    </xf>
    <xf numFmtId="165" fontId="56" fillId="33" borderId="40" xfId="116" applyFont="1" applyFill="1" applyBorder="1" applyAlignment="1">
      <alignment horizontal="right" vertical="center" wrapText="1"/>
    </xf>
    <xf numFmtId="0" fontId="64" fillId="32" borderId="47" xfId="5" applyFont="1" applyFill="1" applyBorder="1" applyAlignment="1" applyProtection="1">
      <alignment horizontal="center" vertical="center" wrapText="1"/>
    </xf>
    <xf numFmtId="0" fontId="64" fillId="32" borderId="47" xfId="5" applyFont="1" applyFill="1" applyBorder="1" applyAlignment="1" applyProtection="1">
      <alignment horizontal="left" vertical="center" wrapText="1"/>
    </xf>
    <xf numFmtId="0" fontId="49" fillId="34" borderId="47" xfId="5" applyFont="1" applyFill="1" applyBorder="1" applyAlignment="1" applyProtection="1">
      <alignment horizontal="center" vertical="center" wrapText="1"/>
    </xf>
    <xf numFmtId="0" fontId="49" fillId="34" borderId="47" xfId="5" applyFont="1" applyFill="1" applyBorder="1" applyAlignment="1" applyProtection="1">
      <alignment horizontal="left" vertical="center" wrapText="1"/>
    </xf>
    <xf numFmtId="165" fontId="56" fillId="34" borderId="40" xfId="116" applyFont="1" applyFill="1" applyBorder="1" applyAlignment="1">
      <alignment horizontal="right" vertical="center" wrapText="1"/>
    </xf>
    <xf numFmtId="0" fontId="53" fillId="35" borderId="19" xfId="5" applyFont="1" applyFill="1" applyBorder="1" applyAlignment="1" applyProtection="1">
      <alignment horizontal="center" vertical="center" wrapText="1"/>
    </xf>
    <xf numFmtId="0" fontId="53" fillId="35" borderId="19" xfId="5" applyFont="1" applyFill="1" applyBorder="1" applyAlignment="1" applyProtection="1">
      <alignment horizontal="left" vertical="center" wrapText="1"/>
    </xf>
    <xf numFmtId="165" fontId="56" fillId="35" borderId="45" xfId="116" applyFont="1" applyFill="1" applyBorder="1" applyAlignment="1">
      <alignment horizontal="right" vertical="center" wrapText="1"/>
    </xf>
    <xf numFmtId="0" fontId="4" fillId="0" borderId="28" xfId="5" applyFont="1" applyFill="1" applyBorder="1" applyAlignment="1" applyProtection="1">
      <alignment horizontal="left" vertical="center" wrapText="1"/>
    </xf>
    <xf numFmtId="0" fontId="4" fillId="0" borderId="36" xfId="5" applyFont="1" applyFill="1" applyBorder="1" applyAlignment="1" applyProtection="1">
      <alignment horizontal="center" vertical="center" wrapText="1"/>
    </xf>
    <xf numFmtId="10" fontId="9" fillId="4" borderId="66" xfId="3" applyNumberFormat="1" applyFont="1" applyFill="1" applyBorder="1" applyAlignment="1" applyProtection="1">
      <alignment horizontal="right" vertical="center"/>
    </xf>
    <xf numFmtId="10" fontId="9" fillId="4" borderId="33" xfId="3" applyNumberFormat="1" applyFont="1" applyFill="1" applyBorder="1" applyAlignment="1" applyProtection="1">
      <alignment horizontal="right" vertical="center"/>
    </xf>
    <xf numFmtId="10" fontId="9" fillId="4" borderId="8" xfId="3" applyNumberFormat="1" applyFont="1" applyFill="1" applyBorder="1" applyAlignment="1" applyProtection="1">
      <alignment horizontal="right" vertical="center"/>
    </xf>
    <xf numFmtId="10" fontId="9" fillId="4" borderId="69" xfId="3" applyNumberFormat="1" applyFont="1" applyFill="1" applyBorder="1" applyAlignment="1" applyProtection="1">
      <alignment horizontal="right" vertical="center"/>
    </xf>
    <xf numFmtId="39" fontId="6" fillId="0" borderId="39" xfId="5" applyNumberFormat="1" applyFont="1" applyFill="1" applyBorder="1" applyAlignment="1" applyProtection="1">
      <alignment horizontal="center" vertical="center" wrapText="1"/>
    </xf>
    <xf numFmtId="0" fontId="4" fillId="0" borderId="8" xfId="5" applyFont="1" applyFill="1" applyBorder="1" applyAlignment="1" applyProtection="1">
      <alignment horizontal="left" vertical="center" wrapText="1"/>
    </xf>
    <xf numFmtId="0" fontId="6" fillId="0" borderId="8" xfId="5" applyFont="1" applyFill="1" applyBorder="1" applyAlignment="1" applyProtection="1">
      <alignment horizontal="left" vertical="center" wrapText="1"/>
    </xf>
    <xf numFmtId="0" fontId="4" fillId="0" borderId="66" xfId="5" applyFont="1" applyFill="1" applyBorder="1" applyAlignment="1" applyProtection="1">
      <alignment horizontal="left" vertical="center" wrapText="1"/>
    </xf>
    <xf numFmtId="0" fontId="4" fillId="0" borderId="40" xfId="5" applyFont="1" applyFill="1" applyBorder="1" applyAlignment="1" applyProtection="1">
      <alignment horizontal="center" vertical="center" wrapText="1"/>
    </xf>
    <xf numFmtId="0" fontId="4" fillId="3" borderId="37" xfId="5" applyFont="1" applyFill="1" applyBorder="1" applyAlignment="1" applyProtection="1">
      <alignment horizontal="center" vertical="center" wrapText="1"/>
    </xf>
    <xf numFmtId="0" fontId="6" fillId="0" borderId="37" xfId="5" applyFont="1" applyFill="1" applyBorder="1" applyAlignment="1" applyProtection="1">
      <alignment horizontal="center" vertical="center" wrapText="1"/>
    </xf>
    <xf numFmtId="0" fontId="6" fillId="0" borderId="38" xfId="5" applyFont="1" applyFill="1" applyBorder="1" applyAlignment="1" applyProtection="1">
      <alignment horizontal="center" vertical="center" wrapText="1"/>
    </xf>
    <xf numFmtId="0" fontId="6" fillId="0" borderId="3" xfId="5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6" fillId="0" borderId="7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 wrapText="1"/>
    </xf>
    <xf numFmtId="0" fontId="4" fillId="0" borderId="18" xfId="5" applyFont="1" applyFill="1" applyBorder="1" applyAlignment="1" applyProtection="1">
      <alignment horizontal="center" vertical="center" wrapText="1"/>
    </xf>
    <xf numFmtId="0" fontId="6" fillId="0" borderId="3" xfId="5" applyFont="1" applyFill="1" applyBorder="1" applyAlignment="1" applyProtection="1">
      <alignment horizontal="center" vertical="center"/>
    </xf>
    <xf numFmtId="0" fontId="4" fillId="0" borderId="3" xfId="5" applyFont="1" applyFill="1" applyBorder="1" applyAlignment="1" applyProtection="1">
      <alignment horizontal="center" vertical="center"/>
    </xf>
    <xf numFmtId="0" fontId="4" fillId="0" borderId="38" xfId="5" applyFont="1" applyFill="1" applyBorder="1" applyAlignment="1" applyProtection="1">
      <alignment horizontal="center" vertical="center" wrapText="1"/>
    </xf>
    <xf numFmtId="0" fontId="4" fillId="0" borderId="12" xfId="5" applyFont="1" applyFill="1" applyBorder="1" applyAlignment="1" applyProtection="1">
      <alignment horizontal="center" vertical="center" wrapText="1"/>
    </xf>
    <xf numFmtId="0" fontId="6" fillId="0" borderId="12" xfId="5" applyFont="1" applyFill="1" applyBorder="1" applyAlignment="1" applyProtection="1">
      <alignment horizontal="center" vertical="center" wrapText="1"/>
    </xf>
    <xf numFmtId="0" fontId="4" fillId="3" borderId="3" xfId="5" applyFont="1" applyFill="1" applyBorder="1" applyAlignment="1" applyProtection="1">
      <alignment horizontal="center" vertical="center" wrapText="1"/>
    </xf>
    <xf numFmtId="0" fontId="6" fillId="0" borderId="7" xfId="5" applyFont="1" applyFill="1" applyBorder="1" applyAlignment="1" applyProtection="1">
      <alignment horizontal="center" vertical="center"/>
    </xf>
    <xf numFmtId="0" fontId="6" fillId="0" borderId="7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4" fillId="0" borderId="7" xfId="5" applyFont="1" applyFill="1" applyBorder="1" applyAlignment="1" applyProtection="1">
      <alignment horizontal="center" vertical="center"/>
    </xf>
    <xf numFmtId="0" fontId="4" fillId="0" borderId="27" xfId="5" applyFont="1" applyFill="1" applyBorder="1" applyAlignment="1" applyProtection="1">
      <alignment horizontal="center" vertical="center" wrapText="1"/>
    </xf>
    <xf numFmtId="0" fontId="4" fillId="0" borderId="30" xfId="5" applyFont="1" applyFill="1" applyBorder="1" applyAlignment="1" applyProtection="1">
      <alignment horizontal="center" vertical="center" wrapText="1"/>
    </xf>
    <xf numFmtId="0" fontId="8" fillId="0" borderId="0" xfId="4" applyFont="1" applyFill="1" applyAlignment="1">
      <alignment horizontal="center" vertical="center"/>
    </xf>
    <xf numFmtId="0" fontId="4" fillId="0" borderId="18" xfId="5" applyFont="1" applyFill="1" applyBorder="1" applyAlignment="1" applyProtection="1">
      <alignment horizontal="center" vertical="center"/>
    </xf>
    <xf numFmtId="0" fontId="4" fillId="0" borderId="37" xfId="5" applyFont="1" applyFill="1" applyBorder="1" applyAlignment="1" applyProtection="1">
      <alignment horizontal="center" vertical="center" wrapText="1"/>
    </xf>
    <xf numFmtId="0" fontId="4" fillId="0" borderId="16" xfId="5" applyFont="1" applyFill="1" applyBorder="1" applyAlignment="1" applyProtection="1">
      <alignment horizontal="center" vertical="center"/>
    </xf>
    <xf numFmtId="0" fontId="6" fillId="0" borderId="42" xfId="5" applyFont="1" applyFill="1" applyBorder="1" applyAlignment="1" applyProtection="1">
      <alignment horizontal="center" vertical="center"/>
    </xf>
    <xf numFmtId="0" fontId="6" fillId="0" borderId="12" xfId="5" applyFont="1" applyFill="1" applyBorder="1" applyAlignment="1" applyProtection="1">
      <alignment horizontal="center" vertical="center"/>
    </xf>
    <xf numFmtId="0" fontId="4" fillId="3" borderId="7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/>
    </xf>
    <xf numFmtId="0" fontId="6" fillId="0" borderId="43" xfId="5" applyFont="1" applyFill="1" applyBorder="1" applyAlignment="1" applyProtection="1">
      <alignment horizontal="center" vertical="center"/>
    </xf>
    <xf numFmtId="0" fontId="6" fillId="0" borderId="44" xfId="5" applyFont="1" applyFill="1" applyBorder="1" applyAlignment="1" applyProtection="1">
      <alignment horizontal="center" vertical="center"/>
    </xf>
    <xf numFmtId="0" fontId="4" fillId="0" borderId="44" xfId="5" applyFont="1" applyFill="1" applyBorder="1" applyAlignment="1" applyProtection="1">
      <alignment horizontal="center" vertical="center"/>
    </xf>
    <xf numFmtId="10" fontId="8" fillId="0" borderId="8" xfId="2" quotePrefix="1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Fill="1" applyBorder="1" applyAlignment="1" applyProtection="1">
      <alignment horizontal="right" vertical="center" wrapText="1"/>
    </xf>
    <xf numFmtId="10" fontId="8" fillId="0" borderId="17" xfId="2" applyNumberFormat="1" applyFont="1" applyFill="1" applyBorder="1" applyAlignment="1" applyProtection="1">
      <alignment horizontal="right" vertical="center"/>
    </xf>
    <xf numFmtId="10" fontId="9" fillId="0" borderId="62" xfId="3" applyNumberFormat="1" applyFont="1" applyFill="1" applyBorder="1" applyAlignment="1">
      <alignment vertical="center"/>
    </xf>
    <xf numFmtId="10" fontId="11" fillId="0" borderId="62" xfId="3" applyNumberFormat="1" applyFont="1" applyFill="1" applyBorder="1" applyAlignment="1" applyProtection="1">
      <alignment horizontal="right" vertical="center"/>
    </xf>
    <xf numFmtId="10" fontId="8" fillId="0" borderId="62" xfId="3" applyNumberFormat="1" applyFont="1" applyFill="1" applyBorder="1" applyAlignment="1" applyProtection="1">
      <alignment horizontal="right" vertical="center"/>
    </xf>
    <xf numFmtId="10" fontId="9" fillId="0" borderId="62" xfId="3" applyNumberFormat="1" applyFont="1" applyFill="1" applyBorder="1" applyAlignment="1" applyProtection="1">
      <alignment horizontal="right" vertical="center"/>
    </xf>
    <xf numFmtId="10" fontId="9" fillId="0" borderId="68" xfId="3" applyNumberFormat="1" applyFont="1" applyFill="1" applyBorder="1" applyAlignment="1" applyProtection="1">
      <alignment horizontal="right" vertical="center"/>
    </xf>
    <xf numFmtId="10" fontId="9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>
      <alignment horizontal="right" vertical="center"/>
    </xf>
    <xf numFmtId="10" fontId="9" fillId="0" borderId="68" xfId="3" applyNumberFormat="1" applyFont="1" applyFill="1" applyBorder="1" applyAlignment="1">
      <alignment horizontal="right" vertical="center"/>
    </xf>
    <xf numFmtId="10" fontId="9" fillId="0" borderId="17" xfId="3" applyNumberFormat="1" applyFont="1" applyFill="1" applyBorder="1" applyAlignment="1">
      <alignment horizontal="right" vertical="center"/>
    </xf>
    <xf numFmtId="10" fontId="9" fillId="0" borderId="70" xfId="3" applyNumberFormat="1" applyFont="1" applyFill="1" applyBorder="1" applyAlignment="1">
      <alignment horizontal="right" vertical="center"/>
    </xf>
    <xf numFmtId="43" fontId="4" fillId="0" borderId="0" xfId="1" applyFont="1" applyAlignment="1">
      <alignment vertical="center"/>
    </xf>
    <xf numFmtId="43" fontId="4" fillId="0" borderId="0" xfId="1" applyFont="1" applyFill="1" applyAlignment="1">
      <alignment vertical="center"/>
    </xf>
    <xf numFmtId="43" fontId="6" fillId="0" borderId="0" xfId="1" applyFont="1" applyFill="1" applyAlignment="1">
      <alignment vertical="center"/>
    </xf>
    <xf numFmtId="43" fontId="7" fillId="0" borderId="2" xfId="1" applyFont="1" applyFill="1" applyBorder="1" applyAlignment="1" applyProtection="1">
      <alignment vertical="center"/>
    </xf>
    <xf numFmtId="43" fontId="8" fillId="0" borderId="0" xfId="1" applyFont="1" applyFill="1" applyBorder="1" applyAlignment="1" applyProtection="1">
      <alignment horizontal="left" vertical="center"/>
    </xf>
    <xf numFmtId="43" fontId="8" fillId="0" borderId="0" xfId="1" applyFont="1" applyFill="1" applyBorder="1" applyAlignment="1" applyProtection="1">
      <alignment horizontal="right" vertical="center"/>
    </xf>
    <xf numFmtId="43" fontId="8" fillId="0" borderId="3" xfId="1" quotePrefix="1" applyFont="1" applyFill="1" applyBorder="1" applyAlignment="1" applyProtection="1">
      <alignment horizontal="center" vertical="center" wrapText="1"/>
    </xf>
    <xf numFmtId="43" fontId="8" fillId="0" borderId="11" xfId="1" applyFont="1" applyBorder="1" applyAlignment="1">
      <alignment vertical="center"/>
    </xf>
    <xf numFmtId="43" fontId="8" fillId="0" borderId="11" xfId="1" applyFont="1" applyFill="1" applyBorder="1" applyAlignment="1">
      <alignment vertical="center"/>
    </xf>
    <xf numFmtId="43" fontId="8" fillId="0" borderId="12" xfId="1" applyFont="1" applyFill="1" applyBorder="1" applyAlignment="1" applyProtection="1">
      <alignment horizontal="right" vertical="center" wrapText="1"/>
    </xf>
    <xf numFmtId="43" fontId="9" fillId="0" borderId="15" xfId="1" applyFont="1" applyBorder="1" applyAlignment="1" applyProtection="1">
      <alignment horizontal="left" vertical="center"/>
    </xf>
    <xf numFmtId="43" fontId="9" fillId="0" borderId="15" xfId="1" applyFont="1" applyFill="1" applyBorder="1" applyAlignment="1" applyProtection="1">
      <alignment horizontal="left" vertical="center"/>
    </xf>
    <xf numFmtId="43" fontId="8" fillId="0" borderId="16" xfId="1" applyFont="1" applyFill="1" applyBorder="1" applyAlignment="1" applyProtection="1">
      <alignment horizontal="right" vertical="center"/>
    </xf>
    <xf numFmtId="43" fontId="8" fillId="0" borderId="15" xfId="1" applyFont="1" applyBorder="1" applyAlignment="1" applyProtection="1">
      <alignment horizontal="left" vertical="center"/>
    </xf>
    <xf numFmtId="43" fontId="8" fillId="0" borderId="15" xfId="1" applyFont="1" applyFill="1" applyBorder="1" applyAlignment="1" applyProtection="1">
      <alignment horizontal="left" vertical="center"/>
    </xf>
    <xf numFmtId="43" fontId="9" fillId="0" borderId="15" xfId="1" applyFont="1" applyFill="1" applyBorder="1" applyAlignment="1">
      <alignment vertical="center"/>
    </xf>
    <xf numFmtId="43" fontId="11" fillId="0" borderId="15" xfId="1" applyFont="1" applyBorder="1" applyAlignment="1" applyProtection="1">
      <alignment horizontal="right" vertical="center"/>
    </xf>
    <xf numFmtId="43" fontId="11" fillId="0" borderId="15" xfId="1" applyFont="1" applyFill="1" applyBorder="1" applyAlignment="1" applyProtection="1">
      <alignment horizontal="right" vertical="center"/>
    </xf>
    <xf numFmtId="43" fontId="8" fillId="0" borderId="15" xfId="1" applyFont="1" applyFill="1" applyBorder="1" applyAlignment="1" applyProtection="1">
      <alignment horizontal="right" vertical="center"/>
    </xf>
    <xf numFmtId="43" fontId="13" fillId="0" borderId="15" xfId="1" applyFont="1" applyBorder="1" applyAlignment="1" applyProtection="1">
      <alignment horizontal="right" vertical="center"/>
    </xf>
    <xf numFmtId="43" fontId="9" fillId="0" borderId="15" xfId="1" applyFont="1" applyFill="1" applyBorder="1" applyAlignment="1" applyProtection="1">
      <alignment horizontal="right" vertical="center"/>
    </xf>
    <xf numFmtId="43" fontId="9" fillId="2" borderId="18" xfId="1" applyFont="1" applyFill="1" applyBorder="1" applyAlignment="1" applyProtection="1">
      <alignment horizontal="right" vertical="center"/>
    </xf>
    <xf numFmtId="43" fontId="9" fillId="4" borderId="18" xfId="1" applyFont="1" applyFill="1" applyBorder="1" applyAlignment="1" applyProtection="1">
      <alignment horizontal="right" vertical="center"/>
    </xf>
    <xf numFmtId="43" fontId="8" fillId="0" borderId="15" xfId="1" applyFont="1" applyBorder="1" applyAlignment="1" applyProtection="1">
      <alignment horizontal="right" vertical="center"/>
    </xf>
    <xf numFmtId="43" fontId="9" fillId="0" borderId="15" xfId="1" applyFont="1" applyBorder="1" applyAlignment="1" applyProtection="1">
      <alignment horizontal="right" vertical="center"/>
    </xf>
    <xf numFmtId="43" fontId="9" fillId="0" borderId="20" xfId="1" applyFont="1" applyBorder="1" applyAlignment="1" applyProtection="1">
      <alignment horizontal="right" vertical="center"/>
    </xf>
    <xf numFmtId="43" fontId="9" fillId="0" borderId="20" xfId="1" applyFont="1" applyFill="1" applyBorder="1" applyAlignment="1" applyProtection="1">
      <alignment horizontal="right" vertical="center"/>
    </xf>
    <xf numFmtId="43" fontId="9" fillId="2" borderId="23" xfId="1" applyFont="1" applyFill="1" applyBorder="1" applyAlignment="1" applyProtection="1">
      <alignment horizontal="right" vertical="center"/>
    </xf>
    <xf numFmtId="43" fontId="9" fillId="4" borderId="23" xfId="1" applyFont="1" applyFill="1" applyBorder="1" applyAlignment="1" applyProtection="1">
      <alignment horizontal="right" vertical="center"/>
    </xf>
    <xf numFmtId="43" fontId="9" fillId="0" borderId="16" xfId="1" applyFont="1" applyBorder="1" applyAlignment="1" applyProtection="1">
      <alignment horizontal="right" vertical="center"/>
    </xf>
    <xf numFmtId="43" fontId="9" fillId="0" borderId="16" xfId="1" applyFont="1" applyFill="1" applyBorder="1" applyAlignment="1" applyProtection="1">
      <alignment horizontal="right" vertical="center"/>
    </xf>
    <xf numFmtId="43" fontId="8" fillId="0" borderId="16" xfId="1" applyFont="1" applyFill="1" applyBorder="1" applyAlignment="1">
      <alignment horizontal="right" vertical="center"/>
    </xf>
    <xf numFmtId="43" fontId="9" fillId="2" borderId="3" xfId="1" applyFont="1" applyFill="1" applyBorder="1" applyAlignment="1" applyProtection="1">
      <alignment horizontal="right" vertical="center"/>
    </xf>
    <xf numFmtId="43" fontId="9" fillId="4" borderId="3" xfId="1" applyFont="1" applyFill="1" applyBorder="1" applyAlignment="1" applyProtection="1">
      <alignment horizontal="right" vertical="center"/>
    </xf>
    <xf numFmtId="43" fontId="9" fillId="0" borderId="20" xfId="1" applyFont="1" applyBorder="1" applyAlignment="1">
      <alignment horizontal="right" vertical="center"/>
    </xf>
    <xf numFmtId="43" fontId="9" fillId="0" borderId="20" xfId="1" applyFont="1" applyFill="1" applyBorder="1" applyAlignment="1">
      <alignment horizontal="right" vertical="center"/>
    </xf>
    <xf numFmtId="43" fontId="9" fillId="2" borderId="22" xfId="1" applyFont="1" applyFill="1" applyBorder="1" applyAlignment="1" applyProtection="1">
      <alignment horizontal="right" vertical="center"/>
    </xf>
    <xf numFmtId="43" fontId="9" fillId="4" borderId="22" xfId="1" applyFont="1" applyFill="1" applyBorder="1" applyAlignment="1" applyProtection="1">
      <alignment horizontal="right" vertical="center"/>
    </xf>
    <xf numFmtId="43" fontId="8" fillId="0" borderId="16" xfId="1" applyFont="1" applyBorder="1" applyAlignment="1">
      <alignment horizontal="right" vertical="center"/>
    </xf>
    <xf numFmtId="43" fontId="9" fillId="0" borderId="16" xfId="1" applyFont="1" applyFill="1" applyBorder="1" applyAlignment="1">
      <alignment horizontal="right" vertical="center"/>
    </xf>
    <xf numFmtId="43" fontId="9" fillId="0" borderId="30" xfId="1" applyFont="1" applyFill="1" applyBorder="1" applyAlignment="1">
      <alignment horizontal="right" vertical="center"/>
    </xf>
    <xf numFmtId="43" fontId="6" fillId="0" borderId="0" xfId="1" applyFont="1" applyAlignment="1">
      <alignment vertical="center"/>
    </xf>
    <xf numFmtId="43" fontId="6" fillId="0" borderId="0" xfId="1" applyFont="1" applyAlignment="1">
      <alignment vertical="center" wrapText="1"/>
    </xf>
    <xf numFmtId="165" fontId="50" fillId="24" borderId="35" xfId="116" applyFont="1" applyFill="1" applyBorder="1" applyAlignment="1" applyProtection="1">
      <alignment horizontal="center" vertical="center" wrapText="1"/>
    </xf>
    <xf numFmtId="43" fontId="4" fillId="3" borderId="39" xfId="1" applyFont="1" applyFill="1" applyBorder="1" applyAlignment="1" applyProtection="1">
      <alignment horizontal="left" vertical="center" wrapText="1"/>
    </xf>
    <xf numFmtId="43" fontId="6" fillId="25" borderId="40" xfId="1" applyFont="1" applyFill="1" applyBorder="1" applyAlignment="1" applyProtection="1">
      <alignment horizontal="left" vertical="center" wrapText="1"/>
    </xf>
    <xf numFmtId="43" fontId="6" fillId="0" borderId="40" xfId="1" applyFont="1" applyFill="1" applyBorder="1" applyAlignment="1" applyProtection="1">
      <alignment horizontal="right" vertical="center"/>
    </xf>
    <xf numFmtId="43" fontId="6" fillId="25" borderId="40" xfId="1" applyFont="1" applyFill="1" applyBorder="1" applyAlignment="1" applyProtection="1">
      <alignment horizontal="right" vertical="center" wrapText="1"/>
    </xf>
    <xf numFmtId="43" fontId="4" fillId="0" borderId="40" xfId="1" applyFont="1" applyFill="1" applyBorder="1" applyAlignment="1" applyProtection="1">
      <alignment horizontal="right" vertical="center" wrapText="1"/>
    </xf>
    <xf numFmtId="43" fontId="6" fillId="3" borderId="39" xfId="1" applyFont="1" applyFill="1" applyBorder="1" applyAlignment="1" applyProtection="1">
      <alignment horizontal="right" vertical="center" wrapText="1"/>
    </xf>
    <xf numFmtId="43" fontId="6" fillId="0" borderId="40" xfId="1" applyFont="1" applyFill="1" applyBorder="1" applyAlignment="1" applyProtection="1">
      <alignment horizontal="right" vertical="center" wrapText="1"/>
    </xf>
    <xf numFmtId="43" fontId="6" fillId="0" borderId="45" xfId="1" applyFont="1" applyFill="1" applyBorder="1" applyAlignment="1" applyProtection="1">
      <alignment horizontal="right" vertical="center"/>
    </xf>
    <xf numFmtId="43" fontId="6" fillId="0" borderId="0" xfId="1" applyFont="1" applyFill="1" applyBorder="1" applyAlignment="1">
      <alignment vertical="center"/>
    </xf>
    <xf numFmtId="43" fontId="6" fillId="25" borderId="39" xfId="1" applyFont="1" applyFill="1" applyBorder="1" applyAlignment="1" applyProtection="1">
      <alignment horizontal="right" vertical="center" wrapText="1"/>
    </xf>
    <xf numFmtId="43" fontId="6" fillId="0" borderId="39" xfId="1" applyFont="1" applyFill="1" applyBorder="1" applyAlignment="1" applyProtection="1">
      <alignment horizontal="right" vertical="center" wrapText="1"/>
    </xf>
    <xf numFmtId="43" fontId="4" fillId="3" borderId="39" xfId="1" applyFont="1" applyFill="1" applyBorder="1" applyAlignment="1" applyProtection="1">
      <alignment horizontal="right" vertical="center" wrapText="1"/>
    </xf>
    <xf numFmtId="43" fontId="6" fillId="0" borderId="40" xfId="1" applyFont="1" applyFill="1" applyBorder="1" applyAlignment="1">
      <alignment horizontal="right" vertical="center"/>
    </xf>
    <xf numFmtId="43" fontId="6" fillId="0" borderId="39" xfId="1" applyFont="1" applyFill="1" applyBorder="1" applyAlignment="1" applyProtection="1">
      <alignment horizontal="right" vertical="center"/>
    </xf>
    <xf numFmtId="43" fontId="6" fillId="0" borderId="36" xfId="1" applyFont="1" applyFill="1" applyBorder="1" applyAlignment="1" applyProtection="1">
      <alignment horizontal="right" vertical="center" wrapText="1"/>
    </xf>
    <xf numFmtId="43" fontId="6" fillId="0" borderId="0" xfId="1" applyFont="1" applyFill="1" applyBorder="1" applyAlignment="1">
      <alignment horizontal="right" vertical="center"/>
    </xf>
    <xf numFmtId="43" fontId="6" fillId="0" borderId="0" xfId="1" applyFont="1" applyFill="1" applyAlignment="1">
      <alignment horizontal="right" vertical="center"/>
    </xf>
    <xf numFmtId="43" fontId="8" fillId="0" borderId="3" xfId="1" quotePrefix="1" applyFont="1" applyFill="1" applyBorder="1" applyAlignment="1" applyProtection="1">
      <alignment horizontal="center" vertical="center" wrapText="1"/>
    </xf>
    <xf numFmtId="0" fontId="4" fillId="36" borderId="35" xfId="5" applyFont="1" applyFill="1" applyBorder="1" applyAlignment="1" applyProtection="1">
      <alignment horizontal="center" vertical="center"/>
    </xf>
    <xf numFmtId="0" fontId="9" fillId="36" borderId="35" xfId="5" applyFont="1" applyFill="1" applyBorder="1" applyAlignment="1" applyProtection="1">
      <alignment horizontal="center" vertical="center"/>
    </xf>
    <xf numFmtId="0" fontId="6" fillId="0" borderId="0" xfId="80" applyFont="1" applyAlignment="1">
      <alignment vertical="center"/>
    </xf>
    <xf numFmtId="20" fontId="6" fillId="0" borderId="0" xfId="80" applyNumberFormat="1" applyFont="1" applyBorder="1" applyAlignment="1">
      <alignment horizontal="center" vertical="center"/>
    </xf>
    <xf numFmtId="0" fontId="4" fillId="0" borderId="0" xfId="80" applyFont="1" applyBorder="1" applyAlignment="1">
      <alignment vertical="center"/>
    </xf>
    <xf numFmtId="0" fontId="8" fillId="0" borderId="0" xfId="80" applyFont="1" applyBorder="1" applyAlignment="1">
      <alignment horizontal="right" vertical="center"/>
    </xf>
    <xf numFmtId="43" fontId="8" fillId="0" borderId="0" xfId="1" applyFont="1" applyBorder="1" applyAlignment="1">
      <alignment horizontal="right" vertical="center"/>
    </xf>
    <xf numFmtId="43" fontId="8" fillId="0" borderId="0" xfId="1" applyFont="1" applyBorder="1" applyAlignment="1">
      <alignment horizontal="center" vertical="center"/>
    </xf>
    <xf numFmtId="43" fontId="9" fillId="0" borderId="0" xfId="1" applyFont="1" applyBorder="1" applyAlignment="1">
      <alignment horizontal="center" vertical="center"/>
    </xf>
    <xf numFmtId="3" fontId="9" fillId="0" borderId="0" xfId="80" applyNumberFormat="1" applyFont="1" applyBorder="1" applyAlignment="1">
      <alignment horizontal="center" vertical="center"/>
    </xf>
    <xf numFmtId="3" fontId="8" fillId="0" borderId="8" xfId="2" quotePrefix="1" applyNumberFormat="1" applyFont="1" applyFill="1" applyBorder="1" applyAlignment="1" applyProtection="1">
      <alignment horizontal="center" vertical="center" wrapText="1"/>
    </xf>
    <xf numFmtId="0" fontId="6" fillId="0" borderId="0" xfId="80" applyFont="1" applyFill="1" applyAlignment="1">
      <alignment vertical="center"/>
    </xf>
    <xf numFmtId="0" fontId="4" fillId="0" borderId="14" xfId="80" applyFont="1" applyBorder="1" applyAlignment="1" applyProtection="1">
      <alignment horizontal="center" vertical="center" wrapText="1"/>
    </xf>
    <xf numFmtId="0" fontId="4" fillId="0" borderId="0" xfId="80" applyFont="1" applyBorder="1" applyAlignment="1" applyProtection="1">
      <alignment horizontal="center" vertical="center" wrapText="1"/>
    </xf>
    <xf numFmtId="174" fontId="4" fillId="0" borderId="10" xfId="118" applyFont="1" applyBorder="1" applyAlignment="1">
      <alignment horizontal="left" vertical="center"/>
    </xf>
    <xf numFmtId="166" fontId="8" fillId="0" borderId="10" xfId="80" applyNumberFormat="1" applyFont="1" applyBorder="1" applyAlignment="1" applyProtection="1">
      <alignment horizontal="right" vertical="center" wrapText="1"/>
    </xf>
    <xf numFmtId="166" fontId="8" fillId="0" borderId="0" xfId="80" applyNumberFormat="1" applyFont="1" applyBorder="1" applyAlignment="1" applyProtection="1">
      <alignment horizontal="right" vertical="center" wrapText="1"/>
    </xf>
    <xf numFmtId="43" fontId="8" fillId="0" borderId="12" xfId="1" applyFont="1" applyBorder="1" applyAlignment="1" applyProtection="1">
      <alignment horizontal="right" vertical="center" wrapText="1"/>
    </xf>
    <xf numFmtId="10" fontId="8" fillId="0" borderId="13" xfId="3" applyNumberFormat="1" applyFont="1" applyBorder="1" applyAlignment="1" applyProtection="1">
      <alignment horizontal="right" vertical="center" wrapText="1"/>
    </xf>
    <xf numFmtId="43" fontId="9" fillId="0" borderId="14" xfId="1" applyFont="1" applyBorder="1" applyAlignment="1" applyProtection="1">
      <alignment horizontal="center" vertical="center"/>
    </xf>
    <xf numFmtId="43" fontId="9" fillId="0" borderId="0" xfId="1" applyFont="1" applyBorder="1" applyAlignment="1" applyProtection="1">
      <alignment horizontal="center" vertical="center"/>
    </xf>
    <xf numFmtId="43" fontId="9" fillId="0" borderId="0" xfId="1" applyFont="1" applyBorder="1" applyAlignment="1">
      <alignment vertical="center"/>
    </xf>
    <xf numFmtId="43" fontId="9" fillId="0" borderId="0" xfId="1" applyFont="1" applyBorder="1" applyAlignment="1" applyProtection="1">
      <alignment horizontal="right" vertical="center"/>
    </xf>
    <xf numFmtId="43" fontId="13" fillId="0" borderId="16" xfId="1" applyFont="1" applyFill="1" applyBorder="1" applyAlignment="1" applyProtection="1">
      <alignment horizontal="right" vertical="center"/>
    </xf>
    <xf numFmtId="43" fontId="13" fillId="0" borderId="16" xfId="1" applyFont="1" applyBorder="1" applyAlignment="1" applyProtection="1">
      <alignment horizontal="right" vertical="center"/>
    </xf>
    <xf numFmtId="10" fontId="13" fillId="0" borderId="17" xfId="3" applyNumberFormat="1" applyFont="1" applyBorder="1" applyAlignment="1" applyProtection="1">
      <alignment horizontal="right" vertical="center"/>
    </xf>
    <xf numFmtId="0" fontId="9" fillId="0" borderId="0" xfId="80" applyFont="1" applyAlignment="1">
      <alignment vertical="center"/>
    </xf>
    <xf numFmtId="43" fontId="9" fillId="0" borderId="14" xfId="1" applyFont="1" applyBorder="1" applyAlignment="1">
      <alignment vertical="center"/>
    </xf>
    <xf numFmtId="43" fontId="13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center" vertical="center"/>
    </xf>
    <xf numFmtId="43" fontId="11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right" vertical="center"/>
    </xf>
    <xf numFmtId="43" fontId="11" fillId="0" borderId="16" xfId="1" applyFont="1" applyFill="1" applyBorder="1" applyAlignment="1" applyProtection="1">
      <alignment horizontal="right" vertical="center"/>
    </xf>
    <xf numFmtId="0" fontId="8" fillId="0" borderId="0" xfId="80" applyFont="1" applyAlignment="1">
      <alignment vertical="center"/>
    </xf>
    <xf numFmtId="43" fontId="8" fillId="0" borderId="14" xfId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8" fillId="0" borderId="16" xfId="1" applyFont="1" applyBorder="1" applyAlignment="1" applyProtection="1">
      <alignment horizontal="right" vertical="center"/>
    </xf>
    <xf numFmtId="166" fontId="8" fillId="0" borderId="0" xfId="80" applyNumberFormat="1" applyFont="1" applyAlignment="1">
      <alignment vertical="center"/>
    </xf>
    <xf numFmtId="43" fontId="13" fillId="0" borderId="0" xfId="1" quotePrefix="1" applyFont="1" applyFill="1" applyBorder="1" applyAlignment="1" applyProtection="1">
      <alignment horizontal="left" vertical="center"/>
    </xf>
    <xf numFmtId="166" fontId="9" fillId="0" borderId="0" xfId="80" applyNumberFormat="1" applyFont="1" applyAlignment="1">
      <alignment vertical="center"/>
    </xf>
    <xf numFmtId="43" fontId="11" fillId="0" borderId="0" xfId="1" quotePrefix="1" applyFont="1" applyFill="1" applyBorder="1" applyAlignment="1" applyProtection="1">
      <alignment horizontal="left" vertical="center"/>
    </xf>
    <xf numFmtId="43" fontId="13" fillId="0" borderId="14" xfId="1" applyFont="1" applyBorder="1" applyAlignment="1" applyProtection="1">
      <alignment horizontal="center" vertical="center"/>
    </xf>
    <xf numFmtId="43" fontId="13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left" vertical="center"/>
    </xf>
    <xf numFmtId="43" fontId="11" fillId="0" borderId="0" xfId="1" applyFont="1" applyBorder="1" applyAlignment="1">
      <alignment vertical="center"/>
    </xf>
    <xf numFmtId="43" fontId="11" fillId="0" borderId="0" xfId="1" applyFont="1" applyBorder="1" applyAlignment="1" applyProtection="1">
      <alignment horizontal="right" vertical="center"/>
    </xf>
    <xf numFmtId="0" fontId="11" fillId="0" borderId="0" xfId="80" applyFont="1" applyAlignment="1">
      <alignment vertical="center"/>
    </xf>
    <xf numFmtId="166" fontId="11" fillId="0" borderId="0" xfId="80" applyNumberFormat="1" applyFont="1" applyAlignment="1">
      <alignment vertical="center"/>
    </xf>
    <xf numFmtId="43" fontId="8" fillId="0" borderId="15" xfId="1" applyFont="1" applyFill="1" applyBorder="1" applyAlignment="1">
      <alignment vertical="center"/>
    </xf>
    <xf numFmtId="43" fontId="11" fillId="0" borderId="3" xfId="1" applyFont="1" applyBorder="1" applyAlignment="1" applyProtection="1">
      <alignment horizontal="center" vertical="center"/>
    </xf>
    <xf numFmtId="43" fontId="11" fillId="0" borderId="1" xfId="1" applyFont="1" applyBorder="1" applyAlignment="1" applyProtection="1">
      <alignment horizontal="center" vertical="center"/>
    </xf>
    <xf numFmtId="43" fontId="9" fillId="0" borderId="12" xfId="1" applyFont="1" applyBorder="1" applyAlignment="1">
      <alignment vertical="center"/>
    </xf>
    <xf numFmtId="43" fontId="9" fillId="0" borderId="10" xfId="1" applyFont="1" applyBorder="1" applyAlignment="1">
      <alignment vertical="center"/>
    </xf>
    <xf numFmtId="43" fontId="8" fillId="0" borderId="0" xfId="1" quotePrefix="1" applyFont="1" applyFill="1" applyBorder="1" applyAlignment="1" applyProtection="1">
      <alignment horizontal="left" vertical="center"/>
    </xf>
    <xf numFmtId="43" fontId="8" fillId="0" borderId="16" xfId="1" applyFont="1" applyBorder="1" applyAlignment="1">
      <alignment vertical="center"/>
    </xf>
    <xf numFmtId="43" fontId="11" fillId="0" borderId="15" xfId="1" quotePrefix="1" applyFont="1" applyFill="1" applyBorder="1" applyAlignment="1" applyProtection="1">
      <alignment horizontal="left" vertical="center"/>
    </xf>
    <xf numFmtId="43" fontId="8" fillId="0" borderId="38" xfId="1" applyFont="1" applyBorder="1" applyAlignment="1" applyProtection="1">
      <alignment horizontal="right" vertical="center"/>
    </xf>
    <xf numFmtId="43" fontId="8" fillId="0" borderId="10" xfId="1" applyFont="1" applyBorder="1" applyAlignment="1" applyProtection="1">
      <alignment horizontal="right" vertical="center"/>
    </xf>
    <xf numFmtId="43" fontId="8" fillId="0" borderId="46" xfId="1" applyFont="1" applyBorder="1" applyAlignment="1" applyProtection="1">
      <alignment horizontal="right" vertical="center"/>
    </xf>
    <xf numFmtId="43" fontId="8" fillId="0" borderId="38" xfId="1" applyFont="1" applyFill="1" applyBorder="1" applyAlignment="1" applyProtection="1">
      <alignment horizontal="right" vertical="center"/>
    </xf>
    <xf numFmtId="43" fontId="9" fillId="0" borderId="0" xfId="1" applyFont="1" applyFill="1" applyBorder="1" applyAlignment="1" applyProtection="1">
      <alignment horizontal="left" vertical="center"/>
    </xf>
    <xf numFmtId="43" fontId="9" fillId="0" borderId="12" xfId="1" applyFont="1" applyBorder="1" applyAlignment="1" applyProtection="1">
      <alignment horizontal="right" vertical="center"/>
    </xf>
    <xf numFmtId="10" fontId="9" fillId="0" borderId="13" xfId="3" applyNumberFormat="1" applyFont="1" applyBorder="1" applyAlignment="1" applyProtection="1">
      <alignment horizontal="right" vertical="center"/>
    </xf>
    <xf numFmtId="43" fontId="9" fillId="0" borderId="14" xfId="1" applyFont="1" applyBorder="1" applyAlignment="1" applyProtection="1">
      <alignment vertical="center"/>
    </xf>
    <xf numFmtId="43" fontId="9" fillId="0" borderId="15" xfId="1" applyFont="1" applyFill="1" applyBorder="1" applyAlignment="1" applyProtection="1">
      <alignment vertical="center"/>
    </xf>
    <xf numFmtId="43" fontId="9" fillId="0" borderId="0" xfId="1" applyFont="1" applyBorder="1" applyAlignment="1" applyProtection="1">
      <alignment vertical="center"/>
    </xf>
    <xf numFmtId="43" fontId="13" fillId="0" borderId="15" xfId="1" applyFont="1" applyFill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>
      <alignment horizontal="left" vertical="center"/>
    </xf>
    <xf numFmtId="43" fontId="11" fillId="0" borderId="72" xfId="1" applyFont="1" applyBorder="1" applyAlignment="1" applyProtection="1">
      <alignment horizontal="center" vertical="center"/>
    </xf>
    <xf numFmtId="43" fontId="9" fillId="0" borderId="72" xfId="1" applyFont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8" fillId="0" borderId="73" xfId="1" applyFont="1" applyBorder="1" applyAlignment="1" applyProtection="1">
      <alignment vertical="center"/>
    </xf>
    <xf numFmtId="43" fontId="11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/>
    </xf>
    <xf numFmtId="43" fontId="11" fillId="0" borderId="0" xfId="1" applyFont="1" applyFill="1" applyBorder="1" applyAlignment="1" applyProtection="1">
      <alignment vertical="center" wrapText="1"/>
    </xf>
    <xf numFmtId="43" fontId="11" fillId="0" borderId="0" xfId="1" applyFont="1" applyFill="1" applyBorder="1" applyAlignment="1" applyProtection="1">
      <alignment vertical="center"/>
    </xf>
    <xf numFmtId="43" fontId="8" fillId="0" borderId="16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 wrapText="1"/>
    </xf>
    <xf numFmtId="43" fontId="8" fillId="0" borderId="48" xfId="1" applyFont="1" applyBorder="1" applyAlignment="1" applyProtection="1">
      <alignment vertical="center"/>
    </xf>
    <xf numFmtId="43" fontId="9" fillId="0" borderId="0" xfId="1" applyFont="1" applyFill="1" applyBorder="1" applyAlignment="1" applyProtection="1">
      <alignment vertical="center"/>
    </xf>
    <xf numFmtId="43" fontId="9" fillId="0" borderId="16" xfId="1" applyFont="1" applyBorder="1" applyAlignment="1">
      <alignment horizontal="right" vertical="center"/>
    </xf>
    <xf numFmtId="10" fontId="13" fillId="4" borderId="8" xfId="3" applyNumberFormat="1" applyFont="1" applyFill="1" applyBorder="1" applyAlignment="1" applyProtection="1">
      <alignment horizontal="right" vertical="center"/>
    </xf>
    <xf numFmtId="43" fontId="9" fillId="0" borderId="10" xfId="1" applyFont="1" applyBorder="1" applyAlignment="1" applyProtection="1">
      <alignment vertical="center"/>
    </xf>
    <xf numFmtId="43" fontId="9" fillId="0" borderId="15" xfId="1" applyFont="1" applyBorder="1" applyAlignment="1" applyProtection="1">
      <alignment vertical="center"/>
    </xf>
    <xf numFmtId="43" fontId="9" fillId="0" borderId="46" xfId="1" applyFont="1" applyBorder="1" applyAlignment="1" applyProtection="1">
      <alignment vertical="center"/>
    </xf>
    <xf numFmtId="43" fontId="9" fillId="0" borderId="14" xfId="1" applyFont="1" applyFill="1" applyBorder="1" applyAlignment="1" applyProtection="1">
      <alignment vertical="center"/>
    </xf>
    <xf numFmtId="10" fontId="11" fillId="0" borderId="17" xfId="3" applyNumberFormat="1" applyFont="1" applyBorder="1" applyAlignment="1" applyProtection="1">
      <alignment horizontal="right" vertical="center"/>
    </xf>
    <xf numFmtId="0" fontId="9" fillId="0" borderId="0" xfId="80" applyFont="1" applyFill="1" applyBorder="1" applyAlignment="1">
      <alignment vertical="center"/>
    </xf>
    <xf numFmtId="166" fontId="9" fillId="0" borderId="0" xfId="80" applyNumberFormat="1" applyFont="1" applyFill="1" applyBorder="1" applyAlignment="1">
      <alignment vertical="center"/>
    </xf>
    <xf numFmtId="10" fontId="13" fillId="4" borderId="69" xfId="3" applyNumberFormat="1" applyFont="1" applyFill="1" applyBorder="1" applyAlignment="1" applyProtection="1">
      <alignment horizontal="right" vertical="center"/>
    </xf>
    <xf numFmtId="0" fontId="9" fillId="0" borderId="0" xfId="80" applyFont="1" applyFill="1" applyAlignment="1">
      <alignment vertical="center"/>
    </xf>
    <xf numFmtId="166" fontId="9" fillId="0" borderId="0" xfId="80" applyNumberFormat="1" applyFont="1" applyFill="1" applyAlignment="1">
      <alignment vertical="center"/>
    </xf>
    <xf numFmtId="43" fontId="8" fillId="0" borderId="15" xfId="1" applyFont="1" applyFill="1" applyBorder="1" applyAlignment="1" applyProtection="1">
      <alignment vertical="center"/>
    </xf>
    <xf numFmtId="43" fontId="9" fillId="2" borderId="44" xfId="1" applyFont="1" applyFill="1" applyBorder="1" applyAlignment="1" applyProtection="1">
      <alignment horizontal="right" vertical="center"/>
    </xf>
    <xf numFmtId="10" fontId="13" fillId="4" borderId="75" xfId="3" applyNumberFormat="1" applyFont="1" applyFill="1" applyBorder="1" applyAlignment="1" applyProtection="1">
      <alignment horizontal="right" vertical="center"/>
    </xf>
    <xf numFmtId="3" fontId="8" fillId="0" borderId="0" xfId="2" applyNumberFormat="1" applyFont="1" applyFill="1" applyBorder="1" applyAlignment="1" applyProtection="1">
      <alignment horizontal="right" vertical="center"/>
    </xf>
    <xf numFmtId="0" fontId="8" fillId="0" borderId="0" xfId="80" applyFont="1" applyFill="1" applyAlignment="1">
      <alignment vertical="center"/>
    </xf>
    <xf numFmtId="166" fontId="8" fillId="0" borderId="0" xfId="80" applyNumberFormat="1" applyFont="1" applyFill="1" applyAlignment="1">
      <alignment vertical="center"/>
    </xf>
    <xf numFmtId="3" fontId="8" fillId="0" borderId="0" xfId="80" applyNumberFormat="1" applyFont="1" applyBorder="1" applyAlignment="1">
      <alignment horizontal="right" vertical="center"/>
    </xf>
    <xf numFmtId="0" fontId="8" fillId="0" borderId="0" xfId="80" applyFont="1" applyBorder="1" applyAlignment="1">
      <alignment vertical="center"/>
    </xf>
    <xf numFmtId="43" fontId="6" fillId="0" borderId="0" xfId="1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43" fontId="9" fillId="0" borderId="14" xfId="1" applyFont="1" applyBorder="1" applyAlignment="1" applyProtection="1">
      <alignment horizontal="center" vertical="center" wrapText="1"/>
    </xf>
    <xf numFmtId="43" fontId="9" fillId="0" borderId="0" xfId="1" applyFont="1" applyBorder="1" applyAlignment="1" applyProtection="1">
      <alignment horizontal="center" vertical="center" wrapText="1"/>
    </xf>
    <xf numFmtId="43" fontId="9" fillId="0" borderId="0" xfId="1" applyFont="1" applyFill="1" applyBorder="1" applyAlignment="1">
      <alignment horizontal="left" vertical="center"/>
    </xf>
    <xf numFmtId="43" fontId="8" fillId="0" borderId="10" xfId="1" applyFont="1" applyBorder="1" applyAlignment="1" applyProtection="1">
      <alignment horizontal="right" vertical="center" wrapText="1"/>
    </xf>
    <xf numFmtId="43" fontId="8" fillId="0" borderId="15" xfId="1" applyFont="1" applyBorder="1" applyAlignment="1" applyProtection="1">
      <alignment horizontal="right" vertical="center" wrapText="1"/>
    </xf>
    <xf numFmtId="43" fontId="8" fillId="0" borderId="16" xfId="1" applyFont="1" applyBorder="1" applyAlignment="1" applyProtection="1">
      <alignment horizontal="right" vertical="center" wrapText="1"/>
    </xf>
    <xf numFmtId="3" fontId="8" fillId="0" borderId="17" xfId="80" applyNumberFormat="1" applyFont="1" applyBorder="1" applyAlignment="1" applyProtection="1">
      <alignment horizontal="right" vertical="center" wrapText="1"/>
    </xf>
    <xf numFmtId="3" fontId="9" fillId="0" borderId="17" xfId="80" applyNumberFormat="1" applyFont="1" applyBorder="1" applyAlignment="1" applyProtection="1">
      <alignment horizontal="right" vertical="center"/>
    </xf>
    <xf numFmtId="43" fontId="9" fillId="0" borderId="0" xfId="80" applyNumberFormat="1" applyFont="1" applyAlignment="1">
      <alignment vertical="center"/>
    </xf>
    <xf numFmtId="43" fontId="9" fillId="0" borderId="0" xfId="1" applyFont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left" vertical="center"/>
    </xf>
    <xf numFmtId="43" fontId="9" fillId="0" borderId="14" xfId="1" applyFont="1" applyBorder="1" applyAlignment="1" applyProtection="1">
      <alignment horizontal="left" vertical="center"/>
    </xf>
    <xf numFmtId="43" fontId="9" fillId="0" borderId="10" xfId="1" applyFont="1" applyBorder="1" applyAlignment="1" applyProtection="1">
      <alignment horizontal="right" vertical="center"/>
    </xf>
    <xf numFmtId="10" fontId="9" fillId="0" borderId="17" xfId="3" applyNumberFormat="1" applyFont="1" applyBorder="1" applyAlignment="1" applyProtection="1">
      <alignment horizontal="right" vertical="center"/>
    </xf>
    <xf numFmtId="43" fontId="9" fillId="0" borderId="46" xfId="1" applyFont="1" applyBorder="1" applyAlignment="1" applyProtection="1">
      <alignment horizontal="right" vertical="center"/>
    </xf>
    <xf numFmtId="43" fontId="9" fillId="0" borderId="14" xfId="1" quotePrefix="1" applyFont="1" applyBorder="1" applyAlignment="1" applyProtection="1">
      <alignment horizontal="left" vertical="center"/>
    </xf>
    <xf numFmtId="43" fontId="9" fillId="0" borderId="0" xfId="1" quotePrefix="1" applyFont="1" applyBorder="1" applyAlignment="1" applyProtection="1">
      <alignment horizontal="center" vertical="center"/>
    </xf>
    <xf numFmtId="43" fontId="13" fillId="0" borderId="3" xfId="1" quotePrefix="1" applyFont="1" applyBorder="1" applyAlignment="1" applyProtection="1">
      <alignment horizontal="center" vertical="center"/>
    </xf>
    <xf numFmtId="43" fontId="13" fillId="0" borderId="18" xfId="1" applyFont="1" applyBorder="1" applyAlignment="1" applyProtection="1">
      <alignment horizontal="center" vertical="center"/>
    </xf>
    <xf numFmtId="43" fontId="13" fillId="0" borderId="15" xfId="1" applyFont="1" applyBorder="1" applyAlignment="1" applyProtection="1">
      <alignment horizontal="center" vertical="center"/>
    </xf>
    <xf numFmtId="43" fontId="9" fillId="0" borderId="15" xfId="1" applyFont="1" applyFill="1" applyBorder="1" applyAlignment="1">
      <alignment horizontal="left" vertical="center"/>
    </xf>
    <xf numFmtId="43" fontId="8" fillId="0" borderId="15" xfId="1" applyFont="1" applyBorder="1" applyAlignment="1">
      <alignment horizontal="right" vertical="center"/>
    </xf>
    <xf numFmtId="43" fontId="13" fillId="0" borderId="15" xfId="1" applyFont="1" applyFill="1" applyBorder="1" applyAlignment="1" applyProtection="1">
      <alignment horizontal="left" vertical="center"/>
    </xf>
    <xf numFmtId="43" fontId="9" fillId="0" borderId="14" xfId="1" applyFont="1" applyBorder="1" applyAlignment="1">
      <alignment horizontal="center" vertical="center"/>
    </xf>
    <xf numFmtId="43" fontId="9" fillId="0" borderId="0" xfId="1" applyFont="1" applyBorder="1" applyAlignment="1">
      <alignment horizontal="left" vertical="center"/>
    </xf>
    <xf numFmtId="43" fontId="9" fillId="0" borderId="38" xfId="1" applyFont="1" applyBorder="1" applyAlignment="1" applyProtection="1">
      <alignment horizontal="right" vertical="center"/>
    </xf>
    <xf numFmtId="0" fontId="8" fillId="0" borderId="0" xfId="80" applyFont="1" applyAlignment="1">
      <alignment horizontal="center" vertical="center"/>
    </xf>
    <xf numFmtId="43" fontId="8" fillId="0" borderId="0" xfId="1" applyFont="1" applyAlignment="1">
      <alignment vertical="center"/>
    </xf>
    <xf numFmtId="3" fontId="8" fillId="0" borderId="0" xfId="80" applyNumberFormat="1" applyFont="1" applyAlignment="1">
      <alignment vertical="center"/>
    </xf>
    <xf numFmtId="0" fontId="6" fillId="0" borderId="0" xfId="80" applyFont="1" applyAlignment="1">
      <alignment horizontal="center" vertical="center"/>
    </xf>
    <xf numFmtId="0" fontId="44" fillId="23" borderId="0" xfId="4" applyFont="1" applyFill="1" applyAlignment="1">
      <alignment vertical="center"/>
    </xf>
    <xf numFmtId="175" fontId="70" fillId="23" borderId="0" xfId="119" applyNumberFormat="1" applyFont="1" applyFill="1" applyAlignment="1">
      <alignment horizontal="center" vertical="center"/>
    </xf>
    <xf numFmtId="0" fontId="48" fillId="23" borderId="0" xfId="4" applyFont="1" applyFill="1" applyAlignment="1">
      <alignment vertical="center"/>
    </xf>
    <xf numFmtId="0" fontId="71" fillId="0" borderId="0" xfId="4" applyFont="1" applyFill="1" applyAlignment="1">
      <alignment vertical="center"/>
    </xf>
    <xf numFmtId="0" fontId="47" fillId="23" borderId="0" xfId="4" applyFont="1" applyFill="1" applyAlignment="1">
      <alignment horizontal="left" vertical="center"/>
    </xf>
    <xf numFmtId="0" fontId="47" fillId="23" borderId="0" xfId="4" applyFont="1" applyFill="1" applyAlignment="1">
      <alignment horizontal="center" vertical="center"/>
    </xf>
    <xf numFmtId="175" fontId="47" fillId="23" borderId="0" xfId="119" applyNumberFormat="1" applyFont="1" applyFill="1" applyAlignment="1">
      <alignment horizontal="center" vertical="center"/>
    </xf>
    <xf numFmtId="0" fontId="72" fillId="23" borderId="0" xfId="4" applyFont="1" applyFill="1" applyAlignment="1">
      <alignment horizontal="center" vertical="center"/>
    </xf>
    <xf numFmtId="0" fontId="73" fillId="0" borderId="0" xfId="4" applyFont="1" applyFill="1" applyAlignment="1">
      <alignment vertical="center"/>
    </xf>
    <xf numFmtId="0" fontId="51" fillId="23" borderId="0" xfId="4" applyFont="1" applyFill="1" applyAlignment="1">
      <alignment horizontal="center" vertical="center"/>
    </xf>
    <xf numFmtId="0" fontId="44" fillId="3" borderId="31" xfId="4" applyFont="1" applyFill="1" applyBorder="1" applyAlignment="1">
      <alignment vertical="center"/>
    </xf>
    <xf numFmtId="0" fontId="49" fillId="23" borderId="24" xfId="4" applyFont="1" applyFill="1" applyBorder="1" applyAlignment="1">
      <alignment vertical="center"/>
    </xf>
    <xf numFmtId="175" fontId="70" fillId="23" borderId="25" xfId="119" applyNumberFormat="1" applyFont="1" applyFill="1" applyBorder="1" applyAlignment="1">
      <alignment horizontal="center" vertical="center"/>
    </xf>
    <xf numFmtId="0" fontId="51" fillId="23" borderId="25" xfId="4" applyFont="1" applyFill="1" applyBorder="1" applyAlignment="1">
      <alignment horizontal="center" vertical="center"/>
    </xf>
    <xf numFmtId="0" fontId="51" fillId="23" borderId="38" xfId="4" applyFont="1" applyFill="1" applyBorder="1" applyAlignment="1">
      <alignment horizontal="center" vertical="center"/>
    </xf>
    <xf numFmtId="0" fontId="49" fillId="23" borderId="14" xfId="120" applyFont="1" applyFill="1" applyBorder="1" applyAlignment="1">
      <alignment horizontal="left" vertical="center"/>
    </xf>
    <xf numFmtId="0" fontId="49" fillId="23" borderId="0" xfId="120" applyFont="1" applyFill="1" applyBorder="1" applyAlignment="1">
      <alignment horizontal="left" vertical="center"/>
    </xf>
    <xf numFmtId="0" fontId="49" fillId="23" borderId="0" xfId="120" applyFont="1" applyFill="1" applyBorder="1" applyAlignment="1">
      <alignment horizontal="center" vertical="center"/>
    </xf>
    <xf numFmtId="0" fontId="49" fillId="23" borderId="38" xfId="120" applyFont="1" applyFill="1" applyBorder="1" applyAlignment="1">
      <alignment horizontal="center" vertical="center"/>
    </xf>
    <xf numFmtId="0" fontId="49" fillId="23" borderId="62" xfId="120" applyFont="1" applyFill="1" applyBorder="1" applyAlignment="1">
      <alignment horizontal="center" vertical="center"/>
    </xf>
    <xf numFmtId="0" fontId="49" fillId="23" borderId="14" xfId="4" applyFont="1" applyFill="1" applyBorder="1" applyAlignment="1">
      <alignment vertical="center"/>
    </xf>
    <xf numFmtId="175" fontId="70" fillId="23" borderId="0" xfId="119" applyNumberFormat="1" applyFont="1" applyFill="1" applyBorder="1" applyAlignment="1">
      <alignment horizontal="center" vertical="center"/>
    </xf>
    <xf numFmtId="0" fontId="51" fillId="23" borderId="0" xfId="4" applyFont="1" applyFill="1" applyBorder="1" applyAlignment="1">
      <alignment horizontal="center" vertical="center"/>
    </xf>
    <xf numFmtId="0" fontId="49" fillId="23" borderId="60" xfId="4" applyFont="1" applyFill="1" applyBorder="1" applyAlignment="1">
      <alignment vertical="center"/>
    </xf>
    <xf numFmtId="175" fontId="70" fillId="23" borderId="28" xfId="119" applyNumberFormat="1" applyFont="1" applyFill="1" applyBorder="1" applyAlignment="1">
      <alignment horizontal="center" vertical="center"/>
    </xf>
    <xf numFmtId="0" fontId="51" fillId="23" borderId="28" xfId="4" applyFont="1" applyFill="1" applyBorder="1" applyAlignment="1">
      <alignment horizontal="center" vertical="center"/>
    </xf>
    <xf numFmtId="0" fontId="44" fillId="23" borderId="24" xfId="4" applyFont="1" applyFill="1" applyBorder="1" applyAlignment="1">
      <alignment vertical="center"/>
    </xf>
    <xf numFmtId="0" fontId="44" fillId="23" borderId="25" xfId="4" applyFont="1" applyFill="1" applyBorder="1" applyAlignment="1">
      <alignment vertical="center"/>
    </xf>
    <xf numFmtId="175" fontId="47" fillId="23" borderId="25" xfId="119" applyNumberFormat="1" applyFont="1" applyFill="1" applyBorder="1" applyAlignment="1">
      <alignment horizontal="center" vertical="center"/>
    </xf>
    <xf numFmtId="0" fontId="58" fillId="23" borderId="25" xfId="4" applyFont="1" applyFill="1" applyBorder="1" applyAlignment="1">
      <alignment horizontal="center" vertical="center"/>
    </xf>
    <xf numFmtId="0" fontId="58" fillId="23" borderId="0" xfId="4" applyFont="1" applyFill="1" applyBorder="1" applyAlignment="1">
      <alignment horizontal="center" vertical="center"/>
    </xf>
    <xf numFmtId="0" fontId="44" fillId="23" borderId="0" xfId="4" applyFont="1" applyFill="1" applyBorder="1" applyAlignment="1">
      <alignment horizontal="center" vertical="center"/>
    </xf>
    <xf numFmtId="0" fontId="44" fillId="23" borderId="62" xfId="4" applyFont="1" applyFill="1" applyBorder="1" applyAlignment="1">
      <alignment horizontal="center" vertical="center"/>
    </xf>
    <xf numFmtId="0" fontId="51" fillId="23" borderId="0" xfId="4" applyFont="1" applyFill="1" applyAlignment="1">
      <alignment vertical="center"/>
    </xf>
    <xf numFmtId="0" fontId="53" fillId="23" borderId="0" xfId="4" applyFont="1" applyFill="1" applyBorder="1" applyAlignment="1">
      <alignment horizontal="center" vertical="center"/>
    </xf>
    <xf numFmtId="0" fontId="74" fillId="23" borderId="0" xfId="4" applyFont="1" applyFill="1" applyBorder="1" applyAlignment="1">
      <alignment horizontal="center" vertical="center"/>
    </xf>
    <xf numFmtId="0" fontId="52" fillId="23" borderId="0" xfId="4" applyFont="1" applyFill="1" applyBorder="1" applyAlignment="1">
      <alignment horizontal="center" vertical="center"/>
    </xf>
    <xf numFmtId="0" fontId="53" fillId="24" borderId="35" xfId="5" applyFont="1" applyFill="1" applyBorder="1" applyAlignment="1" applyProtection="1">
      <alignment horizontal="center" vertical="center"/>
    </xf>
    <xf numFmtId="0" fontId="53" fillId="23" borderId="24" xfId="5" applyFont="1" applyFill="1" applyBorder="1" applyAlignment="1" applyProtection="1">
      <alignment horizontal="center" vertical="center"/>
    </xf>
    <xf numFmtId="0" fontId="53" fillId="23" borderId="31" xfId="5" applyFont="1" applyFill="1" applyBorder="1" applyAlignment="1" applyProtection="1">
      <alignment vertical="center" wrapText="1"/>
    </xf>
    <xf numFmtId="0" fontId="74" fillId="23" borderId="0" xfId="5" applyFont="1" applyFill="1" applyBorder="1" applyAlignment="1" applyProtection="1">
      <alignment vertical="center" wrapText="1"/>
    </xf>
    <xf numFmtId="0" fontId="48" fillId="24" borderId="0" xfId="120" applyFont="1" applyFill="1" applyAlignment="1">
      <alignment vertical="center"/>
    </xf>
    <xf numFmtId="0" fontId="53" fillId="23" borderId="0" xfId="5" applyFont="1" applyFill="1" applyBorder="1" applyAlignment="1" applyProtection="1">
      <alignment vertical="center" wrapText="1"/>
    </xf>
    <xf numFmtId="0" fontId="49" fillId="37" borderId="76" xfId="5" applyFont="1" applyFill="1" applyBorder="1" applyAlignment="1" applyProtection="1">
      <alignment horizontal="center" vertical="center" wrapText="1"/>
    </xf>
    <xf numFmtId="0" fontId="53" fillId="37" borderId="64" xfId="77" applyFont="1" applyFill="1" applyBorder="1" applyAlignment="1" applyProtection="1">
      <alignment horizontal="center" vertical="center" wrapText="1"/>
    </xf>
    <xf numFmtId="0" fontId="53" fillId="37" borderId="64" xfId="77" applyFont="1" applyFill="1" applyBorder="1" applyAlignment="1" applyProtection="1">
      <alignment horizontal="left" vertical="center" wrapText="1"/>
    </xf>
    <xf numFmtId="175" fontId="75" fillId="37" borderId="65" xfId="119" applyNumberFormat="1" applyFont="1" applyFill="1" applyBorder="1" applyAlignment="1" applyProtection="1">
      <alignment horizontal="center" vertical="center" wrapText="1"/>
    </xf>
    <xf numFmtId="0" fontId="53" fillId="0" borderId="0" xfId="4" applyFont="1" applyFill="1" applyAlignment="1">
      <alignment vertical="center" wrapText="1"/>
    </xf>
    <xf numFmtId="0" fontId="74" fillId="0" borderId="0" xfId="4" applyFont="1" applyFill="1" applyAlignment="1">
      <alignment vertical="center" wrapText="1"/>
    </xf>
    <xf numFmtId="49" fontId="74" fillId="0" borderId="0" xfId="4" applyNumberFormat="1" applyFont="1" applyFill="1" applyAlignment="1">
      <alignment vertical="center" wrapText="1"/>
    </xf>
    <xf numFmtId="0" fontId="49" fillId="4" borderId="66" xfId="5" applyFont="1" applyFill="1" applyBorder="1" applyAlignment="1" applyProtection="1">
      <alignment horizontal="center" vertical="center" wrapText="1"/>
    </xf>
    <xf numFmtId="0" fontId="53" fillId="4" borderId="47" xfId="77" applyFont="1" applyFill="1" applyBorder="1" applyAlignment="1" applyProtection="1">
      <alignment horizontal="center" vertical="center" wrapText="1"/>
    </xf>
    <xf numFmtId="0" fontId="53" fillId="4" borderId="47" xfId="77" applyFont="1" applyFill="1" applyBorder="1" applyAlignment="1" applyProtection="1">
      <alignment horizontal="left" vertical="center" wrapText="1"/>
    </xf>
    <xf numFmtId="175" fontId="76" fillId="4" borderId="40" xfId="119" applyNumberFormat="1" applyFont="1" applyFill="1" applyBorder="1" applyAlignment="1">
      <alignment horizontal="center" vertical="center" wrapText="1"/>
    </xf>
    <xf numFmtId="0" fontId="74" fillId="24" borderId="0" xfId="4" applyFont="1" applyFill="1" applyAlignment="1">
      <alignment vertical="center" wrapText="1"/>
    </xf>
    <xf numFmtId="0" fontId="59" fillId="32" borderId="66" xfId="5" applyFont="1" applyFill="1" applyBorder="1" applyAlignment="1" applyProtection="1">
      <alignment horizontal="center" vertical="center" wrapText="1"/>
    </xf>
    <xf numFmtId="0" fontId="60" fillId="32" borderId="47" xfId="77" applyFont="1" applyFill="1" applyBorder="1" applyAlignment="1" applyProtection="1">
      <alignment horizontal="center" vertical="center" wrapText="1"/>
    </xf>
    <xf numFmtId="0" fontId="60" fillId="32" borderId="47" xfId="77" applyFont="1" applyFill="1" applyBorder="1" applyAlignment="1" applyProtection="1">
      <alignment horizontal="left" vertical="center" wrapText="1"/>
    </xf>
    <xf numFmtId="175" fontId="76" fillId="32" borderId="40" xfId="119" applyNumberFormat="1" applyFont="1" applyFill="1" applyBorder="1" applyAlignment="1">
      <alignment horizontal="center" vertical="center" wrapText="1"/>
    </xf>
    <xf numFmtId="0" fontId="60" fillId="0" borderId="0" xfId="4" applyFont="1" applyFill="1" applyAlignment="1">
      <alignment vertical="center" wrapText="1"/>
    </xf>
    <xf numFmtId="0" fontId="49" fillId="0" borderId="47" xfId="77" applyFont="1" applyFill="1" applyBorder="1" applyAlignment="1" applyProtection="1">
      <alignment horizontal="center" vertical="center" wrapText="1"/>
    </xf>
    <xf numFmtId="0" fontId="49" fillId="0" borderId="47" xfId="77" applyFont="1" applyFill="1" applyBorder="1" applyAlignment="1" applyProtection="1">
      <alignment horizontal="left" vertical="center" wrapText="1"/>
    </xf>
    <xf numFmtId="175" fontId="76" fillId="0" borderId="40" xfId="119" applyNumberFormat="1" applyFont="1" applyBorder="1" applyAlignment="1">
      <alignment horizontal="center" vertical="center" wrapText="1"/>
    </xf>
    <xf numFmtId="0" fontId="49" fillId="0" borderId="0" xfId="4" applyFont="1" applyFill="1" applyAlignment="1">
      <alignment vertical="center" wrapText="1"/>
    </xf>
    <xf numFmtId="49" fontId="51" fillId="0" borderId="0" xfId="4" applyNumberFormat="1" applyFont="1" applyFill="1" applyAlignment="1">
      <alignment vertical="center" wrapText="1"/>
    </xf>
    <xf numFmtId="0" fontId="49" fillId="32" borderId="66" xfId="5" applyFont="1" applyFill="1" applyBorder="1" applyAlignment="1" applyProtection="1">
      <alignment horizontal="center" vertical="center" wrapText="1"/>
    </xf>
    <xf numFmtId="0" fontId="60" fillId="0" borderId="47" xfId="77" applyFont="1" applyFill="1" applyBorder="1" applyAlignment="1" applyProtection="1">
      <alignment horizontal="center" vertical="center" wrapText="1"/>
    </xf>
    <xf numFmtId="0" fontId="60" fillId="0" borderId="47" xfId="77" applyFont="1" applyFill="1" applyBorder="1" applyAlignment="1" applyProtection="1">
      <alignment horizontal="left" vertical="center" wrapText="1"/>
    </xf>
    <xf numFmtId="0" fontId="49" fillId="0" borderId="76" xfId="5" applyFont="1" applyFill="1" applyBorder="1" applyAlignment="1" applyProtection="1">
      <alignment horizontal="center" vertical="center" wrapText="1"/>
    </xf>
    <xf numFmtId="0" fontId="49" fillId="0" borderId="68" xfId="5" applyFont="1" applyFill="1" applyBorder="1" applyAlignment="1" applyProtection="1">
      <alignment horizontal="center" vertical="center" wrapText="1"/>
    </xf>
    <xf numFmtId="0" fontId="49" fillId="0" borderId="19" xfId="77" applyFont="1" applyFill="1" applyBorder="1" applyAlignment="1" applyProtection="1">
      <alignment horizontal="center" vertical="center" wrapText="1"/>
    </xf>
    <xf numFmtId="0" fontId="49" fillId="0" borderId="19" xfId="77" applyFont="1" applyFill="1" applyBorder="1" applyAlignment="1" applyProtection="1">
      <alignment horizontal="left" vertical="center" wrapText="1"/>
    </xf>
    <xf numFmtId="0" fontId="49" fillId="4" borderId="76" xfId="5" applyFont="1" applyFill="1" applyBorder="1" applyAlignment="1" applyProtection="1">
      <alignment horizontal="center" vertical="center" wrapText="1"/>
    </xf>
    <xf numFmtId="0" fontId="53" fillId="4" borderId="64" xfId="77" applyFont="1" applyFill="1" applyBorder="1" applyAlignment="1" applyProtection="1">
      <alignment horizontal="center" vertical="center" wrapText="1"/>
    </xf>
    <xf numFmtId="0" fontId="53" fillId="4" borderId="64" xfId="77" applyFont="1" applyFill="1" applyBorder="1" applyAlignment="1" applyProtection="1">
      <alignment horizontal="left" vertical="center" wrapText="1"/>
    </xf>
    <xf numFmtId="175" fontId="76" fillId="4" borderId="65" xfId="119" applyNumberFormat="1" applyFont="1" applyFill="1" applyBorder="1" applyAlignment="1">
      <alignment horizontal="center" vertical="center" wrapText="1"/>
    </xf>
    <xf numFmtId="175" fontId="76" fillId="37" borderId="65" xfId="119" applyNumberFormat="1" applyFont="1" applyFill="1" applyBorder="1" applyAlignment="1">
      <alignment horizontal="center" vertical="center" wrapText="1"/>
    </xf>
    <xf numFmtId="0" fontId="49" fillId="24" borderId="47" xfId="77" applyFont="1" applyFill="1" applyBorder="1" applyAlignment="1" applyProtection="1">
      <alignment horizontal="center" vertical="center" wrapText="1"/>
    </xf>
    <xf numFmtId="0" fontId="49" fillId="24" borderId="47" xfId="77" applyFont="1" applyFill="1" applyBorder="1" applyAlignment="1" applyProtection="1">
      <alignment horizontal="left" vertical="center" wrapText="1"/>
    </xf>
    <xf numFmtId="0" fontId="49" fillId="24" borderId="0" xfId="4" applyFont="1" applyFill="1" applyAlignment="1">
      <alignment vertical="center" wrapText="1"/>
    </xf>
    <xf numFmtId="49" fontId="51" fillId="24" borderId="0" xfId="4" applyNumberFormat="1" applyFont="1" applyFill="1" applyAlignment="1">
      <alignment vertical="center" wrapText="1"/>
    </xf>
    <xf numFmtId="49" fontId="49" fillId="24" borderId="0" xfId="4" applyNumberFormat="1" applyFont="1" applyFill="1" applyAlignment="1">
      <alignment vertical="center" wrapText="1"/>
    </xf>
    <xf numFmtId="0" fontId="63" fillId="24" borderId="66" xfId="5" applyFont="1" applyFill="1" applyBorder="1" applyAlignment="1" applyProtection="1">
      <alignment horizontal="center" vertical="center" wrapText="1"/>
    </xf>
    <xf numFmtId="0" fontId="49" fillId="38" borderId="66" xfId="5" applyFont="1" applyFill="1" applyBorder="1" applyAlignment="1" applyProtection="1">
      <alignment horizontal="center" vertical="center" wrapText="1"/>
    </xf>
    <xf numFmtId="0" fontId="49" fillId="38" borderId="47" xfId="77" applyFont="1" applyFill="1" applyBorder="1" applyAlignment="1" applyProtection="1">
      <alignment horizontal="center" vertical="center" wrapText="1"/>
    </xf>
    <xf numFmtId="0" fontId="49" fillId="38" borderId="47" xfId="77" applyFont="1" applyFill="1" applyBorder="1" applyAlignment="1" applyProtection="1">
      <alignment horizontal="left" vertical="center" wrapText="1"/>
    </xf>
    <xf numFmtId="175" fontId="76" fillId="38" borderId="40" xfId="119" applyNumberFormat="1" applyFont="1" applyFill="1" applyBorder="1" applyAlignment="1">
      <alignment horizontal="center" vertical="center" wrapText="1"/>
    </xf>
    <xf numFmtId="0" fontId="49" fillId="24" borderId="47" xfId="77" applyFont="1" applyFill="1" applyBorder="1" applyAlignment="1" applyProtection="1">
      <alignment vertical="center" wrapText="1"/>
    </xf>
    <xf numFmtId="0" fontId="49" fillId="24" borderId="66" xfId="5" applyFont="1" applyFill="1" applyBorder="1" applyAlignment="1" applyProtection="1">
      <alignment horizontal="center" vertical="center"/>
    </xf>
    <xf numFmtId="0" fontId="63" fillId="38" borderId="66" xfId="5" applyFont="1" applyFill="1" applyBorder="1" applyAlignment="1" applyProtection="1">
      <alignment horizontal="center" vertical="center"/>
    </xf>
    <xf numFmtId="0" fontId="49" fillId="38" borderId="47" xfId="77" applyFont="1" applyFill="1" applyBorder="1" applyAlignment="1" applyProtection="1">
      <alignment vertical="center" wrapText="1"/>
    </xf>
    <xf numFmtId="0" fontId="51" fillId="0" borderId="0" xfId="4" applyFont="1" applyFill="1" applyAlignment="1">
      <alignment vertical="center" wrapText="1"/>
    </xf>
    <xf numFmtId="49" fontId="49" fillId="0" borderId="0" xfId="4" applyNumberFormat="1" applyFont="1" applyFill="1" applyAlignment="1">
      <alignment vertical="center" wrapText="1"/>
    </xf>
    <xf numFmtId="0" fontId="49" fillId="0" borderId="66" xfId="5" applyFont="1" applyFill="1" applyBorder="1" applyAlignment="1" applyProtection="1">
      <alignment horizontal="center" vertical="center"/>
    </xf>
    <xf numFmtId="0" fontId="49" fillId="0" borderId="47" xfId="77" applyFont="1" applyFill="1" applyBorder="1" applyAlignment="1" applyProtection="1">
      <alignment vertical="center" wrapText="1"/>
    </xf>
    <xf numFmtId="0" fontId="49" fillId="0" borderId="77" xfId="5" applyFont="1" applyFill="1" applyBorder="1" applyAlignment="1" applyProtection="1">
      <alignment horizontal="center" vertical="center"/>
    </xf>
    <xf numFmtId="0" fontId="77" fillId="32" borderId="66" xfId="5" applyFont="1" applyFill="1" applyBorder="1" applyAlignment="1" applyProtection="1">
      <alignment horizontal="center" vertical="center" wrapText="1"/>
    </xf>
    <xf numFmtId="0" fontId="49" fillId="0" borderId="40" xfId="77" applyFont="1" applyFill="1" applyBorder="1" applyAlignment="1" applyProtection="1">
      <alignment horizontal="center" vertical="center" wrapText="1"/>
    </xf>
    <xf numFmtId="0" fontId="49" fillId="0" borderId="2" xfId="121" applyFont="1" applyBorder="1" applyAlignment="1">
      <alignment horizontal="left" vertical="center"/>
    </xf>
    <xf numFmtId="0" fontId="49" fillId="0" borderId="40" xfId="121" applyFont="1" applyBorder="1" applyAlignment="1">
      <alignment horizontal="center" vertical="center"/>
    </xf>
    <xf numFmtId="0" fontId="49" fillId="0" borderId="40" xfId="77" applyFont="1" applyFill="1" applyBorder="1" applyAlignment="1" applyProtection="1">
      <alignment horizontal="left" vertical="center" wrapText="1"/>
    </xf>
    <xf numFmtId="0" fontId="49" fillId="38" borderId="40" xfId="77" applyFont="1" applyFill="1" applyBorder="1" applyAlignment="1" applyProtection="1">
      <alignment horizontal="center" vertical="center" wrapText="1"/>
    </xf>
    <xf numFmtId="0" fontId="49" fillId="38" borderId="40" xfId="77" applyFont="1" applyFill="1" applyBorder="1" applyAlignment="1" applyProtection="1">
      <alignment horizontal="left" vertical="center" wrapText="1"/>
    </xf>
    <xf numFmtId="0" fontId="53" fillId="4" borderId="71" xfId="77" applyFont="1" applyFill="1" applyBorder="1" applyAlignment="1" applyProtection="1">
      <alignment horizontal="center" vertical="center" wrapText="1"/>
    </xf>
    <xf numFmtId="0" fontId="53" fillId="4" borderId="71" xfId="77" applyFont="1" applyFill="1" applyBorder="1" applyAlignment="1" applyProtection="1">
      <alignment horizontal="left" vertical="center" wrapText="1"/>
    </xf>
    <xf numFmtId="175" fontId="76" fillId="4" borderId="39" xfId="119" applyNumberFormat="1" applyFont="1" applyFill="1" applyBorder="1" applyAlignment="1">
      <alignment horizontal="center" vertical="center" wrapText="1"/>
    </xf>
    <xf numFmtId="0" fontId="60" fillId="0" borderId="19" xfId="77" applyFont="1" applyFill="1" applyBorder="1" applyAlignment="1" applyProtection="1">
      <alignment horizontal="center" vertical="center" wrapText="1"/>
    </xf>
    <xf numFmtId="0" fontId="60" fillId="0" borderId="19" xfId="77" applyFont="1" applyFill="1" applyBorder="1" applyAlignment="1" applyProtection="1">
      <alignment horizontal="left" vertical="center" wrapText="1"/>
    </xf>
    <xf numFmtId="0" fontId="53" fillId="0" borderId="68" xfId="5" applyFont="1" applyFill="1" applyBorder="1" applyAlignment="1" applyProtection="1">
      <alignment horizontal="center" vertical="center" wrapText="1"/>
    </xf>
    <xf numFmtId="0" fontId="49" fillId="39" borderId="62" xfId="5" applyFont="1" applyFill="1" applyBorder="1" applyAlignment="1" applyProtection="1">
      <alignment horizontal="center" vertical="center" wrapText="1"/>
    </xf>
    <xf numFmtId="0" fontId="53" fillId="39" borderId="31" xfId="77" applyFont="1" applyFill="1" applyBorder="1" applyAlignment="1" applyProtection="1">
      <alignment horizontal="center" vertical="center" wrapText="1"/>
    </xf>
    <xf numFmtId="0" fontId="53" fillId="39" borderId="31" xfId="77" applyFont="1" applyFill="1" applyBorder="1" applyAlignment="1" applyProtection="1">
      <alignment horizontal="left" vertical="center" wrapText="1"/>
    </xf>
    <xf numFmtId="175" fontId="76" fillId="39" borderId="35" xfId="119" applyNumberFormat="1" applyFont="1" applyFill="1" applyBorder="1" applyAlignment="1">
      <alignment horizontal="center" vertical="center" wrapText="1"/>
    </xf>
    <xf numFmtId="0" fontId="49" fillId="37" borderId="63" xfId="5" applyFont="1" applyFill="1" applyBorder="1" applyAlignment="1" applyProtection="1">
      <alignment horizontal="center" vertical="center" wrapText="1"/>
    </xf>
    <xf numFmtId="0" fontId="53" fillId="37" borderId="71" xfId="77" applyFont="1" applyFill="1" applyBorder="1" applyAlignment="1" applyProtection="1">
      <alignment horizontal="left" vertical="center" wrapText="1"/>
    </xf>
    <xf numFmtId="175" fontId="76" fillId="37" borderId="39" xfId="119" applyNumberFormat="1" applyFont="1" applyFill="1" applyBorder="1" applyAlignment="1">
      <alignment horizontal="center" vertical="center" wrapText="1"/>
    </xf>
    <xf numFmtId="0" fontId="53" fillId="24" borderId="47" xfId="77" applyFont="1" applyFill="1" applyBorder="1" applyAlignment="1" applyProtection="1">
      <alignment horizontal="center" vertical="center" wrapText="1"/>
    </xf>
    <xf numFmtId="0" fontId="53" fillId="24" borderId="47" xfId="77" applyFont="1" applyFill="1" applyBorder="1" applyAlignment="1" applyProtection="1">
      <alignment horizontal="left" vertical="center" wrapText="1"/>
    </xf>
    <xf numFmtId="0" fontId="49" fillId="0" borderId="77" xfId="5" applyFont="1" applyFill="1" applyBorder="1" applyAlignment="1" applyProtection="1">
      <alignment horizontal="center" vertical="center" wrapText="1"/>
    </xf>
    <xf numFmtId="0" fontId="53" fillId="24" borderId="19" xfId="77" applyFont="1" applyFill="1" applyBorder="1" applyAlignment="1" applyProtection="1">
      <alignment horizontal="center" vertical="center" wrapText="1"/>
    </xf>
    <xf numFmtId="0" fontId="53" fillId="24" borderId="19" xfId="77" applyFont="1" applyFill="1" applyBorder="1" applyAlignment="1" applyProtection="1">
      <alignment horizontal="left" vertical="center" wrapText="1"/>
    </xf>
    <xf numFmtId="0" fontId="49" fillId="37" borderId="63" xfId="5" applyFont="1" applyFill="1" applyBorder="1" applyAlignment="1">
      <alignment horizontal="center" vertical="center" wrapText="1"/>
    </xf>
    <xf numFmtId="0" fontId="53" fillId="0" borderId="47" xfId="77" applyFont="1" applyFill="1" applyBorder="1" applyAlignment="1" applyProtection="1">
      <alignment horizontal="center" vertical="center" wrapText="1"/>
    </xf>
    <xf numFmtId="0" fontId="53" fillId="0" borderId="47" xfId="77" applyFont="1" applyFill="1" applyBorder="1" applyAlignment="1" applyProtection="1">
      <alignment horizontal="left" vertical="center" wrapText="1"/>
    </xf>
    <xf numFmtId="0" fontId="49" fillId="4" borderId="66" xfId="5" applyFont="1" applyFill="1" applyBorder="1" applyAlignment="1">
      <alignment horizontal="center" vertical="center" wrapText="1"/>
    </xf>
    <xf numFmtId="0" fontId="49" fillId="32" borderId="66" xfId="5" applyFont="1" applyFill="1" applyBorder="1" applyAlignment="1">
      <alignment horizontal="center" vertical="center" wrapText="1"/>
    </xf>
    <xf numFmtId="0" fontId="53" fillId="0" borderId="19" xfId="77" applyFont="1" applyFill="1" applyBorder="1" applyAlignment="1" applyProtection="1">
      <alignment horizontal="center" vertical="center" wrapText="1"/>
    </xf>
    <xf numFmtId="0" fontId="53" fillId="0" borderId="19" xfId="77" applyFont="1" applyFill="1" applyBorder="1" applyAlignment="1" applyProtection="1">
      <alignment horizontal="left" vertical="center" wrapText="1"/>
    </xf>
    <xf numFmtId="0" fontId="60" fillId="24" borderId="47" xfId="77" applyFont="1" applyFill="1" applyBorder="1" applyAlignment="1" applyProtection="1">
      <alignment horizontal="center" vertical="center" wrapText="1"/>
    </xf>
    <xf numFmtId="0" fontId="60" fillId="24" borderId="47" xfId="77" applyFont="1" applyFill="1" applyBorder="1" applyAlignment="1" applyProtection="1">
      <alignment horizontal="left" vertical="center" wrapText="1"/>
    </xf>
    <xf numFmtId="0" fontId="60" fillId="0" borderId="7" xfId="77" applyFont="1" applyFill="1" applyBorder="1" applyAlignment="1" applyProtection="1">
      <alignment horizontal="center" vertical="center" wrapText="1"/>
    </xf>
    <xf numFmtId="0" fontId="60" fillId="0" borderId="47" xfId="77" applyFont="1" applyFill="1" applyBorder="1" applyAlignment="1" applyProtection="1">
      <alignment vertical="center" wrapText="1"/>
    </xf>
    <xf numFmtId="0" fontId="60" fillId="0" borderId="9" xfId="77" applyFont="1" applyFill="1" applyBorder="1" applyAlignment="1" applyProtection="1">
      <alignment horizontal="center" vertical="center" wrapText="1"/>
    </xf>
    <xf numFmtId="0" fontId="60" fillId="0" borderId="9" xfId="77" applyFont="1" applyFill="1" applyBorder="1" applyAlignment="1" applyProtection="1">
      <alignment horizontal="left" vertical="center" wrapText="1"/>
    </xf>
    <xf numFmtId="0" fontId="60" fillId="0" borderId="40" xfId="77" applyFont="1" applyFill="1" applyBorder="1" applyAlignment="1" applyProtection="1">
      <alignment horizontal="center" vertical="center" wrapText="1"/>
    </xf>
    <xf numFmtId="0" fontId="60" fillId="0" borderId="40" xfId="77" applyFont="1" applyFill="1" applyBorder="1" applyAlignment="1" applyProtection="1">
      <alignment horizontal="left" vertical="center" wrapText="1"/>
    </xf>
    <xf numFmtId="0" fontId="53" fillId="37" borderId="71" xfId="77" applyFont="1" applyFill="1" applyBorder="1" applyAlignment="1" applyProtection="1">
      <alignment horizontal="center" vertical="center" wrapText="1"/>
    </xf>
    <xf numFmtId="0" fontId="49" fillId="37" borderId="66" xfId="5" applyFont="1" applyFill="1" applyBorder="1" applyAlignment="1" applyProtection="1">
      <alignment horizontal="center" vertical="center" wrapText="1"/>
    </xf>
    <xf numFmtId="0" fontId="53" fillId="37" borderId="47" xfId="77" applyFont="1" applyFill="1" applyBorder="1" applyAlignment="1" applyProtection="1">
      <alignment horizontal="center" vertical="center" wrapText="1"/>
    </xf>
    <xf numFmtId="0" fontId="60" fillId="24" borderId="7" xfId="77" applyFont="1" applyFill="1" applyBorder="1" applyAlignment="1" applyProtection="1">
      <alignment horizontal="center" vertical="center" wrapText="1"/>
    </xf>
    <xf numFmtId="0" fontId="60" fillId="24" borderId="47" xfId="77" applyFont="1" applyFill="1" applyBorder="1" applyAlignment="1" applyProtection="1">
      <alignment vertical="center" wrapText="1"/>
    </xf>
    <xf numFmtId="0" fontId="53" fillId="0" borderId="77" xfId="5" applyFont="1" applyFill="1" applyBorder="1" applyAlignment="1" applyProtection="1">
      <alignment horizontal="center" vertical="center"/>
    </xf>
    <xf numFmtId="0" fontId="53" fillId="24" borderId="7" xfId="77" applyFont="1" applyFill="1" applyBorder="1" applyAlignment="1" applyProtection="1">
      <alignment horizontal="center" vertical="center" wrapText="1"/>
    </xf>
    <xf numFmtId="0" fontId="53" fillId="0" borderId="47" xfId="77" applyFont="1" applyFill="1" applyBorder="1" applyAlignment="1" applyProtection="1">
      <alignment vertical="center" wrapText="1"/>
    </xf>
    <xf numFmtId="0" fontId="53" fillId="24" borderId="66" xfId="5" applyFont="1" applyFill="1" applyBorder="1" applyAlignment="1" applyProtection="1">
      <alignment horizontal="center" vertical="center"/>
    </xf>
    <xf numFmtId="0" fontId="49" fillId="24" borderId="66" xfId="5" applyFont="1" applyFill="1" applyBorder="1" applyAlignment="1">
      <alignment horizontal="center" vertical="center"/>
    </xf>
    <xf numFmtId="0" fontId="49" fillId="24" borderId="7" xfId="77" applyFont="1" applyFill="1" applyBorder="1" applyAlignment="1" applyProtection="1">
      <alignment horizontal="center" vertical="center" wrapText="1"/>
    </xf>
    <xf numFmtId="0" fontId="60" fillId="0" borderId="40" xfId="121" applyFont="1" applyBorder="1" applyAlignment="1">
      <alignment vertical="center"/>
    </xf>
    <xf numFmtId="0" fontId="60" fillId="0" borderId="40" xfId="121" applyFont="1" applyBorder="1" applyAlignment="1">
      <alignment horizontal="center" vertical="center" wrapText="1"/>
    </xf>
    <xf numFmtId="0" fontId="60" fillId="0" borderId="40" xfId="121" applyFont="1" applyBorder="1" applyAlignment="1">
      <alignment vertical="center" wrapText="1"/>
    </xf>
    <xf numFmtId="0" fontId="53" fillId="0" borderId="77" xfId="5" applyFont="1" applyFill="1" applyBorder="1" applyAlignment="1" applyProtection="1">
      <alignment horizontal="center" vertical="center" wrapText="1"/>
    </xf>
    <xf numFmtId="0" fontId="53" fillId="39" borderId="60" xfId="77" applyFont="1" applyFill="1" applyBorder="1" applyAlignment="1" applyProtection="1">
      <alignment horizontal="center" vertical="center" wrapText="1"/>
    </xf>
    <xf numFmtId="0" fontId="53" fillId="39" borderId="60" xfId="77" applyFont="1" applyFill="1" applyBorder="1" applyAlignment="1" applyProtection="1">
      <alignment horizontal="left" vertical="center" wrapText="1"/>
    </xf>
    <xf numFmtId="175" fontId="76" fillId="39" borderId="36" xfId="119" applyNumberFormat="1" applyFont="1" applyFill="1" applyBorder="1" applyAlignment="1">
      <alignment horizontal="center" vertical="center" wrapText="1"/>
    </xf>
    <xf numFmtId="175" fontId="76" fillId="0" borderId="45" xfId="119" applyNumberFormat="1" applyFont="1" applyBorder="1" applyAlignment="1">
      <alignment horizontal="center" vertical="center" wrapText="1"/>
    </xf>
    <xf numFmtId="0" fontId="49" fillId="24" borderId="0" xfId="5" applyFont="1" applyFill="1" applyAlignment="1">
      <alignment horizontal="center" vertical="center"/>
    </xf>
    <xf numFmtId="175" fontId="76" fillId="24" borderId="0" xfId="119" applyNumberFormat="1" applyFont="1" applyFill="1" applyAlignment="1">
      <alignment horizontal="center" vertical="center"/>
    </xf>
    <xf numFmtId="49" fontId="51" fillId="24" borderId="0" xfId="5" applyNumberFormat="1" applyFont="1" applyFill="1" applyAlignment="1">
      <alignment vertical="center"/>
    </xf>
    <xf numFmtId="0" fontId="45" fillId="0" borderId="0" xfId="120" applyFont="1" applyFill="1" applyAlignment="1">
      <alignment vertical="center"/>
    </xf>
    <xf numFmtId="0" fontId="49" fillId="24" borderId="0" xfId="120" applyFont="1" applyFill="1" applyBorder="1" applyAlignment="1">
      <alignment horizontal="center" vertical="center"/>
    </xf>
    <xf numFmtId="175" fontId="70" fillId="24" borderId="0" xfId="119" applyNumberFormat="1" applyFont="1" applyFill="1" applyAlignment="1">
      <alignment horizontal="center" vertical="center"/>
    </xf>
    <xf numFmtId="0" fontId="45" fillId="0" borderId="0" xfId="120" applyFont="1" applyFill="1" applyAlignment="1">
      <alignment horizontal="center" vertical="center"/>
    </xf>
    <xf numFmtId="175" fontId="70" fillId="24" borderId="0" xfId="119" applyNumberFormat="1" applyFont="1" applyFill="1" applyBorder="1" applyAlignment="1">
      <alignment horizontal="center" vertical="center"/>
    </xf>
    <xf numFmtId="49" fontId="51" fillId="24" borderId="0" xfId="5" applyNumberFormat="1" applyFont="1" applyFill="1" applyBorder="1" applyAlignment="1">
      <alignment vertical="center"/>
    </xf>
    <xf numFmtId="0" fontId="51" fillId="24" borderId="0" xfId="120" applyFont="1" applyFill="1" applyBorder="1" applyAlignment="1">
      <alignment horizontal="center" vertical="center"/>
    </xf>
    <xf numFmtId="49" fontId="51" fillId="24" borderId="0" xfId="120" applyNumberFormat="1" applyFont="1" applyFill="1" applyBorder="1" applyAlignment="1">
      <alignment horizontal="center" vertical="center"/>
    </xf>
    <xf numFmtId="0" fontId="49" fillId="24" borderId="0" xfId="120" applyFont="1" applyFill="1" applyBorder="1" applyAlignment="1">
      <alignment horizontal="left" vertical="center"/>
    </xf>
    <xf numFmtId="0" fontId="49" fillId="24" borderId="0" xfId="120" applyFont="1" applyFill="1" applyBorder="1" applyAlignment="1">
      <alignment vertical="center"/>
    </xf>
    <xf numFmtId="0" fontId="51" fillId="24" borderId="0" xfId="120" applyFont="1" applyFill="1" applyBorder="1" applyAlignment="1">
      <alignment vertical="center"/>
    </xf>
    <xf numFmtId="49" fontId="51" fillId="24" borderId="0" xfId="120" applyNumberFormat="1" applyFont="1" applyFill="1" applyBorder="1" applyAlignment="1">
      <alignment vertical="center"/>
    </xf>
    <xf numFmtId="0" fontId="49" fillId="0" borderId="0" xfId="120" applyFont="1" applyFill="1" applyAlignment="1">
      <alignment vertical="center"/>
    </xf>
    <xf numFmtId="0" fontId="73" fillId="24" borderId="0" xfId="120" applyFont="1" applyFill="1" applyAlignment="1">
      <alignment vertical="center"/>
    </xf>
    <xf numFmtId="0" fontId="71" fillId="24" borderId="0" xfId="120" applyFont="1" applyFill="1" applyAlignment="1">
      <alignment vertical="center"/>
    </xf>
    <xf numFmtId="0" fontId="45" fillId="24" borderId="0" xfId="120" applyFont="1" applyFill="1" applyAlignment="1">
      <alignment horizontal="center" vertical="center"/>
    </xf>
    <xf numFmtId="0" fontId="45" fillId="24" borderId="0" xfId="120" applyFont="1" applyFill="1" applyAlignment="1">
      <alignment horizontal="left" vertical="center"/>
    </xf>
    <xf numFmtId="0" fontId="45" fillId="24" borderId="0" xfId="120" applyFont="1" applyFill="1" applyBorder="1" applyAlignment="1">
      <alignment vertical="center"/>
    </xf>
    <xf numFmtId="0" fontId="48" fillId="24" borderId="0" xfId="120" applyFont="1" applyFill="1" applyBorder="1" applyAlignment="1">
      <alignment vertical="center"/>
    </xf>
    <xf numFmtId="49" fontId="48" fillId="24" borderId="0" xfId="120" applyNumberFormat="1" applyFont="1" applyFill="1" applyBorder="1" applyAlignment="1">
      <alignment vertical="center"/>
    </xf>
    <xf numFmtId="0" fontId="45" fillId="23" borderId="0" xfId="120" applyFont="1" applyFill="1" applyAlignment="1">
      <alignment vertical="center"/>
    </xf>
    <xf numFmtId="49" fontId="51" fillId="23" borderId="0" xfId="4" applyNumberFormat="1" applyFont="1" applyFill="1" applyAlignment="1">
      <alignment vertical="center"/>
    </xf>
    <xf numFmtId="0" fontId="49" fillId="24" borderId="0" xfId="4" applyFont="1" applyFill="1" applyAlignment="1">
      <alignment vertical="center"/>
    </xf>
    <xf numFmtId="0" fontId="6" fillId="0" borderId="0" xfId="79" applyFont="1"/>
    <xf numFmtId="1" fontId="4" fillId="25" borderId="78" xfId="5" applyNumberFormat="1" applyFont="1" applyFill="1" applyBorder="1" applyAlignment="1" applyProtection="1">
      <alignment vertical="center" wrapText="1"/>
    </xf>
    <xf numFmtId="1" fontId="4" fillId="25" borderId="16" xfId="5" applyNumberFormat="1" applyFont="1" applyFill="1" applyBorder="1" applyAlignment="1" applyProtection="1">
      <alignment vertical="center" wrapText="1"/>
    </xf>
    <xf numFmtId="1" fontId="4" fillId="25" borderId="15" xfId="5" applyNumberFormat="1" applyFont="1" applyFill="1" applyBorder="1" applyAlignment="1" applyProtection="1">
      <alignment vertical="center" wrapText="1"/>
    </xf>
    <xf numFmtId="4" fontId="4" fillId="25" borderId="14" xfId="5" applyNumberFormat="1" applyFont="1" applyFill="1" applyBorder="1" applyAlignment="1" applyProtection="1">
      <alignment horizontal="left" vertical="center" wrapText="1"/>
    </xf>
    <xf numFmtId="43" fontId="4" fillId="25" borderId="79" xfId="1" applyFont="1" applyFill="1" applyBorder="1" applyAlignment="1" applyProtection="1">
      <alignment horizontal="center" vertical="center" wrapText="1"/>
    </xf>
    <xf numFmtId="0" fontId="4" fillId="25" borderId="79" xfId="5" applyFont="1" applyFill="1" applyBorder="1" applyAlignment="1" applyProtection="1">
      <alignment horizontal="center" vertical="center" wrapText="1"/>
    </xf>
    <xf numFmtId="1" fontId="6" fillId="0" borderId="7" xfId="5" applyNumberFormat="1" applyFont="1" applyFill="1" applyBorder="1" applyAlignment="1" applyProtection="1">
      <alignment horizontal="right" vertical="center"/>
    </xf>
    <xf numFmtId="1" fontId="4" fillId="0" borderId="3" xfId="5" applyNumberFormat="1" applyFont="1" applyFill="1" applyBorder="1" applyAlignment="1" applyProtection="1">
      <alignment horizontal="right" vertical="center"/>
    </xf>
    <xf numFmtId="1" fontId="4" fillId="0" borderId="66" xfId="5" applyNumberFormat="1" applyFont="1" applyFill="1" applyBorder="1" applyAlignment="1" applyProtection="1">
      <alignment horizontal="right" vertical="center"/>
    </xf>
    <xf numFmtId="0" fontId="4" fillId="0" borderId="47" xfId="77" applyFont="1" applyFill="1" applyBorder="1" applyAlignment="1" applyProtection="1">
      <alignment vertical="center" wrapText="1"/>
    </xf>
    <xf numFmtId="43" fontId="6" fillId="0" borderId="40" xfId="1" applyFont="1" applyFill="1" applyBorder="1" applyAlignment="1" applyProtection="1">
      <alignment horizontal="center" vertical="center" wrapText="1"/>
    </xf>
    <xf numFmtId="0" fontId="6" fillId="0" borderId="40" xfId="77" applyFont="1" applyFill="1" applyBorder="1" applyAlignment="1" applyProtection="1">
      <alignment horizontal="center" vertical="center" wrapText="1"/>
    </xf>
    <xf numFmtId="1" fontId="6" fillId="0" borderId="3" xfId="5" applyNumberFormat="1" applyFont="1" applyFill="1" applyBorder="1" applyAlignment="1" applyProtection="1">
      <alignment horizontal="right" vertical="center"/>
    </xf>
    <xf numFmtId="1" fontId="6" fillId="0" borderId="66" xfId="5" applyNumberFormat="1" applyFont="1" applyFill="1" applyBorder="1" applyAlignment="1" applyProtection="1">
      <alignment horizontal="right" vertical="center"/>
    </xf>
    <xf numFmtId="0" fontId="6" fillId="0" borderId="47" xfId="77" applyFont="1" applyFill="1" applyBorder="1" applyAlignment="1" applyProtection="1">
      <alignment vertical="center" wrapText="1"/>
    </xf>
    <xf numFmtId="43" fontId="6" fillId="25" borderId="40" xfId="1" applyFont="1" applyFill="1" applyBorder="1" applyAlignment="1" applyProtection="1">
      <alignment horizontal="center" vertical="center" wrapText="1"/>
    </xf>
    <xf numFmtId="1" fontId="4" fillId="25" borderId="37" xfId="5" applyNumberFormat="1" applyFont="1" applyFill="1" applyBorder="1" applyAlignment="1" applyProtection="1">
      <alignment horizontal="right" vertical="center" wrapText="1"/>
    </xf>
    <xf numFmtId="1" fontId="4" fillId="25" borderId="38" xfId="5" applyNumberFormat="1" applyFont="1" applyFill="1" applyBorder="1" applyAlignment="1" applyProtection="1">
      <alignment horizontal="right" vertical="center" wrapText="1"/>
    </xf>
    <xf numFmtId="1" fontId="4" fillId="25" borderId="80" xfId="5" applyNumberFormat="1" applyFont="1" applyFill="1" applyBorder="1" applyAlignment="1" applyProtection="1">
      <alignment vertical="center" wrapText="1"/>
    </xf>
    <xf numFmtId="0" fontId="4" fillId="25" borderId="48" xfId="5" applyFont="1" applyFill="1" applyBorder="1" applyAlignment="1" applyProtection="1">
      <alignment horizontal="left" vertical="center" wrapText="1"/>
    </xf>
    <xf numFmtId="43" fontId="4" fillId="25" borderId="39" xfId="1" applyFont="1" applyFill="1" applyBorder="1" applyAlignment="1" applyProtection="1">
      <alignment horizontal="center" vertical="center" wrapText="1"/>
    </xf>
    <xf numFmtId="0" fontId="4" fillId="25" borderId="39" xfId="5" applyFont="1" applyFill="1" applyBorder="1" applyAlignment="1" applyProtection="1">
      <alignment horizontal="center" vertical="center" wrapText="1"/>
    </xf>
    <xf numFmtId="1" fontId="6" fillId="0" borderId="12" xfId="5" applyNumberFormat="1" applyFont="1" applyFill="1" applyBorder="1" applyAlignment="1" applyProtection="1">
      <alignment horizontal="right" vertical="center"/>
    </xf>
    <xf numFmtId="1" fontId="6" fillId="0" borderId="77" xfId="5" applyNumberFormat="1" applyFont="1" applyFill="1" applyBorder="1" applyAlignment="1" applyProtection="1">
      <alignment horizontal="right" vertical="center"/>
    </xf>
    <xf numFmtId="1" fontId="4" fillId="0" borderId="12" xfId="5" applyNumberFormat="1" applyFont="1" applyFill="1" applyBorder="1" applyAlignment="1" applyProtection="1">
      <alignment horizontal="right" vertical="center"/>
    </xf>
    <xf numFmtId="1" fontId="4" fillId="0" borderId="77" xfId="5" applyNumberFormat="1" applyFont="1" applyFill="1" applyBorder="1" applyAlignment="1" applyProtection="1">
      <alignment horizontal="right" vertical="center"/>
    </xf>
    <xf numFmtId="1" fontId="6" fillId="0" borderId="42" xfId="5" applyNumberFormat="1" applyFont="1" applyFill="1" applyBorder="1" applyAlignment="1" applyProtection="1">
      <alignment horizontal="right" vertical="center"/>
    </xf>
    <xf numFmtId="0" fontId="4" fillId="0" borderId="9" xfId="77" applyFont="1" applyFill="1" applyBorder="1" applyAlignment="1" applyProtection="1">
      <alignment vertical="center" wrapText="1"/>
    </xf>
    <xf numFmtId="43" fontId="6" fillId="0" borderId="81" xfId="1" applyFont="1" applyFill="1" applyBorder="1" applyAlignment="1" applyProtection="1">
      <alignment horizontal="center" vertical="center" wrapText="1"/>
    </xf>
    <xf numFmtId="0" fontId="6" fillId="0" borderId="81" xfId="77" applyFont="1" applyFill="1" applyBorder="1" applyAlignment="1" applyProtection="1">
      <alignment horizontal="center" vertical="center" wrapText="1"/>
    </xf>
    <xf numFmtId="1" fontId="4" fillId="25" borderId="7" xfId="5" applyNumberFormat="1" applyFont="1" applyFill="1" applyBorder="1" applyAlignment="1" applyProtection="1">
      <alignment horizontal="right" vertical="center" wrapText="1"/>
    </xf>
    <xf numFmtId="1" fontId="4" fillId="25" borderId="3" xfId="5" applyNumberFormat="1" applyFont="1" applyFill="1" applyBorder="1" applyAlignment="1" applyProtection="1">
      <alignment horizontal="right" vertical="center" wrapText="1"/>
    </xf>
    <xf numFmtId="1" fontId="4" fillId="25" borderId="18" xfId="5" applyNumberFormat="1" applyFont="1" applyFill="1" applyBorder="1" applyAlignment="1" applyProtection="1">
      <alignment vertical="center" wrapText="1"/>
    </xf>
    <xf numFmtId="0" fontId="4" fillId="25" borderId="1" xfId="5" applyFont="1" applyFill="1" applyBorder="1" applyAlignment="1" applyProtection="1">
      <alignment horizontal="left" vertical="center" wrapText="1"/>
    </xf>
    <xf numFmtId="43" fontId="4" fillId="25" borderId="40" xfId="1" applyFont="1" applyFill="1" applyBorder="1" applyAlignment="1" applyProtection="1">
      <alignment horizontal="center" vertical="center" wrapText="1"/>
    </xf>
    <xf numFmtId="0" fontId="4" fillId="25" borderId="40" xfId="5" applyFont="1" applyFill="1" applyBorder="1" applyAlignment="1" applyProtection="1">
      <alignment horizontal="center" vertical="center" wrapText="1"/>
    </xf>
    <xf numFmtId="0" fontId="4" fillId="0" borderId="47" xfId="5" applyFont="1" applyFill="1" applyBorder="1" applyAlignment="1" applyProtection="1">
      <alignment horizontal="left" vertical="center" wrapText="1"/>
    </xf>
    <xf numFmtId="1" fontId="4" fillId="25" borderId="80" xfId="5" applyNumberFormat="1" applyFont="1" applyFill="1" applyBorder="1" applyAlignment="1" applyProtection="1">
      <alignment horizontal="right" vertical="center" wrapText="1"/>
    </xf>
    <xf numFmtId="43" fontId="6" fillId="25" borderId="39" xfId="1" applyFont="1" applyFill="1" applyBorder="1" applyAlignment="1" applyProtection="1">
      <alignment horizontal="center" vertical="center" wrapText="1"/>
    </xf>
    <xf numFmtId="1" fontId="4" fillId="0" borderId="3" xfId="77" applyNumberFormat="1" applyFont="1" applyFill="1" applyBorder="1" applyAlignment="1" applyProtection="1">
      <alignment horizontal="right" vertical="center" wrapText="1"/>
    </xf>
    <xf numFmtId="1" fontId="4" fillId="0" borderId="66" xfId="77" applyNumberFormat="1" applyFont="1" applyFill="1" applyBorder="1" applyAlignment="1" applyProtection="1">
      <alignment horizontal="right" vertical="center" wrapText="1"/>
    </xf>
    <xf numFmtId="1" fontId="6" fillId="0" borderId="38" xfId="5" applyNumberFormat="1" applyFont="1" applyFill="1" applyBorder="1" applyAlignment="1" applyProtection="1">
      <alignment horizontal="right" vertical="center"/>
    </xf>
    <xf numFmtId="1" fontId="6" fillId="0" borderId="3" xfId="5" applyNumberFormat="1" applyFont="1" applyFill="1" applyBorder="1" applyAlignment="1">
      <alignment horizontal="right" vertical="center"/>
    </xf>
    <xf numFmtId="1" fontId="6" fillId="0" borderId="66" xfId="5" applyNumberFormat="1" applyFont="1" applyFill="1" applyBorder="1" applyAlignment="1">
      <alignment horizontal="right" vertical="center"/>
    </xf>
    <xf numFmtId="1" fontId="4" fillId="0" borderId="3" xfId="5" applyNumberFormat="1" applyFont="1" applyFill="1" applyBorder="1" applyAlignment="1">
      <alignment horizontal="right" vertical="center"/>
    </xf>
    <xf numFmtId="1" fontId="4" fillId="0" borderId="66" xfId="5" applyNumberFormat="1" applyFont="1" applyFill="1" applyBorder="1" applyAlignment="1">
      <alignment horizontal="right" vertical="center"/>
    </xf>
    <xf numFmtId="43" fontId="6" fillId="0" borderId="40" xfId="1" applyFont="1" applyFill="1" applyBorder="1" applyAlignment="1" applyProtection="1">
      <alignment horizontal="center" vertical="center"/>
    </xf>
    <xf numFmtId="43" fontId="6" fillId="25" borderId="40" xfId="1" applyFont="1" applyFill="1" applyBorder="1" applyAlignment="1" applyProtection="1">
      <alignment horizontal="center" vertical="center"/>
    </xf>
    <xf numFmtId="43" fontId="6" fillId="25" borderId="39" xfId="1" applyFont="1" applyFill="1" applyBorder="1" applyAlignment="1" applyProtection="1">
      <alignment horizontal="center" vertical="center"/>
    </xf>
    <xf numFmtId="0" fontId="6" fillId="0" borderId="39" xfId="77" applyFont="1" applyFill="1" applyBorder="1" applyAlignment="1" applyProtection="1">
      <alignment horizontal="center" vertical="center" wrapText="1"/>
    </xf>
    <xf numFmtId="43" fontId="6" fillId="25" borderId="40" xfId="1" applyFont="1" applyFill="1" applyBorder="1" applyAlignment="1">
      <alignment horizontal="center" vertical="center"/>
    </xf>
    <xf numFmtId="43" fontId="6" fillId="0" borderId="40" xfId="1" applyFont="1" applyFill="1" applyBorder="1" applyAlignment="1">
      <alignment horizontal="center" vertical="center"/>
    </xf>
    <xf numFmtId="1" fontId="4" fillId="0" borderId="2" xfId="5" applyNumberFormat="1" applyFont="1" applyFill="1" applyBorder="1" applyAlignment="1">
      <alignment horizontal="right" vertical="center"/>
    </xf>
    <xf numFmtId="0" fontId="4" fillId="0" borderId="40" xfId="77" applyFont="1" applyFill="1" applyBorder="1" applyAlignment="1" applyProtection="1">
      <alignment vertical="center" wrapText="1"/>
    </xf>
    <xf numFmtId="1" fontId="6" fillId="0" borderId="38" xfId="5" applyNumberFormat="1" applyFont="1" applyFill="1" applyBorder="1" applyAlignment="1">
      <alignment horizontal="right" vertical="center"/>
    </xf>
    <xf numFmtId="1" fontId="6" fillId="0" borderId="46" xfId="5" applyNumberFormat="1" applyFont="1" applyFill="1" applyBorder="1" applyAlignment="1">
      <alignment horizontal="right" vertical="center"/>
    </xf>
    <xf numFmtId="0" fontId="6" fillId="0" borderId="39" xfId="77" applyFont="1" applyFill="1" applyBorder="1" applyAlignment="1" applyProtection="1">
      <alignment vertical="center" wrapText="1"/>
    </xf>
    <xf numFmtId="1" fontId="4" fillId="0" borderId="38" xfId="5" applyNumberFormat="1" applyFont="1" applyFill="1" applyBorder="1" applyAlignment="1">
      <alignment horizontal="right" vertical="center"/>
    </xf>
    <xf numFmtId="1" fontId="4" fillId="0" borderId="46" xfId="5" applyNumberFormat="1" applyFont="1" applyFill="1" applyBorder="1" applyAlignment="1">
      <alignment horizontal="right" vertical="center"/>
    </xf>
    <xf numFmtId="0" fontId="4" fillId="0" borderId="39" xfId="77" applyFont="1" applyFill="1" applyBorder="1" applyAlignment="1" applyProtection="1">
      <alignment vertical="center" wrapText="1"/>
    </xf>
    <xf numFmtId="0" fontId="6" fillId="25" borderId="39" xfId="5" applyFont="1" applyFill="1" applyBorder="1" applyAlignment="1" applyProtection="1">
      <alignment horizontal="center" vertical="center" wrapText="1"/>
    </xf>
    <xf numFmtId="1" fontId="6" fillId="0" borderId="7" xfId="5" applyNumberFormat="1" applyFont="1" applyFill="1" applyBorder="1" applyAlignment="1">
      <alignment horizontal="right" vertical="center"/>
    </xf>
    <xf numFmtId="43" fontId="6" fillId="0" borderId="81" xfId="1" applyFont="1" applyFill="1" applyBorder="1" applyAlignment="1" applyProtection="1">
      <alignment horizontal="center" vertical="center"/>
    </xf>
    <xf numFmtId="4" fontId="6" fillId="0" borderId="40" xfId="77" applyNumberFormat="1" applyFont="1" applyFill="1" applyBorder="1" applyAlignment="1" applyProtection="1">
      <alignment horizontal="center" vertical="center" wrapText="1"/>
    </xf>
    <xf numFmtId="1" fontId="4" fillId="39" borderId="37" xfId="5" applyNumberFormat="1" applyFont="1" applyFill="1" applyBorder="1" applyAlignment="1" applyProtection="1">
      <alignment horizontal="right" vertical="center" wrapText="1"/>
    </xf>
    <xf numFmtId="1" fontId="4" fillId="39" borderId="38" xfId="5" applyNumberFormat="1" applyFont="1" applyFill="1" applyBorder="1" applyAlignment="1" applyProtection="1">
      <alignment horizontal="right" vertical="center" wrapText="1"/>
    </xf>
    <xf numFmtId="1" fontId="4" fillId="39" borderId="80" xfId="5" applyNumberFormat="1" applyFont="1" applyFill="1" applyBorder="1" applyAlignment="1" applyProtection="1">
      <alignment vertical="center" wrapText="1"/>
    </xf>
    <xf numFmtId="0" fontId="4" fillId="39" borderId="48" xfId="5" applyFont="1" applyFill="1" applyBorder="1" applyAlignment="1" applyProtection="1">
      <alignment horizontal="left" vertical="center" wrapText="1"/>
    </xf>
    <xf numFmtId="43" fontId="4" fillId="39" borderId="39" xfId="1" applyFont="1" applyFill="1" applyBorder="1" applyAlignment="1" applyProtection="1">
      <alignment horizontal="center" vertical="center"/>
    </xf>
    <xf numFmtId="0" fontId="4" fillId="39" borderId="39" xfId="5" applyFont="1" applyFill="1" applyBorder="1" applyAlignment="1" applyProtection="1">
      <alignment horizontal="center" vertical="center" wrapText="1"/>
    </xf>
    <xf numFmtId="1" fontId="6" fillId="0" borderId="43" xfId="5" applyNumberFormat="1" applyFont="1" applyFill="1" applyBorder="1" applyAlignment="1">
      <alignment horizontal="right" vertical="center"/>
    </xf>
    <xf numFmtId="1" fontId="6" fillId="0" borderId="44" xfId="5" applyNumberFormat="1" applyFont="1" applyFill="1" applyBorder="1" applyAlignment="1">
      <alignment horizontal="right" vertical="center"/>
    </xf>
    <xf numFmtId="1" fontId="4" fillId="0" borderId="44" xfId="5" applyNumberFormat="1" applyFont="1" applyFill="1" applyBorder="1" applyAlignment="1" applyProtection="1">
      <alignment horizontal="right" vertical="center"/>
    </xf>
    <xf numFmtId="1" fontId="4" fillId="0" borderId="68" xfId="5" applyNumberFormat="1" applyFont="1" applyFill="1" applyBorder="1" applyAlignment="1" applyProtection="1">
      <alignment horizontal="right" vertical="center"/>
    </xf>
    <xf numFmtId="0" fontId="4" fillId="0" borderId="19" xfId="77" applyFont="1" applyFill="1" applyBorder="1" applyAlignment="1" applyProtection="1">
      <alignment vertical="center" wrapText="1"/>
    </xf>
    <xf numFmtId="43" fontId="6" fillId="0" borderId="45" xfId="1" applyFont="1" applyFill="1" applyBorder="1" applyAlignment="1" applyProtection="1">
      <alignment horizontal="center" vertical="center"/>
    </xf>
    <xf numFmtId="0" fontId="6" fillId="0" borderId="45" xfId="77" applyFont="1" applyFill="1" applyBorder="1" applyAlignment="1" applyProtection="1">
      <alignment horizontal="center" vertical="center" wrapText="1"/>
    </xf>
    <xf numFmtId="43" fontId="6" fillId="0" borderId="0" xfId="1" applyFont="1" applyFill="1" applyAlignment="1">
      <alignment horizontal="center" vertical="center"/>
    </xf>
    <xf numFmtId="43" fontId="6" fillId="0" borderId="0" xfId="1" applyFont="1"/>
    <xf numFmtId="1" fontId="4" fillId="25" borderId="21" xfId="5" applyNumberFormat="1" applyFont="1" applyFill="1" applyBorder="1" applyAlignment="1" applyProtection="1">
      <alignment horizontal="right" vertical="center"/>
      <protection locked="0"/>
    </xf>
    <xf numFmtId="1" fontId="4" fillId="25" borderId="22" xfId="5" applyNumberFormat="1" applyFont="1" applyFill="1" applyBorder="1" applyAlignment="1" applyProtection="1">
      <alignment horizontal="right" vertical="center"/>
      <protection locked="0"/>
    </xf>
    <xf numFmtId="1" fontId="4" fillId="25" borderId="22" xfId="5" applyNumberFormat="1" applyFont="1" applyFill="1" applyBorder="1" applyAlignment="1" applyProtection="1">
      <alignment horizontal="right" vertical="top"/>
      <protection locked="0"/>
    </xf>
    <xf numFmtId="1" fontId="4" fillId="25" borderId="23" xfId="5" applyNumberFormat="1" applyFont="1" applyFill="1" applyBorder="1" applyAlignment="1" applyProtection="1">
      <alignment horizontal="right" vertical="top"/>
      <protection locked="0"/>
    </xf>
    <xf numFmtId="0" fontId="4" fillId="25" borderId="22" xfId="5" applyFont="1" applyFill="1" applyBorder="1" applyAlignment="1" applyProtection="1">
      <alignment horizontal="left" vertical="center" wrapText="1"/>
    </xf>
    <xf numFmtId="43" fontId="4" fillId="25" borderId="35" xfId="1" applyFont="1" applyFill="1" applyBorder="1" applyAlignment="1" applyProtection="1">
      <alignment horizontal="center" vertical="center"/>
    </xf>
    <xf numFmtId="0" fontId="4" fillId="25" borderId="35" xfId="5" applyFont="1" applyFill="1" applyBorder="1" applyAlignment="1" applyProtection="1">
      <alignment horizontal="center" vertical="center" wrapText="1"/>
    </xf>
    <xf numFmtId="1" fontId="6" fillId="0" borderId="37" xfId="5" applyNumberFormat="1" applyFont="1" applyFill="1" applyBorder="1" applyAlignment="1" applyProtection="1">
      <alignment horizontal="right" vertical="center"/>
      <protection locked="0"/>
    </xf>
    <xf numFmtId="1" fontId="4" fillId="0" borderId="38" xfId="5" applyNumberFormat="1" applyFont="1" applyFill="1" applyBorder="1" applyAlignment="1" applyProtection="1">
      <alignment horizontal="right" vertical="center"/>
      <protection locked="0"/>
    </xf>
    <xf numFmtId="1" fontId="6" fillId="0" borderId="38" xfId="5" applyNumberFormat="1" applyFont="1" applyFill="1" applyBorder="1" applyAlignment="1" applyProtection="1">
      <alignment horizontal="right" vertical="center"/>
      <protection locked="0"/>
    </xf>
    <xf numFmtId="1" fontId="6" fillId="0" borderId="46" xfId="5" applyNumberFormat="1" applyFont="1" applyFill="1" applyBorder="1" applyAlignment="1" applyProtection="1">
      <alignment horizontal="right" vertical="center"/>
      <protection locked="0"/>
    </xf>
    <xf numFmtId="43" fontId="6" fillId="0" borderId="39" xfId="1" applyFont="1" applyFill="1" applyBorder="1" applyAlignment="1" applyProtection="1">
      <alignment horizontal="center" vertical="center"/>
    </xf>
    <xf numFmtId="1" fontId="6" fillId="0" borderId="3" xfId="5" applyNumberFormat="1" applyFont="1" applyFill="1" applyBorder="1" applyAlignment="1" applyProtection="1">
      <alignment horizontal="right" vertical="center"/>
      <protection locked="0"/>
    </xf>
    <xf numFmtId="1" fontId="6" fillId="0" borderId="2" xfId="5" applyNumberFormat="1" applyFont="1" applyFill="1" applyBorder="1" applyAlignment="1" applyProtection="1">
      <alignment horizontal="right" vertical="center"/>
      <protection locked="0"/>
    </xf>
    <xf numFmtId="0" fontId="6" fillId="0" borderId="40" xfId="77" applyFont="1" applyFill="1" applyBorder="1" applyAlignment="1" applyProtection="1">
      <alignment vertical="center" wrapText="1"/>
    </xf>
    <xf numFmtId="1" fontId="4" fillId="0" borderId="3" xfId="5" applyNumberFormat="1" applyFont="1" applyFill="1" applyBorder="1" applyAlignment="1" applyProtection="1">
      <alignment horizontal="right" vertical="center"/>
      <protection locked="0"/>
    </xf>
    <xf numFmtId="1" fontId="4" fillId="0" borderId="2" xfId="5" applyNumberFormat="1" applyFont="1" applyFill="1" applyBorder="1" applyAlignment="1" applyProtection="1">
      <alignment horizontal="right" vertical="center"/>
      <protection locked="0"/>
    </xf>
    <xf numFmtId="0" fontId="4" fillId="0" borderId="40" xfId="5" applyFont="1" applyFill="1" applyBorder="1" applyAlignment="1" applyProtection="1">
      <alignment horizontal="left" vertical="center" wrapText="1"/>
    </xf>
    <xf numFmtId="1" fontId="6" fillId="0" borderId="78" xfId="5" applyNumberFormat="1" applyFont="1" applyFill="1" applyBorder="1" applyAlignment="1" applyProtection="1">
      <alignment horizontal="right" vertical="center"/>
      <protection locked="0"/>
    </xf>
    <xf numFmtId="1" fontId="4" fillId="0" borderId="12" xfId="5" applyNumberFormat="1" applyFont="1" applyFill="1" applyBorder="1" applyAlignment="1" applyProtection="1">
      <alignment horizontal="right" vertical="center"/>
      <protection locked="0"/>
    </xf>
    <xf numFmtId="1" fontId="4" fillId="0" borderId="10" xfId="5" applyNumberFormat="1" applyFont="1" applyFill="1" applyBorder="1" applyAlignment="1" applyProtection="1">
      <alignment horizontal="right" vertical="center"/>
      <protection locked="0"/>
    </xf>
    <xf numFmtId="0" fontId="4" fillId="0" borderId="81" xfId="77" applyFont="1" applyFill="1" applyBorder="1" applyAlignment="1" applyProtection="1">
      <alignment vertical="center" wrapText="1"/>
    </xf>
    <xf numFmtId="1" fontId="4" fillId="25" borderId="7" xfId="5" applyNumberFormat="1" applyFont="1" applyFill="1" applyBorder="1" applyAlignment="1" applyProtection="1">
      <alignment horizontal="right" vertical="center"/>
      <protection locked="0"/>
    </xf>
    <xf numFmtId="1" fontId="4" fillId="25" borderId="3" xfId="5" applyNumberFormat="1" applyFont="1" applyFill="1" applyBorder="1" applyAlignment="1" applyProtection="1">
      <alignment horizontal="right" vertical="center"/>
      <protection locked="0"/>
    </xf>
    <xf numFmtId="1" fontId="4" fillId="25" borderId="2" xfId="5" applyNumberFormat="1" applyFont="1" applyFill="1" applyBorder="1" applyAlignment="1" applyProtection="1">
      <alignment horizontal="right" vertical="center"/>
      <protection locked="0"/>
    </xf>
    <xf numFmtId="0" fontId="4" fillId="25" borderId="40" xfId="5" applyFont="1" applyFill="1" applyBorder="1" applyAlignment="1" applyProtection="1">
      <alignment horizontal="left" vertical="center" wrapText="1"/>
    </xf>
    <xf numFmtId="43" fontId="4" fillId="25" borderId="40" xfId="1" applyFont="1" applyFill="1" applyBorder="1" applyAlignment="1" applyProtection="1">
      <alignment horizontal="center" vertical="center"/>
    </xf>
    <xf numFmtId="0" fontId="6" fillId="0" borderId="40" xfId="5" applyFont="1" applyFill="1" applyBorder="1" applyAlignment="1" applyProtection="1">
      <alignment horizontal="left" vertical="center" wrapText="1"/>
    </xf>
    <xf numFmtId="43" fontId="15" fillId="25" borderId="40" xfId="1" applyFont="1" applyFill="1" applyBorder="1" applyAlignment="1" applyProtection="1">
      <alignment horizontal="center" vertical="center"/>
    </xf>
    <xf numFmtId="0" fontId="79" fillId="0" borderId="0" xfId="4" applyFont="1" applyFill="1" applyAlignment="1">
      <alignment vertical="center"/>
    </xf>
    <xf numFmtId="1" fontId="4" fillId="0" borderId="46" xfId="5" applyNumberFormat="1" applyFont="1" applyFill="1" applyBorder="1" applyAlignment="1" applyProtection="1">
      <alignment horizontal="right" vertical="center"/>
      <protection locked="0"/>
    </xf>
    <xf numFmtId="1" fontId="4" fillId="25" borderId="37" xfId="5" applyNumberFormat="1" applyFont="1" applyFill="1" applyBorder="1" applyAlignment="1" applyProtection="1">
      <alignment horizontal="right" vertical="center"/>
      <protection locked="0"/>
    </xf>
    <xf numFmtId="1" fontId="4" fillId="25" borderId="38" xfId="5" applyNumberFormat="1" applyFont="1" applyFill="1" applyBorder="1" applyAlignment="1" applyProtection="1">
      <alignment horizontal="right" vertical="center"/>
      <protection locked="0"/>
    </xf>
    <xf numFmtId="1" fontId="4" fillId="25" borderId="46" xfId="5" applyNumberFormat="1" applyFont="1" applyFill="1" applyBorder="1" applyAlignment="1" applyProtection="1">
      <alignment horizontal="right" vertical="center"/>
      <protection locked="0"/>
    </xf>
    <xf numFmtId="0" fontId="4" fillId="25" borderId="39" xfId="5" applyFont="1" applyFill="1" applyBorder="1" applyAlignment="1" applyProtection="1">
      <alignment horizontal="left" vertical="center" wrapText="1"/>
    </xf>
    <xf numFmtId="1" fontId="6" fillId="0" borderId="12" xfId="5" applyNumberFormat="1" applyFont="1" applyFill="1" applyBorder="1" applyAlignment="1" applyProtection="1">
      <alignment horizontal="right" vertical="center"/>
      <protection locked="0"/>
    </xf>
    <xf numFmtId="1" fontId="6" fillId="0" borderId="10" xfId="5" applyNumberFormat="1" applyFont="1" applyFill="1" applyBorder="1" applyAlignment="1" applyProtection="1">
      <alignment horizontal="right" vertical="center"/>
      <protection locked="0"/>
    </xf>
    <xf numFmtId="0" fontId="6" fillId="0" borderId="81" xfId="77" applyFont="1" applyFill="1" applyBorder="1" applyAlignment="1" applyProtection="1">
      <alignment vertical="center" wrapText="1"/>
    </xf>
    <xf numFmtId="1" fontId="6" fillId="0" borderId="7" xfId="5" applyNumberFormat="1" applyFont="1" applyFill="1" applyBorder="1" applyAlignment="1" applyProtection="1">
      <alignment horizontal="right" vertical="center"/>
      <protection locked="0"/>
    </xf>
    <xf numFmtId="1" fontId="4" fillId="0" borderId="37" xfId="5" applyNumberFormat="1" applyFont="1" applyFill="1" applyBorder="1" applyAlignment="1" applyProtection="1">
      <alignment horizontal="right" vertical="center"/>
      <protection locked="0"/>
    </xf>
    <xf numFmtId="0" fontId="4" fillId="0" borderId="39" xfId="5" applyFont="1" applyFill="1" applyBorder="1" applyAlignment="1" applyProtection="1">
      <alignment horizontal="left" vertical="center" wrapText="1"/>
    </xf>
    <xf numFmtId="1" fontId="6" fillId="0" borderId="18" xfId="5" applyNumberFormat="1" applyFont="1" applyFill="1" applyBorder="1" applyAlignment="1" applyProtection="1">
      <alignment horizontal="right" vertical="center"/>
      <protection locked="0"/>
    </xf>
    <xf numFmtId="1" fontId="4" fillId="0" borderId="18" xfId="5" applyNumberFormat="1" applyFont="1" applyFill="1" applyBorder="1" applyAlignment="1" applyProtection="1">
      <alignment horizontal="right" vertical="center"/>
      <protection locked="0"/>
    </xf>
    <xf numFmtId="1" fontId="6" fillId="0" borderId="42" xfId="5" applyNumberFormat="1" applyFont="1" applyFill="1" applyBorder="1" applyAlignment="1" applyProtection="1">
      <alignment horizontal="right" vertical="center"/>
      <protection locked="0"/>
    </xf>
    <xf numFmtId="1" fontId="4" fillId="0" borderId="13" xfId="5" applyNumberFormat="1" applyFont="1" applyFill="1" applyBorder="1" applyAlignment="1" applyProtection="1">
      <alignment horizontal="right" vertical="center"/>
      <protection locked="0"/>
    </xf>
    <xf numFmtId="1" fontId="4" fillId="39" borderId="42" xfId="5" applyNumberFormat="1" applyFont="1" applyFill="1" applyBorder="1" applyAlignment="1" applyProtection="1">
      <alignment horizontal="right" vertical="center"/>
      <protection locked="0"/>
    </xf>
    <xf numFmtId="1" fontId="4" fillId="39" borderId="12" xfId="5" applyNumberFormat="1" applyFont="1" applyFill="1" applyBorder="1" applyAlignment="1" applyProtection="1">
      <alignment horizontal="right" vertical="center"/>
      <protection locked="0"/>
    </xf>
    <xf numFmtId="1" fontId="4" fillId="39" borderId="10" xfId="5" applyNumberFormat="1" applyFont="1" applyFill="1" applyBorder="1" applyAlignment="1" applyProtection="1">
      <alignment horizontal="right" vertical="center"/>
      <protection locked="0"/>
    </xf>
    <xf numFmtId="0" fontId="4" fillId="39" borderId="81" xfId="77" applyFont="1" applyFill="1" applyBorder="1" applyAlignment="1" applyProtection="1">
      <alignment vertical="center" wrapText="1"/>
    </xf>
    <xf numFmtId="43" fontId="4" fillId="39" borderId="81" xfId="1" applyFont="1" applyFill="1" applyBorder="1" applyAlignment="1" applyProtection="1">
      <alignment horizontal="center" vertical="center"/>
    </xf>
    <xf numFmtId="0" fontId="4" fillId="39" borderId="81" xfId="77" applyFont="1" applyFill="1" applyBorder="1" applyAlignment="1" applyProtection="1">
      <alignment horizontal="center" vertical="center" wrapText="1"/>
    </xf>
    <xf numFmtId="178" fontId="6" fillId="0" borderId="40" xfId="122" applyNumberFormat="1" applyFont="1" applyFill="1" applyBorder="1" applyAlignment="1" applyProtection="1">
      <alignment horizontal="center" vertical="center" wrapText="1"/>
    </xf>
    <xf numFmtId="1" fontId="6" fillId="0" borderId="43" xfId="5" applyNumberFormat="1" applyFont="1" applyFill="1" applyBorder="1" applyAlignment="1" applyProtection="1">
      <alignment horizontal="right" vertical="center"/>
      <protection locked="0"/>
    </xf>
    <xf numFmtId="1" fontId="6" fillId="0" borderId="44" xfId="5" applyNumberFormat="1" applyFont="1" applyFill="1" applyBorder="1" applyAlignment="1" applyProtection="1">
      <alignment horizontal="right" vertical="center"/>
      <protection locked="0"/>
    </xf>
    <xf numFmtId="1" fontId="4" fillId="0" borderId="44" xfId="5" applyNumberFormat="1" applyFont="1" applyFill="1" applyBorder="1" applyAlignment="1" applyProtection="1">
      <alignment horizontal="right" vertical="center"/>
      <protection locked="0"/>
    </xf>
    <xf numFmtId="1" fontId="4" fillId="0" borderId="20" xfId="5" applyNumberFormat="1" applyFont="1" applyFill="1" applyBorder="1" applyAlignment="1" applyProtection="1">
      <alignment horizontal="right" vertical="center"/>
      <protection locked="0"/>
    </xf>
    <xf numFmtId="0" fontId="4" fillId="0" borderId="45" xfId="5" applyFont="1" applyFill="1" applyBorder="1" applyAlignment="1" applyProtection="1">
      <alignment horizontal="left" vertical="center" wrapText="1"/>
    </xf>
    <xf numFmtId="178" fontId="6" fillId="0" borderId="45" xfId="122" applyNumberFormat="1" applyFont="1" applyFill="1" applyBorder="1" applyAlignment="1" applyProtection="1">
      <alignment horizontal="center" vertical="center" wrapText="1"/>
    </xf>
    <xf numFmtId="43" fontId="6" fillId="0" borderId="0" xfId="1" applyFont="1" applyFill="1" applyBorder="1" applyAlignment="1" applyProtection="1">
      <alignment horizontal="center" vertical="center"/>
    </xf>
    <xf numFmtId="0" fontId="80" fillId="0" borderId="0" xfId="79" applyFont="1"/>
    <xf numFmtId="43" fontId="80" fillId="0" borderId="0" xfId="1" applyFont="1" applyAlignment="1"/>
    <xf numFmtId="43" fontId="6" fillId="25" borderId="39" xfId="1" applyFont="1" applyFill="1" applyBorder="1" applyAlignment="1">
      <alignment horizontal="center" vertical="center"/>
    </xf>
    <xf numFmtId="43" fontId="6" fillId="0" borderId="39" xfId="1" applyFont="1" applyFill="1" applyBorder="1" applyAlignment="1">
      <alignment horizontal="center" vertical="center"/>
    </xf>
    <xf numFmtId="0" fontId="5" fillId="0" borderId="0" xfId="80"/>
    <xf numFmtId="0" fontId="83" fillId="5" borderId="83" xfId="123" applyNumberFormat="1" applyFont="1" applyFill="1" applyBorder="1" applyAlignment="1">
      <alignment horizontal="right" vertical="center"/>
    </xf>
    <xf numFmtId="0" fontId="85" fillId="40" borderId="83" xfId="123" applyFont="1" applyFill="1" applyBorder="1" applyAlignment="1">
      <alignment vertical="center"/>
    </xf>
    <xf numFmtId="0" fontId="85" fillId="40" borderId="83" xfId="123" applyFont="1" applyFill="1" applyBorder="1" applyAlignment="1">
      <alignment horizontal="center" vertical="center"/>
    </xf>
    <xf numFmtId="0" fontId="85" fillId="0" borderId="83" xfId="123" applyFont="1" applyFill="1" applyBorder="1" applyAlignment="1">
      <alignment vertical="center"/>
    </xf>
    <xf numFmtId="0" fontId="88" fillId="7" borderId="83" xfId="123" applyFont="1" applyFill="1" applyBorder="1" applyAlignment="1">
      <alignment horizontal="left" vertical="center"/>
    </xf>
    <xf numFmtId="0" fontId="83" fillId="0" borderId="83" xfId="123" applyFont="1" applyFill="1" applyBorder="1" applyAlignment="1">
      <alignment vertical="center"/>
    </xf>
    <xf numFmtId="0" fontId="83" fillId="0" borderId="83" xfId="123" applyFont="1" applyFill="1" applyBorder="1" applyAlignment="1">
      <alignment horizontal="left" vertical="center"/>
    </xf>
    <xf numFmtId="37" fontId="85" fillId="40" borderId="83" xfId="124" applyNumberFormat="1" applyFont="1" applyFill="1" applyBorder="1" applyAlignment="1">
      <alignment horizontal="center" vertical="center"/>
    </xf>
    <xf numFmtId="3" fontId="5" fillId="0" borderId="0" xfId="80" applyNumberFormat="1"/>
    <xf numFmtId="4" fontId="5" fillId="0" borderId="0" xfId="80" applyNumberFormat="1"/>
    <xf numFmtId="0" fontId="91" fillId="0" borderId="83" xfId="123" applyFont="1" applyFill="1" applyBorder="1" applyAlignment="1">
      <alignment vertical="center"/>
    </xf>
    <xf numFmtId="3" fontId="5" fillId="0" borderId="0" xfId="80" applyNumberFormat="1" applyFont="1"/>
    <xf numFmtId="0" fontId="92" fillId="14" borderId="83" xfId="123" applyFont="1" applyFill="1" applyBorder="1" applyAlignment="1">
      <alignment vertical="center"/>
    </xf>
    <xf numFmtId="0" fontId="93" fillId="0" borderId="83" xfId="123" applyFont="1" applyBorder="1" applyAlignment="1">
      <alignment vertical="center"/>
    </xf>
    <xf numFmtId="0" fontId="91" fillId="0" borderId="83" xfId="123" applyFont="1" applyFill="1" applyBorder="1" applyAlignment="1">
      <alignment horizontal="left" vertical="center" wrapText="1"/>
    </xf>
    <xf numFmtId="0" fontId="91" fillId="0" borderId="83" xfId="123" applyFont="1" applyFill="1" applyBorder="1" applyAlignment="1">
      <alignment horizontal="left" vertical="center"/>
    </xf>
    <xf numFmtId="0" fontId="5" fillId="0" borderId="0" xfId="80" applyFont="1" applyFill="1" applyAlignment="1">
      <alignment horizontal="right"/>
    </xf>
    <xf numFmtId="0" fontId="85" fillId="0" borderId="83" xfId="123" applyFont="1" applyFill="1" applyBorder="1" applyAlignment="1">
      <alignment horizontal="left" vertical="center"/>
    </xf>
    <xf numFmtId="0" fontId="85" fillId="0" borderId="83" xfId="123" applyFont="1" applyBorder="1" applyAlignment="1">
      <alignment vertical="center" wrapText="1"/>
    </xf>
    <xf numFmtId="0" fontId="83" fillId="0" borderId="83" xfId="123" applyFont="1" applyBorder="1" applyAlignment="1">
      <alignment vertical="center"/>
    </xf>
    <xf numFmtId="0" fontId="87" fillId="0" borderId="83" xfId="123" applyFont="1" applyFill="1" applyBorder="1" applyAlignment="1">
      <alignment horizontal="center" vertical="center"/>
    </xf>
    <xf numFmtId="0" fontId="83" fillId="0" borderId="83" xfId="123" applyFont="1" applyFill="1" applyBorder="1" applyAlignment="1">
      <alignment horizontal="center" vertical="center"/>
    </xf>
    <xf numFmtId="0" fontId="85" fillId="0" borderId="84" xfId="123" applyFont="1" applyFill="1" applyBorder="1" applyAlignment="1">
      <alignment horizontal="left" vertical="center"/>
    </xf>
    <xf numFmtId="0" fontId="85" fillId="0" borderId="84" xfId="123" applyFont="1" applyFill="1" applyBorder="1" applyAlignment="1">
      <alignment horizontal="center" vertical="center"/>
    </xf>
    <xf numFmtId="0" fontId="95" fillId="0" borderId="0" xfId="80" applyFont="1"/>
    <xf numFmtId="3" fontId="95" fillId="0" borderId="0" xfId="80" applyNumberFormat="1" applyFont="1"/>
    <xf numFmtId="0" fontId="95" fillId="0" borderId="0" xfId="80" quotePrefix="1" applyFont="1"/>
    <xf numFmtId="0" fontId="53" fillId="0" borderId="6" xfId="5" applyFont="1" applyFill="1" applyBorder="1" applyAlignment="1" applyProtection="1">
      <alignment horizontal="center" vertical="center" wrapText="1"/>
    </xf>
    <xf numFmtId="0" fontId="54" fillId="0" borderId="6" xfId="5" applyFont="1" applyFill="1" applyBorder="1" applyAlignment="1" applyProtection="1">
      <alignment horizontal="center" vertical="center" wrapText="1"/>
    </xf>
    <xf numFmtId="0" fontId="49" fillId="0" borderId="8" xfId="5" applyFont="1" applyFill="1" applyBorder="1" applyAlignment="1" applyProtection="1">
      <alignment horizontal="center" vertical="center" wrapText="1"/>
    </xf>
    <xf numFmtId="0" fontId="59" fillId="0" borderId="8" xfId="5" applyFont="1" applyFill="1" applyBorder="1" applyAlignment="1" applyProtection="1">
      <alignment horizontal="center" vertical="center" wrapText="1"/>
    </xf>
    <xf numFmtId="0" fontId="49" fillId="24" borderId="8" xfId="5" applyFont="1" applyFill="1" applyBorder="1" applyAlignment="1" applyProtection="1">
      <alignment horizontal="center" vertical="center" wrapText="1"/>
    </xf>
    <xf numFmtId="0" fontId="53" fillId="0" borderId="8" xfId="5" applyFont="1" applyFill="1" applyBorder="1" applyAlignment="1" applyProtection="1">
      <alignment horizontal="center" vertical="center" wrapText="1"/>
    </xf>
    <xf numFmtId="0" fontId="49" fillId="0" borderId="8" xfId="5" applyFont="1" applyFill="1" applyBorder="1" applyAlignment="1">
      <alignment horizontal="center" vertical="center" wrapText="1"/>
    </xf>
    <xf numFmtId="0" fontId="63" fillId="0" borderId="8" xfId="5" applyFont="1" applyFill="1" applyBorder="1" applyAlignment="1" applyProtection="1">
      <alignment horizontal="center" vertical="center" wrapText="1"/>
    </xf>
    <xf numFmtId="0" fontId="49" fillId="26" borderId="8" xfId="5" applyFont="1" applyFill="1" applyBorder="1" applyAlignment="1" applyProtection="1">
      <alignment horizontal="center" vertical="center" wrapText="1"/>
    </xf>
    <xf numFmtId="0" fontId="49" fillId="24" borderId="8" xfId="5" applyFont="1" applyFill="1" applyBorder="1" applyAlignment="1">
      <alignment horizontal="center" vertical="center" wrapText="1"/>
    </xf>
    <xf numFmtId="0" fontId="53" fillId="0" borderId="8" xfId="5" applyFont="1" applyFill="1" applyBorder="1" applyAlignment="1">
      <alignment horizontal="center" vertical="center" wrapText="1"/>
    </xf>
    <xf numFmtId="0" fontId="53" fillId="0" borderId="8" xfId="5" quotePrefix="1" applyFont="1" applyFill="1" applyBorder="1" applyAlignment="1" applyProtection="1">
      <alignment horizontal="center" vertical="center" wrapText="1"/>
    </xf>
    <xf numFmtId="0" fontId="53" fillId="24" borderId="8" xfId="5" applyFont="1" applyFill="1" applyBorder="1" applyAlignment="1" applyProtection="1">
      <alignment horizontal="center" vertical="center" wrapText="1"/>
    </xf>
    <xf numFmtId="0" fontId="49" fillId="24" borderId="75" xfId="5" applyFont="1" applyFill="1" applyBorder="1" applyAlignment="1" applyProtection="1">
      <alignment horizontal="center" vertical="center" wrapText="1"/>
    </xf>
    <xf numFmtId="179" fontId="82" fillId="14" borderId="82" xfId="1" applyNumberFormat="1" applyFont="1" applyFill="1" applyBorder="1" applyAlignment="1">
      <alignment horizontal="center" vertical="center"/>
    </xf>
    <xf numFmtId="179" fontId="81" fillId="14" borderId="82" xfId="1" applyNumberFormat="1" applyFont="1" applyFill="1" applyBorder="1" applyAlignment="1">
      <alignment horizontal="center" vertical="center"/>
    </xf>
    <xf numFmtId="179" fontId="84" fillId="0" borderId="83" xfId="1" applyNumberFormat="1" applyFont="1" applyFill="1" applyBorder="1" applyAlignment="1">
      <alignment horizontal="right" vertical="center"/>
    </xf>
    <xf numFmtId="179" fontId="85" fillId="0" borderId="83" xfId="1" applyNumberFormat="1" applyFont="1" applyFill="1" applyBorder="1" applyAlignment="1">
      <alignment horizontal="right" vertical="center"/>
    </xf>
    <xf numFmtId="179" fontId="86" fillId="40" borderId="83" xfId="1" applyNumberFormat="1" applyFont="1" applyFill="1" applyBorder="1" applyAlignment="1">
      <alignment horizontal="right" vertical="center"/>
    </xf>
    <xf numFmtId="179" fontId="87" fillId="40" borderId="83" xfId="1" applyNumberFormat="1" applyFont="1" applyFill="1" applyBorder="1" applyAlignment="1">
      <alignment horizontal="right" vertical="center"/>
    </xf>
    <xf numFmtId="179" fontId="85" fillId="0" borderId="83" xfId="1" applyNumberFormat="1" applyFont="1" applyBorder="1" applyAlignment="1">
      <alignment horizontal="right" vertical="center"/>
    </xf>
    <xf numFmtId="179" fontId="89" fillId="0" borderId="83" xfId="1" applyNumberFormat="1" applyFont="1" applyBorder="1" applyAlignment="1">
      <alignment vertical="center"/>
    </xf>
    <xf numFmtId="179" fontId="83" fillId="0" borderId="83" xfId="1" applyNumberFormat="1" applyFont="1" applyFill="1" applyBorder="1" applyAlignment="1">
      <alignment horizontal="right" vertical="center"/>
    </xf>
    <xf numFmtId="179" fontId="85" fillId="40" borderId="83" xfId="1" applyNumberFormat="1" applyFont="1" applyFill="1" applyBorder="1" applyAlignment="1">
      <alignment horizontal="right" vertical="center"/>
    </xf>
    <xf numFmtId="179" fontId="83" fillId="0" borderId="83" xfId="1" applyNumberFormat="1" applyFont="1" applyBorder="1" applyAlignment="1">
      <alignment horizontal="right" vertical="center"/>
    </xf>
    <xf numFmtId="179" fontId="83" fillId="41" borderId="83" xfId="1" applyNumberFormat="1" applyFont="1" applyFill="1" applyBorder="1" applyAlignment="1">
      <alignment horizontal="right" vertical="center"/>
    </xf>
    <xf numFmtId="179" fontId="85" fillId="14" borderId="83" xfId="1" applyNumberFormat="1" applyFont="1" applyFill="1" applyBorder="1" applyAlignment="1">
      <alignment horizontal="right" vertical="center"/>
    </xf>
    <xf numFmtId="179" fontId="94" fillId="0" borderId="83" xfId="1" applyNumberFormat="1" applyFont="1" applyBorder="1" applyAlignment="1">
      <alignment vertical="center"/>
    </xf>
    <xf numFmtId="179" fontId="83" fillId="36" borderId="83" xfId="1" applyNumberFormat="1" applyFont="1" applyFill="1" applyBorder="1" applyAlignment="1">
      <alignment horizontal="right" vertical="center"/>
    </xf>
    <xf numFmtId="179" fontId="85" fillId="41" borderId="83" xfId="1" applyNumberFormat="1" applyFont="1" applyFill="1" applyBorder="1" applyAlignment="1">
      <alignment horizontal="right" vertical="center"/>
    </xf>
    <xf numFmtId="179" fontId="96" fillId="0" borderId="83" xfId="1" applyNumberFormat="1" applyFont="1" applyBorder="1" applyAlignment="1">
      <alignment horizontal="right" vertical="center"/>
    </xf>
    <xf numFmtId="179" fontId="87" fillId="0" borderId="83" xfId="1" applyNumberFormat="1" applyFont="1" applyFill="1" applyBorder="1" applyAlignment="1">
      <alignment horizontal="right" vertical="center"/>
    </xf>
    <xf numFmtId="179" fontId="85" fillId="0" borderId="84" xfId="1" applyNumberFormat="1" applyFont="1" applyFill="1" applyBorder="1" applyAlignment="1">
      <alignment horizontal="right" vertical="center"/>
    </xf>
    <xf numFmtId="179" fontId="89" fillId="0" borderId="0" xfId="1" applyNumberFormat="1" applyFont="1"/>
    <xf numFmtId="179" fontId="5" fillId="0" borderId="0" xfId="1" applyNumberFormat="1"/>
    <xf numFmtId="43" fontId="7" fillId="0" borderId="0" xfId="1" applyFont="1" applyFill="1" applyBorder="1" applyAlignment="1" applyProtection="1">
      <alignment vertical="center"/>
    </xf>
    <xf numFmtId="43" fontId="8" fillId="0" borderId="81" xfId="1" applyFont="1" applyFill="1" applyBorder="1" applyAlignment="1">
      <alignment vertical="center"/>
    </xf>
    <xf numFmtId="43" fontId="9" fillId="0" borderId="79" xfId="1" applyFont="1" applyFill="1" applyBorder="1" applyAlignment="1" applyProtection="1">
      <alignment horizontal="left" vertical="center"/>
    </xf>
    <xf numFmtId="43" fontId="8" fillId="0" borderId="79" xfId="1" applyFont="1" applyFill="1" applyBorder="1" applyAlignment="1" applyProtection="1">
      <alignment horizontal="left" vertical="center"/>
    </xf>
    <xf numFmtId="43" fontId="9" fillId="0" borderId="79" xfId="1" applyFont="1" applyFill="1" applyBorder="1" applyAlignment="1">
      <alignment vertical="center"/>
    </xf>
    <xf numFmtId="43" fontId="11" fillId="0" borderId="79" xfId="1" applyFont="1" applyBorder="1" applyAlignment="1" applyProtection="1">
      <alignment horizontal="right" vertical="center"/>
    </xf>
    <xf numFmtId="43" fontId="13" fillId="0" borderId="79" xfId="1" applyFont="1" applyBorder="1" applyAlignment="1" applyProtection="1">
      <alignment horizontal="right" vertical="center"/>
    </xf>
    <xf numFmtId="43" fontId="9" fillId="2" borderId="40" xfId="1" applyFont="1" applyFill="1" applyBorder="1" applyAlignment="1" applyProtection="1">
      <alignment horizontal="right" vertical="center"/>
    </xf>
    <xf numFmtId="43" fontId="8" fillId="0" borderId="79" xfId="1" applyFont="1" applyBorder="1" applyAlignment="1" applyProtection="1">
      <alignment horizontal="right" vertical="center"/>
    </xf>
    <xf numFmtId="43" fontId="9" fillId="0" borderId="79" xfId="1" applyFont="1" applyBorder="1" applyAlignment="1" applyProtection="1">
      <alignment horizontal="right" vertical="center"/>
    </xf>
    <xf numFmtId="43" fontId="9" fillId="0" borderId="45" xfId="1" applyFont="1" applyBorder="1" applyAlignment="1" applyProtection="1">
      <alignment horizontal="right" vertical="center"/>
    </xf>
    <xf numFmtId="43" fontId="9" fillId="2" borderId="35" xfId="1" applyFont="1" applyFill="1" applyBorder="1" applyAlignment="1" applyProtection="1">
      <alignment horizontal="right" vertical="center"/>
    </xf>
    <xf numFmtId="43" fontId="11" fillId="0" borderId="79" xfId="1" applyFont="1" applyFill="1" applyBorder="1" applyAlignment="1" applyProtection="1">
      <alignment horizontal="right" vertical="center"/>
    </xf>
    <xf numFmtId="43" fontId="9" fillId="0" borderId="45" xfId="1" applyFont="1" applyBorder="1" applyAlignment="1">
      <alignment horizontal="right" vertical="center"/>
    </xf>
    <xf numFmtId="43" fontId="8" fillId="0" borderId="79" xfId="1" applyFont="1" applyBorder="1" applyAlignment="1">
      <alignment horizontal="right" vertical="center"/>
    </xf>
    <xf numFmtId="43" fontId="8" fillId="0" borderId="79" xfId="1" applyFont="1" applyFill="1" applyBorder="1" applyAlignment="1">
      <alignment horizontal="right" vertical="center"/>
    </xf>
    <xf numFmtId="43" fontId="9" fillId="0" borderId="36" xfId="1" applyFont="1" applyFill="1" applyBorder="1" applyAlignment="1">
      <alignment horizontal="right" vertical="center"/>
    </xf>
    <xf numFmtId="180" fontId="53" fillId="0" borderId="0" xfId="4" applyNumberFormat="1" applyFont="1" applyFill="1" applyAlignment="1">
      <alignment vertical="center" wrapText="1"/>
    </xf>
    <xf numFmtId="0" fontId="44" fillId="3" borderId="32" xfId="4" applyFont="1" applyFill="1" applyBorder="1" applyAlignment="1">
      <alignment horizontal="center" vertical="center"/>
    </xf>
    <xf numFmtId="0" fontId="44" fillId="3" borderId="33" xfId="4" applyFont="1" applyFill="1" applyBorder="1" applyAlignment="1">
      <alignment horizontal="center" vertical="center"/>
    </xf>
    <xf numFmtId="0" fontId="45" fillId="23" borderId="0" xfId="4" applyFont="1" applyFill="1" applyBorder="1" applyAlignment="1">
      <alignment horizontal="center" vertical="center"/>
    </xf>
    <xf numFmtId="0" fontId="49" fillId="0" borderId="48" xfId="4" applyFont="1" applyFill="1" applyBorder="1" applyAlignment="1">
      <alignment horizontal="center" vertical="center"/>
    </xf>
    <xf numFmtId="0" fontId="49" fillId="23" borderId="48" xfId="4" applyFont="1" applyFill="1" applyBorder="1" applyAlignment="1">
      <alignment horizontal="center" vertical="center"/>
    </xf>
    <xf numFmtId="0" fontId="44" fillId="0" borderId="0" xfId="4" applyFont="1" applyFill="1" applyBorder="1" applyAlignment="1">
      <alignment horizontal="center" vertical="center"/>
    </xf>
    <xf numFmtId="0" fontId="45" fillId="0" borderId="0" xfId="4" applyFont="1" applyFill="1" applyBorder="1" applyAlignment="1">
      <alignment horizontal="center" vertical="center"/>
    </xf>
    <xf numFmtId="0" fontId="49" fillId="23" borderId="17" xfId="4" applyFont="1" applyFill="1" applyBorder="1" applyAlignment="1">
      <alignment horizontal="center" vertical="center"/>
    </xf>
    <xf numFmtId="0" fontId="49" fillId="23" borderId="16" xfId="4" applyFont="1" applyFill="1" applyBorder="1" applyAlignment="1">
      <alignment horizontal="right" vertical="center"/>
    </xf>
    <xf numFmtId="0" fontId="45" fillId="23" borderId="62" xfId="4" applyFont="1" applyFill="1" applyBorder="1" applyAlignment="1">
      <alignment horizontal="center" vertical="center"/>
    </xf>
    <xf numFmtId="175" fontId="49" fillId="23" borderId="15" xfId="119" applyNumberFormat="1" applyFont="1" applyFill="1" applyBorder="1" applyAlignment="1">
      <alignment horizontal="center" vertical="center"/>
    </xf>
    <xf numFmtId="0" fontId="49" fillId="0" borderId="0" xfId="120" applyFont="1" applyFill="1" applyBorder="1" applyAlignment="1">
      <alignment horizontal="center" vertical="center"/>
    </xf>
    <xf numFmtId="0" fontId="49" fillId="0" borderId="0" xfId="4" applyFont="1" applyFill="1" applyBorder="1" applyAlignment="1">
      <alignment horizontal="right" vertical="center"/>
    </xf>
    <xf numFmtId="0" fontId="49" fillId="23" borderId="62" xfId="4" applyFont="1" applyFill="1" applyBorder="1" applyAlignment="1">
      <alignment horizontal="right" vertical="center"/>
    </xf>
    <xf numFmtId="0" fontId="44" fillId="3" borderId="32" xfId="4" applyFont="1" applyFill="1" applyBorder="1" applyAlignment="1">
      <alignment vertical="center"/>
    </xf>
    <xf numFmtId="0" fontId="44" fillId="3" borderId="33" xfId="4" applyFont="1" applyFill="1" applyBorder="1" applyAlignment="1">
      <alignment vertical="center"/>
    </xf>
    <xf numFmtId="0" fontId="44" fillId="0" borderId="0" xfId="4" applyFont="1" applyFill="1" applyBorder="1" applyAlignment="1">
      <alignment vertical="center"/>
    </xf>
    <xf numFmtId="0" fontId="51" fillId="23" borderId="0" xfId="4" applyFont="1" applyFill="1" applyBorder="1" applyAlignment="1">
      <alignment vertical="center"/>
    </xf>
    <xf numFmtId="175" fontId="49" fillId="23" borderId="16" xfId="119" applyNumberFormat="1" applyFont="1" applyFill="1" applyBorder="1" applyAlignment="1">
      <alignment horizontal="right" vertical="center"/>
    </xf>
    <xf numFmtId="179" fontId="97" fillId="0" borderId="83" xfId="1" applyNumberFormat="1" applyFont="1" applyBorder="1" applyAlignment="1">
      <alignment horizontal="right" vertical="center"/>
    </xf>
    <xf numFmtId="179" fontId="98" fillId="0" borderId="83" xfId="1" applyNumberFormat="1" applyFont="1" applyBorder="1" applyAlignment="1">
      <alignment vertical="center"/>
    </xf>
    <xf numFmtId="179" fontId="99" fillId="0" borderId="83" xfId="1" applyNumberFormat="1" applyFont="1" applyFill="1" applyBorder="1" applyAlignment="1">
      <alignment horizontal="right" vertical="center"/>
    </xf>
    <xf numFmtId="179" fontId="97" fillId="40" borderId="83" xfId="1" applyNumberFormat="1" applyFont="1" applyFill="1" applyBorder="1" applyAlignment="1">
      <alignment horizontal="right" vertical="center"/>
    </xf>
    <xf numFmtId="179" fontId="99" fillId="28" borderId="83" xfId="1" applyNumberFormat="1" applyFont="1" applyFill="1" applyBorder="1" applyAlignment="1">
      <alignment horizontal="right" vertical="center"/>
    </xf>
    <xf numFmtId="179" fontId="99" fillId="0" borderId="83" xfId="1" applyNumberFormat="1" applyFont="1" applyBorder="1" applyAlignment="1">
      <alignment horizontal="right" vertical="center"/>
    </xf>
    <xf numFmtId="179" fontId="97" fillId="14" borderId="83" xfId="1" applyNumberFormat="1" applyFont="1" applyFill="1" applyBorder="1" applyAlignment="1">
      <alignment horizontal="right" vertical="center"/>
    </xf>
    <xf numFmtId="179" fontId="100" fillId="0" borderId="83" xfId="1" applyNumberFormat="1" applyFont="1" applyBorder="1" applyAlignment="1">
      <alignment vertical="center"/>
    </xf>
    <xf numFmtId="179" fontId="99" fillId="41" borderId="83" xfId="1" applyNumberFormat="1" applyFont="1" applyFill="1" applyBorder="1" applyAlignment="1">
      <alignment horizontal="right" vertical="center"/>
    </xf>
    <xf numFmtId="179" fontId="97" fillId="0" borderId="83" xfId="1" applyNumberFormat="1" applyFont="1" applyFill="1" applyBorder="1" applyAlignment="1">
      <alignment horizontal="right" vertical="center"/>
    </xf>
    <xf numFmtId="179" fontId="101" fillId="40" borderId="83" xfId="1" applyNumberFormat="1" applyFont="1" applyFill="1" applyBorder="1" applyAlignment="1">
      <alignment horizontal="right" vertical="center"/>
    </xf>
    <xf numFmtId="179" fontId="97" fillId="41" borderId="83" xfId="1" applyNumberFormat="1" applyFont="1" applyFill="1" applyBorder="1" applyAlignment="1">
      <alignment horizontal="right" vertical="center"/>
    </xf>
    <xf numFmtId="179" fontId="101" fillId="0" borderId="83" xfId="1" applyNumberFormat="1" applyFont="1" applyFill="1" applyBorder="1" applyAlignment="1">
      <alignment horizontal="right" vertical="center"/>
    </xf>
    <xf numFmtId="179" fontId="97" fillId="0" borderId="84" xfId="1" applyNumberFormat="1" applyFont="1" applyFill="1" applyBorder="1" applyAlignment="1">
      <alignment horizontal="right" vertical="center"/>
    </xf>
    <xf numFmtId="43" fontId="8" fillId="0" borderId="65" xfId="1" quotePrefix="1" applyFont="1" applyFill="1" applyBorder="1" applyAlignment="1" applyProtection="1">
      <alignment horizontal="center" vertical="center" wrapText="1"/>
    </xf>
    <xf numFmtId="43" fontId="8" fillId="0" borderId="40" xfId="1" quotePrefix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166" fontId="8" fillId="0" borderId="3" xfId="2" quotePrefix="1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43" fontId="8" fillId="0" borderId="5" xfId="1" quotePrefix="1" applyFont="1" applyFill="1" applyBorder="1" applyAlignment="1" applyProtection="1">
      <alignment horizontal="center" vertical="center" wrapText="1"/>
    </xf>
    <xf numFmtId="43" fontId="8" fillId="0" borderId="3" xfId="1" quotePrefix="1" applyFont="1" applyFill="1" applyBorder="1" applyAlignment="1" applyProtection="1">
      <alignment horizontal="center" vertical="center" wrapText="1"/>
    </xf>
    <xf numFmtId="166" fontId="8" fillId="0" borderId="5" xfId="2" quotePrefix="1" applyNumberFormat="1" applyFont="1" applyFill="1" applyBorder="1" applyAlignment="1" applyProtection="1">
      <alignment horizontal="center" vertical="center" wrapText="1"/>
    </xf>
    <xf numFmtId="166" fontId="8" fillId="0" borderId="6" xfId="2" quotePrefix="1" applyNumberFormat="1" applyFont="1" applyFill="1" applyBorder="1" applyAlignment="1" applyProtection="1">
      <alignment horizontal="center" vertical="center" wrapText="1"/>
    </xf>
    <xf numFmtId="0" fontId="9" fillId="2" borderId="7" xfId="0" quotePrefix="1" applyFont="1" applyFill="1" applyBorder="1" applyAlignment="1" applyProtection="1">
      <alignment horizontal="left" vertical="center"/>
    </xf>
    <xf numFmtId="0" fontId="9" fillId="2" borderId="3" xfId="0" quotePrefix="1" applyFont="1" applyFill="1" applyBorder="1" applyAlignment="1" applyProtection="1">
      <alignment horizontal="left" vertical="center"/>
    </xf>
    <xf numFmtId="0" fontId="12" fillId="2" borderId="21" xfId="0" quotePrefix="1" applyFont="1" applyFill="1" applyBorder="1" applyAlignment="1" applyProtection="1">
      <alignment horizontal="left" vertical="center"/>
    </xf>
    <xf numFmtId="0" fontId="12" fillId="2" borderId="22" xfId="0" quotePrefix="1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44" fillId="25" borderId="24" xfId="4" applyFont="1" applyFill="1" applyBorder="1" applyAlignment="1">
      <alignment horizontal="center" vertical="center"/>
    </xf>
    <xf numFmtId="0" fontId="44" fillId="25" borderId="25" xfId="4" applyFont="1" applyFill="1" applyBorder="1" applyAlignment="1">
      <alignment horizontal="center" vertical="center"/>
    </xf>
    <xf numFmtId="0" fontId="44" fillId="25" borderId="59" xfId="4" applyFont="1" applyFill="1" applyBorder="1" applyAlignment="1">
      <alignment horizontal="center" vertical="center"/>
    </xf>
    <xf numFmtId="0" fontId="49" fillId="24" borderId="0" xfId="4" applyFont="1" applyFill="1" applyAlignment="1">
      <alignment horizontal="center" vertical="center" wrapText="1"/>
    </xf>
    <xf numFmtId="0" fontId="47" fillId="3" borderId="24" xfId="4" applyFont="1" applyFill="1" applyBorder="1" applyAlignment="1">
      <alignment horizontal="center" vertical="center"/>
    </xf>
    <xf numFmtId="0" fontId="47" fillId="3" borderId="25" xfId="4" applyFont="1" applyFill="1" applyBorder="1" applyAlignment="1">
      <alignment horizontal="center" vertical="center"/>
    </xf>
    <xf numFmtId="0" fontId="47" fillId="3" borderId="59" xfId="4" applyFont="1" applyFill="1" applyBorder="1" applyAlignment="1">
      <alignment horizontal="center" vertical="center"/>
    </xf>
    <xf numFmtId="0" fontId="47" fillId="3" borderId="60" xfId="4" applyFont="1" applyFill="1" applyBorder="1" applyAlignment="1">
      <alignment horizontal="center" vertical="center"/>
    </xf>
    <xf numFmtId="0" fontId="47" fillId="3" borderId="28" xfId="4" applyFont="1" applyFill="1" applyBorder="1" applyAlignment="1">
      <alignment horizontal="center" vertical="center"/>
    </xf>
    <xf numFmtId="0" fontId="47" fillId="3" borderId="61" xfId="4" applyFont="1" applyFill="1" applyBorder="1" applyAlignment="1">
      <alignment horizontal="center" vertical="center"/>
    </xf>
    <xf numFmtId="43" fontId="4" fillId="36" borderId="34" xfId="1" applyFont="1" applyFill="1" applyBorder="1" applyAlignment="1" applyProtection="1">
      <alignment horizontal="center" vertical="center" wrapText="1"/>
    </xf>
    <xf numFmtId="43" fontId="4" fillId="36" borderId="36" xfId="1" applyFont="1" applyFill="1" applyBorder="1" applyAlignment="1" applyProtection="1">
      <alignment horizontal="center" vertical="center" wrapText="1"/>
    </xf>
    <xf numFmtId="1" fontId="9" fillId="36" borderId="31" xfId="4" applyNumberFormat="1" applyFont="1" applyFill="1" applyBorder="1" applyAlignment="1">
      <alignment horizontal="center" vertical="center"/>
    </xf>
    <xf numFmtId="1" fontId="9" fillId="36" borderId="32" xfId="4" applyNumberFormat="1" applyFont="1" applyFill="1" applyBorder="1" applyAlignment="1">
      <alignment horizontal="center" vertical="center"/>
    </xf>
    <xf numFmtId="1" fontId="9" fillId="36" borderId="33" xfId="4" applyNumberFormat="1" applyFont="1" applyFill="1" applyBorder="1" applyAlignment="1">
      <alignment horizontal="center" vertical="center"/>
    </xf>
    <xf numFmtId="0" fontId="4" fillId="36" borderId="34" xfId="5" applyFont="1" applyFill="1" applyBorder="1" applyAlignment="1" applyProtection="1">
      <alignment horizontal="center" vertical="center" wrapText="1"/>
    </xf>
    <xf numFmtId="0" fontId="4" fillId="36" borderId="36" xfId="5" applyFont="1" applyFill="1" applyBorder="1" applyAlignment="1" applyProtection="1">
      <alignment horizontal="center" vertical="center" wrapText="1"/>
    </xf>
    <xf numFmtId="1" fontId="4" fillId="36" borderId="31" xfId="4" applyNumberFormat="1" applyFont="1" applyFill="1" applyBorder="1" applyAlignment="1">
      <alignment horizontal="center" vertical="center"/>
    </xf>
    <xf numFmtId="1" fontId="4" fillId="36" borderId="32" xfId="4" applyNumberFormat="1" applyFont="1" applyFill="1" applyBorder="1" applyAlignment="1">
      <alignment horizontal="center" vertical="center"/>
    </xf>
    <xf numFmtId="1" fontId="4" fillId="36" borderId="33" xfId="4" applyNumberFormat="1" applyFont="1" applyFill="1" applyBorder="1" applyAlignment="1">
      <alignment horizontal="center" vertical="center"/>
    </xf>
    <xf numFmtId="43" fontId="9" fillId="2" borderId="19" xfId="1" applyFont="1" applyFill="1" applyBorder="1" applyAlignment="1" applyProtection="1">
      <alignment horizontal="left" vertical="center"/>
    </xf>
    <xf numFmtId="43" fontId="9" fillId="2" borderId="20" xfId="1" applyFont="1" applyFill="1" applyBorder="1" applyAlignment="1" applyProtection="1">
      <alignment horizontal="left" vertical="center"/>
    </xf>
    <xf numFmtId="43" fontId="9" fillId="2" borderId="28" xfId="1" applyFont="1" applyFill="1" applyBorder="1" applyAlignment="1" applyProtection="1">
      <alignment horizontal="left" vertical="center"/>
    </xf>
    <xf numFmtId="43" fontId="9" fillId="2" borderId="74" xfId="1" applyFont="1" applyFill="1" applyBorder="1" applyAlignment="1" applyProtection="1">
      <alignment horizontal="left" vertical="center"/>
    </xf>
    <xf numFmtId="43" fontId="11" fillId="0" borderId="0" xfId="1" applyFont="1" applyFill="1" applyBorder="1" applyAlignment="1" applyProtection="1">
      <alignment horizontal="left" vertical="center" wrapText="1"/>
    </xf>
    <xf numFmtId="43" fontId="11" fillId="0" borderId="15" xfId="1" applyFont="1" applyFill="1" applyBorder="1" applyAlignment="1" applyProtection="1">
      <alignment horizontal="left" vertical="center" wrapText="1"/>
    </xf>
    <xf numFmtId="43" fontId="9" fillId="2" borderId="47" xfId="1" applyFont="1" applyFill="1" applyBorder="1" applyAlignment="1" applyProtection="1">
      <alignment vertical="center"/>
    </xf>
    <xf numFmtId="43" fontId="9" fillId="2" borderId="2" xfId="1" applyFont="1" applyFill="1" applyBorder="1" applyAlignment="1" applyProtection="1">
      <alignment vertical="center"/>
    </xf>
    <xf numFmtId="43" fontId="9" fillId="2" borderId="10" xfId="1" applyFont="1" applyFill="1" applyBorder="1" applyAlignment="1" applyProtection="1">
      <alignment vertical="center"/>
    </xf>
    <xf numFmtId="43" fontId="9" fillId="2" borderId="18" xfId="1" applyFont="1" applyFill="1" applyBorder="1" applyAlignment="1" applyProtection="1">
      <alignment vertical="center"/>
    </xf>
    <xf numFmtId="43" fontId="9" fillId="2" borderId="0" xfId="1" applyFont="1" applyFill="1" applyBorder="1" applyAlignment="1" applyProtection="1">
      <alignment vertical="center"/>
    </xf>
    <xf numFmtId="43" fontId="9" fillId="2" borderId="31" xfId="1" applyFont="1" applyFill="1" applyBorder="1" applyAlignment="1" applyProtection="1">
      <alignment vertical="center"/>
    </xf>
    <xf numFmtId="43" fontId="9" fillId="2" borderId="32" xfId="1" applyFont="1" applyFill="1" applyBorder="1" applyAlignment="1" applyProtection="1">
      <alignment vertical="center"/>
    </xf>
    <xf numFmtId="43" fontId="9" fillId="2" borderId="23" xfId="1" applyFont="1" applyFill="1" applyBorder="1" applyAlignment="1" applyProtection="1">
      <alignment vertical="center"/>
    </xf>
    <xf numFmtId="43" fontId="3" fillId="0" borderId="31" xfId="1" applyFont="1" applyBorder="1" applyAlignment="1">
      <alignment horizontal="center" vertical="center" wrapText="1"/>
    </xf>
    <xf numFmtId="43" fontId="3" fillId="0" borderId="32" xfId="1" applyFont="1" applyBorder="1" applyAlignment="1">
      <alignment horizontal="center" vertical="center" wrapText="1"/>
    </xf>
    <xf numFmtId="3" fontId="9" fillId="0" borderId="22" xfId="80" applyNumberFormat="1" applyFont="1" applyBorder="1" applyAlignment="1">
      <alignment horizontal="center" vertical="center"/>
    </xf>
    <xf numFmtId="3" fontId="9" fillId="0" borderId="69" xfId="80" applyNumberFormat="1" applyFont="1" applyBorder="1" applyAlignment="1">
      <alignment horizontal="center" vertical="center"/>
    </xf>
    <xf numFmtId="43" fontId="69" fillId="0" borderId="24" xfId="1" applyFont="1" applyFill="1" applyBorder="1" applyAlignment="1">
      <alignment horizontal="center" vertical="center" wrapText="1"/>
    </xf>
    <xf numFmtId="43" fontId="69" fillId="0" borderId="25" xfId="1" applyFont="1" applyFill="1" applyBorder="1" applyAlignment="1">
      <alignment horizontal="center" vertical="center" wrapText="1"/>
    </xf>
    <xf numFmtId="43" fontId="69" fillId="0" borderId="71" xfId="1" applyFont="1" applyFill="1" applyBorder="1" applyAlignment="1">
      <alignment horizontal="center" vertical="center" wrapText="1"/>
    </xf>
    <xf numFmtId="43" fontId="69" fillId="0" borderId="46" xfId="1" applyFont="1" applyFill="1" applyBorder="1" applyAlignment="1">
      <alignment horizontal="center" vertical="center" wrapText="1"/>
    </xf>
    <xf numFmtId="43" fontId="69" fillId="0" borderId="0" xfId="1" applyFont="1" applyFill="1" applyBorder="1" applyAlignment="1">
      <alignment horizontal="center" vertical="center" wrapText="1"/>
    </xf>
    <xf numFmtId="3" fontId="8" fillId="0" borderId="5" xfId="2" quotePrefix="1" applyNumberFormat="1" applyFont="1" applyFill="1" applyBorder="1" applyAlignment="1" applyProtection="1">
      <alignment horizontal="center" vertical="center" wrapText="1"/>
    </xf>
    <xf numFmtId="3" fontId="8" fillId="0" borderId="6" xfId="2" quotePrefix="1" applyNumberFormat="1" applyFont="1" applyFill="1" applyBorder="1" applyAlignment="1" applyProtection="1">
      <alignment horizontal="center" vertical="center" wrapText="1"/>
    </xf>
    <xf numFmtId="43" fontId="9" fillId="2" borderId="7" xfId="1" applyFont="1" applyFill="1" applyBorder="1" applyAlignment="1" applyProtection="1">
      <alignment horizontal="left" vertical="center"/>
    </xf>
    <xf numFmtId="43" fontId="9" fillId="2" borderId="3" xfId="1" applyFont="1" applyFill="1" applyBorder="1" applyAlignment="1" applyProtection="1">
      <alignment horizontal="left" vertical="center"/>
    </xf>
    <xf numFmtId="43" fontId="9" fillId="2" borderId="12" xfId="1" applyFont="1" applyFill="1" applyBorder="1" applyAlignment="1" applyProtection="1">
      <alignment horizontal="left" vertical="center"/>
    </xf>
    <xf numFmtId="43" fontId="9" fillId="2" borderId="7" xfId="1" applyFont="1" applyFill="1" applyBorder="1" applyAlignment="1" applyProtection="1">
      <alignment vertical="center"/>
    </xf>
    <xf numFmtId="43" fontId="9" fillId="2" borderId="3" xfId="1" applyFont="1" applyFill="1" applyBorder="1" applyAlignment="1" applyProtection="1">
      <alignment vertical="center"/>
    </xf>
    <xf numFmtId="43" fontId="9" fillId="2" borderId="16" xfId="1" applyFont="1" applyFill="1" applyBorder="1" applyAlignment="1" applyProtection="1">
      <alignment vertical="center"/>
    </xf>
    <xf numFmtId="43" fontId="9" fillId="2" borderId="38" xfId="1" applyFont="1" applyFill="1" applyBorder="1" applyAlignment="1" applyProtection="1">
      <alignment vertical="center"/>
    </xf>
    <xf numFmtId="0" fontId="3" fillId="0" borderId="31" xfId="80" applyFont="1" applyBorder="1" applyAlignment="1">
      <alignment horizontal="center" vertical="center" wrapText="1"/>
    </xf>
    <xf numFmtId="0" fontId="3" fillId="0" borderId="32" xfId="80" applyFont="1" applyBorder="1" applyAlignment="1">
      <alignment horizontal="center" vertical="center" wrapText="1"/>
    </xf>
    <xf numFmtId="174" fontId="69" fillId="0" borderId="24" xfId="118" applyFont="1" applyFill="1" applyBorder="1" applyAlignment="1">
      <alignment horizontal="center" vertical="center" wrapText="1"/>
    </xf>
    <xf numFmtId="174" fontId="69" fillId="0" borderId="25" xfId="118" applyFont="1" applyFill="1" applyBorder="1" applyAlignment="1">
      <alignment horizontal="center" vertical="center" wrapText="1"/>
    </xf>
    <xf numFmtId="174" fontId="69" fillId="0" borderId="71" xfId="118" applyFont="1" applyFill="1" applyBorder="1" applyAlignment="1">
      <alignment horizontal="center" vertical="center" wrapText="1"/>
    </xf>
    <xf numFmtId="174" fontId="69" fillId="0" borderId="46" xfId="118" applyFont="1" applyFill="1" applyBorder="1" applyAlignment="1">
      <alignment horizontal="center" vertical="center" wrapText="1"/>
    </xf>
    <xf numFmtId="174" fontId="69" fillId="0" borderId="0" xfId="118" applyFont="1" applyFill="1" applyBorder="1" applyAlignment="1">
      <alignment horizontal="center" vertical="center" wrapText="1"/>
    </xf>
    <xf numFmtId="43" fontId="13" fillId="0" borderId="0" xfId="1" quotePrefix="1" applyFont="1" applyFill="1" applyBorder="1" applyAlignment="1" applyProtection="1">
      <alignment horizontal="left" vertical="center" wrapText="1"/>
    </xf>
    <xf numFmtId="43" fontId="13" fillId="0" borderId="15" xfId="1" quotePrefix="1" applyFont="1" applyFill="1" applyBorder="1" applyAlignment="1" applyProtection="1">
      <alignment horizontal="left" vertical="center" wrapText="1"/>
    </xf>
    <xf numFmtId="43" fontId="9" fillId="2" borderId="38" xfId="1" applyFont="1" applyFill="1" applyBorder="1" applyAlignment="1" applyProtection="1">
      <alignment horizontal="left" vertical="center"/>
    </xf>
    <xf numFmtId="43" fontId="9" fillId="2" borderId="12" xfId="1" applyFont="1" applyFill="1" applyBorder="1" applyAlignment="1" applyProtection="1">
      <alignment vertical="center"/>
    </xf>
    <xf numFmtId="0" fontId="44" fillId="3" borderId="31" xfId="4" applyFont="1" applyFill="1" applyBorder="1" applyAlignment="1">
      <alignment horizontal="center" vertical="center"/>
    </xf>
    <xf numFmtId="0" fontId="44" fillId="3" borderId="32" xfId="4" applyFont="1" applyFill="1" applyBorder="1" applyAlignment="1">
      <alignment horizontal="center" vertical="center"/>
    </xf>
    <xf numFmtId="0" fontId="44" fillId="3" borderId="33" xfId="4" applyFont="1" applyFill="1" applyBorder="1" applyAlignment="1">
      <alignment horizontal="center" vertical="center"/>
    </xf>
    <xf numFmtId="1" fontId="9" fillId="36" borderId="31" xfId="120" applyNumberFormat="1" applyFont="1" applyFill="1" applyBorder="1" applyAlignment="1">
      <alignment horizontal="center" vertical="center"/>
    </xf>
    <xf numFmtId="1" fontId="9" fillId="36" borderId="32" xfId="120" applyNumberFormat="1" applyFont="1" applyFill="1" applyBorder="1" applyAlignment="1">
      <alignment horizontal="center" vertical="center"/>
    </xf>
    <xf numFmtId="1" fontId="9" fillId="36" borderId="33" xfId="120" applyNumberFormat="1" applyFont="1" applyFill="1" applyBorder="1" applyAlignment="1">
      <alignment horizontal="center" vertical="center"/>
    </xf>
    <xf numFmtId="176" fontId="4" fillId="36" borderId="34" xfId="4" applyNumberFormat="1" applyFont="1" applyFill="1" applyBorder="1" applyAlignment="1">
      <alignment horizontal="center" vertical="center" wrapText="1"/>
    </xf>
    <xf numFmtId="176" fontId="4" fillId="36" borderId="36" xfId="4" applyNumberFormat="1" applyFont="1" applyFill="1" applyBorder="1" applyAlignment="1">
      <alignment horizontal="center" vertical="center" wrapText="1"/>
    </xf>
    <xf numFmtId="0" fontId="81" fillId="14" borderId="82" xfId="123" applyFont="1" applyFill="1" applyBorder="1" applyAlignment="1">
      <alignment horizontal="left" vertical="center"/>
    </xf>
  </cellXfs>
  <cellStyles count="125"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Colore 1 2" xfId="13"/>
    <cellStyle name="40% - Colore 2 2" xfId="14"/>
    <cellStyle name="40% - Colore 3 2" xfId="15"/>
    <cellStyle name="40% - Colore 4 2" xfId="16"/>
    <cellStyle name="40% - Colore 5 2" xfId="17"/>
    <cellStyle name="40% - Colore 6 2" xfId="18"/>
    <cellStyle name="60% - Colore 1 2" xfId="19"/>
    <cellStyle name="60% - Colore 2 2" xfId="20"/>
    <cellStyle name="60% - Colore 3 2" xfId="21"/>
    <cellStyle name="60% - Colore 4 2" xfId="22"/>
    <cellStyle name="60% - Colore 5 2" xfId="23"/>
    <cellStyle name="60% - Colore 6 2" xfId="24"/>
    <cellStyle name="Calcolo 2" xfId="25"/>
    <cellStyle name="Cella collegata 2" xfId="26"/>
    <cellStyle name="Cella da controllare 2" xfId="27"/>
    <cellStyle name="Collegamento ipertestuale 2" xfId="28"/>
    <cellStyle name="Colore 1 2" xfId="29"/>
    <cellStyle name="Colore 2 2" xfId="30"/>
    <cellStyle name="Colore 3 2" xfId="31"/>
    <cellStyle name="Colore 4 2" xfId="32"/>
    <cellStyle name="Colore 5 2" xfId="33"/>
    <cellStyle name="Colore 6 2" xfId="34"/>
    <cellStyle name="Comma [0]_all7_pdc" xfId="35"/>
    <cellStyle name="Comma 2" xfId="36"/>
    <cellStyle name="Comma 2 2" xfId="37"/>
    <cellStyle name="Comma_all7_pdc" xfId="38"/>
    <cellStyle name="Currency [0]_all7_pdc" xfId="39"/>
    <cellStyle name="Currency_all7_pdc" xfId="40"/>
    <cellStyle name="Euro" xfId="41"/>
    <cellStyle name="Euro 2" xfId="42"/>
    <cellStyle name="Euro 3" xfId="43"/>
    <cellStyle name="Euro 4" xfId="44"/>
    <cellStyle name="Euro 5" xfId="45"/>
    <cellStyle name="Euro 6" xfId="46"/>
    <cellStyle name="Euro 7" xfId="47"/>
    <cellStyle name="Euro 8" xfId="48"/>
    <cellStyle name="Euro_allegato tabelle I report 2012" xfId="49"/>
    <cellStyle name="Input 2" xfId="50"/>
    <cellStyle name="Migliaia" xfId="1" builtinId="3"/>
    <cellStyle name="Migliaia (0)_% Attrezzature ed Edilizia" xfId="51"/>
    <cellStyle name="Migliaia [0]" xfId="2" builtinId="6"/>
    <cellStyle name="Migliaia [0] 2" xfId="52"/>
    <cellStyle name="Migliaia [0] 2 2" xfId="53"/>
    <cellStyle name="Migliaia [0] 3" xfId="54"/>
    <cellStyle name="Migliaia [0] 3 2" xfId="55"/>
    <cellStyle name="Migliaia [0] 4" xfId="56"/>
    <cellStyle name="Migliaia [0] 5" xfId="57"/>
    <cellStyle name="Migliaia [0] 6" xfId="58"/>
    <cellStyle name="Migliaia [0] 8 2" xfId="59"/>
    <cellStyle name="Migliaia 11" xfId="60"/>
    <cellStyle name="Migliaia 2" xfId="61"/>
    <cellStyle name="Migliaia 2 2" xfId="62"/>
    <cellStyle name="Migliaia 2 3" xfId="63"/>
    <cellStyle name="Migliaia 2 4" xfId="64"/>
    <cellStyle name="Migliaia 2_AOTS_Organizzazione_31-12-2011" xfId="65"/>
    <cellStyle name="Migliaia 3" xfId="66"/>
    <cellStyle name="Migliaia 3 2" xfId="67"/>
    <cellStyle name="Migliaia 3_AOTS_Organizzazione_31-12-2011" xfId="68"/>
    <cellStyle name="Migliaia 4" xfId="69"/>
    <cellStyle name="Migliaia 4 2" xfId="70"/>
    <cellStyle name="Migliaia 5" xfId="71"/>
    <cellStyle name="Migliaia 6" xfId="72"/>
    <cellStyle name="Migliaia 6 2" xfId="119"/>
    <cellStyle name="Migliaia 7" xfId="73"/>
    <cellStyle name="Migliaia 8" xfId="74"/>
    <cellStyle name="Migliaia 9" xfId="116"/>
    <cellStyle name="Migliaia 9 2" xfId="75"/>
    <cellStyle name="Migliaia_Mattone CE_Budget 2008 (v. 0.5 del 12.02.2008) 2" xfId="122"/>
    <cellStyle name="Neutrale 2" xfId="76"/>
    <cellStyle name="Normal 12" xfId="117"/>
    <cellStyle name="Normal 2" xfId="77"/>
    <cellStyle name="Normal_all7_pdc" xfId="78"/>
    <cellStyle name="Normal_Sheet1 2" xfId="5"/>
    <cellStyle name="Normale" xfId="0" builtinId="0"/>
    <cellStyle name="Normale 2" xfId="79"/>
    <cellStyle name="Normale 2 2" xfId="80"/>
    <cellStyle name="Normale 2_1 BILANCIO AOU" xfId="81"/>
    <cellStyle name="Normale 3" xfId="82"/>
    <cellStyle name="Normale 3 2" xfId="83"/>
    <cellStyle name="Normale 3 3" xfId="84"/>
    <cellStyle name="Normale 4" xfId="85"/>
    <cellStyle name="Normale 5" xfId="86"/>
    <cellStyle name="Normale 6" xfId="87"/>
    <cellStyle name="Normale 6 2" xfId="88"/>
    <cellStyle name="Normale 7" xfId="89"/>
    <cellStyle name="Normale 7 2" xfId="90"/>
    <cellStyle name="Normale 7 3" xfId="121"/>
    <cellStyle name="Normale 7_Allegati 1-2def" xfId="91"/>
    <cellStyle name="Normale 8" xfId="92"/>
    <cellStyle name="Normale 9" xfId="93"/>
    <cellStyle name="Normale_All7_piano dei conti" xfId="6"/>
    <cellStyle name="Normale_FLUSSI FINANZIARI" xfId="123"/>
    <cellStyle name="Normale_Mattone CE_Budget 2008 (v. 0.5 del 12.02.2008) 2" xfId="4"/>
    <cellStyle name="Normale_Mattone CE_Budget 2008 (v. 0.5 del 12.02.2008) 2 2" xfId="120"/>
    <cellStyle name="Normale_modelloDCF2004bottoni" xfId="124"/>
    <cellStyle name="Nota 2" xfId="94"/>
    <cellStyle name="Output 2" xfId="95"/>
    <cellStyle name="Percent 2" xfId="96"/>
    <cellStyle name="Percent 3" xfId="97"/>
    <cellStyle name="Percentuale" xfId="3" builtinId="5"/>
    <cellStyle name="Percentuale 2" xfId="98"/>
    <cellStyle name="Percentuale 2 2" xfId="99"/>
    <cellStyle name="Percentuale 2 3" xfId="100"/>
    <cellStyle name="Percentuale 4" xfId="101"/>
    <cellStyle name="SAS FM Row drillable header" xfId="102"/>
    <cellStyle name="SAS FM Row header" xfId="103"/>
    <cellStyle name="Testo avviso 2" xfId="104"/>
    <cellStyle name="Testo descrittivo 2" xfId="105"/>
    <cellStyle name="Titolo 1 2" xfId="106"/>
    <cellStyle name="Titolo 2 2" xfId="107"/>
    <cellStyle name="Titolo 3 2" xfId="108"/>
    <cellStyle name="Titolo 4 2" xfId="109"/>
    <cellStyle name="Titolo 5" xfId="110"/>
    <cellStyle name="Titolo 6" xfId="118"/>
    <cellStyle name="Totale 2" xfId="111"/>
    <cellStyle name="Valore non valido 2" xfId="112"/>
    <cellStyle name="Valore valido 2" xfId="113"/>
    <cellStyle name="Valuta (0)_% Attrezzature ed Edilizia" xfId="114"/>
    <cellStyle name="Valuta 2" xfId="115"/>
  </cellStyles>
  <dxfs count="0"/>
  <tableStyles count="0" defaultTableStyle="TableStyleMedium2" defaultPivotStyle="PivotStyleLight16"/>
  <colors>
    <mruColors>
      <color rgb="FFFF9933"/>
      <color rgb="FFFF99FF"/>
      <color rgb="FF66FF33"/>
      <color rgb="FF99FF99"/>
      <color rgb="FF00FFFF"/>
      <color rgb="FFCCEC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RUE-Economico-Finanziario\118\NUOVO%20PIANO%20DEI%20CONTI%202018\Documenti%20ufficiali%20del%209%20maggio%202019\Allegato%201_%20CE_08.0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ovo Modello CE"/>
      <sheetName val="Raccordo CE old new"/>
    </sheetNames>
    <sheetDataSet>
      <sheetData sheetId="0"/>
      <sheetData sheetId="1">
        <row r="5">
          <cell r="F5" t="str">
            <v>A)  Valore della produzione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tabSelected="1" zoomScale="130" zoomScaleNormal="130" workbookViewId="0">
      <pane xSplit="3" ySplit="5" topLeftCell="D6" activePane="bottomRight" state="frozen"/>
      <selection activeCell="E10" sqref="E10"/>
      <selection pane="topRight" activeCell="E10" sqref="E10"/>
      <selection pane="bottomLeft" activeCell="E10" sqref="E10"/>
      <selection pane="bottomRight"/>
    </sheetView>
  </sheetViews>
  <sheetFormatPr defaultColWidth="9.140625" defaultRowHeight="12.75"/>
  <cols>
    <col min="1" max="1" width="2.28515625" style="55" customWidth="1"/>
    <col min="2" max="2" width="1.7109375" style="55" customWidth="1"/>
    <col min="3" max="3" width="62" style="5" customWidth="1"/>
    <col min="4" max="4" width="13.7109375" style="358" customWidth="1"/>
    <col min="5" max="5" width="13.7109375" style="319" customWidth="1"/>
    <col min="6" max="6" width="13.5703125" style="319" bestFit="1" customWidth="1"/>
    <col min="7" max="7" width="7.7109375" style="4" bestFit="1" customWidth="1"/>
    <col min="8" max="8" width="7.7109375" style="4" customWidth="1"/>
    <col min="9" max="9" width="13.7109375" style="319" customWidth="1"/>
    <col min="10" max="16384" width="9.140625" style="5"/>
  </cols>
  <sheetData>
    <row r="1" spans="1:9" ht="15.75">
      <c r="A1" s="1"/>
      <c r="B1" s="1"/>
      <c r="C1" s="2"/>
      <c r="D1" s="317"/>
      <c r="E1" s="318"/>
      <c r="I1" s="318"/>
    </row>
    <row r="2" spans="1:9" s="7" customFormat="1" ht="20.25">
      <c r="A2" s="953" t="s">
        <v>0</v>
      </c>
      <c r="B2" s="954"/>
      <c r="C2" s="954"/>
      <c r="D2" s="320"/>
      <c r="E2" s="320"/>
      <c r="F2" s="955" t="s">
        <v>1</v>
      </c>
      <c r="G2" s="955"/>
      <c r="H2" s="6"/>
      <c r="I2" s="900"/>
    </row>
    <row r="3" spans="1:9" s="7" customFormat="1" ht="8.25" customHeight="1" thickBot="1">
      <c r="A3" s="8"/>
      <c r="B3" s="8"/>
      <c r="C3" s="9"/>
      <c r="D3" s="321"/>
      <c r="E3" s="321"/>
      <c r="F3" s="322"/>
      <c r="G3" s="10"/>
      <c r="H3" s="10"/>
      <c r="I3" s="321"/>
    </row>
    <row r="4" spans="1:9" s="7" customFormat="1" ht="25.5" customHeight="1">
      <c r="A4" s="956" t="s">
        <v>2128</v>
      </c>
      <c r="B4" s="957"/>
      <c r="C4" s="957"/>
      <c r="D4" s="960" t="s">
        <v>3475</v>
      </c>
      <c r="E4" s="960" t="s">
        <v>2129</v>
      </c>
      <c r="F4" s="962" t="s">
        <v>3476</v>
      </c>
      <c r="G4" s="963"/>
      <c r="H4" s="11"/>
      <c r="I4" s="951" t="s">
        <v>3477</v>
      </c>
    </row>
    <row r="5" spans="1:9" s="7" customFormat="1">
      <c r="A5" s="958"/>
      <c r="B5" s="959"/>
      <c r="C5" s="959"/>
      <c r="D5" s="961"/>
      <c r="E5" s="961"/>
      <c r="F5" s="323" t="s">
        <v>2</v>
      </c>
      <c r="G5" s="303" t="s">
        <v>3</v>
      </c>
      <c r="H5" s="12"/>
      <c r="I5" s="952"/>
    </row>
    <row r="6" spans="1:9">
      <c r="A6" s="13"/>
      <c r="B6" s="14"/>
      <c r="C6" s="15"/>
      <c r="D6" s="324"/>
      <c r="E6" s="325"/>
      <c r="F6" s="326"/>
      <c r="G6" s="304"/>
      <c r="H6" s="16"/>
      <c r="I6" s="901"/>
    </row>
    <row r="7" spans="1:9">
      <c r="A7" s="17" t="s">
        <v>4</v>
      </c>
      <c r="B7" s="18"/>
      <c r="C7" s="19" t="s">
        <v>5</v>
      </c>
      <c r="D7" s="327"/>
      <c r="E7" s="328"/>
      <c r="F7" s="329"/>
      <c r="G7" s="305"/>
      <c r="H7" s="10"/>
      <c r="I7" s="902"/>
    </row>
    <row r="8" spans="1:9">
      <c r="A8" s="17"/>
      <c r="B8" s="18"/>
      <c r="C8" s="20"/>
      <c r="D8" s="330"/>
      <c r="E8" s="331"/>
      <c r="F8" s="329"/>
      <c r="G8" s="305"/>
      <c r="H8" s="10"/>
      <c r="I8" s="903"/>
    </row>
    <row r="9" spans="1:9" s="2" customFormat="1">
      <c r="A9" s="17">
        <v>1</v>
      </c>
      <c r="B9" s="19" t="s">
        <v>6</v>
      </c>
      <c r="C9" s="19"/>
      <c r="D9" s="332">
        <f>D10+D11+D18+D23</f>
        <v>809024427</v>
      </c>
      <c r="E9" s="332">
        <f>E10+E11+E18+E23</f>
        <v>0</v>
      </c>
      <c r="F9" s="332">
        <f>+D9-E9</f>
        <v>809024427</v>
      </c>
      <c r="G9" s="306" t="e">
        <f>+F9/E9</f>
        <v>#DIV/0!</v>
      </c>
      <c r="H9" s="21"/>
      <c r="I9" s="904">
        <f>I10+I11+I18+I23</f>
        <v>104049252</v>
      </c>
    </row>
    <row r="10" spans="1:9">
      <c r="A10" s="22"/>
      <c r="B10" s="23" t="s">
        <v>7</v>
      </c>
      <c r="C10" s="23"/>
      <c r="D10" s="333">
        <f>+ROUND('CE Min'!D26,0)</f>
        <v>786490523</v>
      </c>
      <c r="E10" s="333">
        <f>+ROUND('CE Min'!E26,0)</f>
        <v>0</v>
      </c>
      <c r="F10" s="334">
        <f t="shared" ref="F10:F34" si="0">+D10-E10</f>
        <v>786490523</v>
      </c>
      <c r="G10" s="307" t="e">
        <f t="shared" ref="G10:G73" si="1">+F10/E10</f>
        <v>#DIV/0!</v>
      </c>
      <c r="H10" s="24"/>
      <c r="I10" s="905">
        <f>+ROUND('CE Min'!I26,0)</f>
        <v>103064374</v>
      </c>
    </row>
    <row r="11" spans="1:9">
      <c r="A11" s="17"/>
      <c r="B11" s="23" t="s">
        <v>8</v>
      </c>
      <c r="C11" s="23"/>
      <c r="D11" s="333">
        <f>SUM(D12:D17)</f>
        <v>22441026</v>
      </c>
      <c r="E11" s="333">
        <f>SUM(E12:E17)</f>
        <v>0</v>
      </c>
      <c r="F11" s="334">
        <f t="shared" si="0"/>
        <v>22441026</v>
      </c>
      <c r="G11" s="307" t="e">
        <f t="shared" si="1"/>
        <v>#DIV/0!</v>
      </c>
      <c r="H11" s="24"/>
      <c r="I11" s="905">
        <f>SUM(I12:I17)</f>
        <v>952000</v>
      </c>
    </row>
    <row r="12" spans="1:9">
      <c r="A12" s="17"/>
      <c r="B12" s="25"/>
      <c r="C12" s="103" t="s">
        <v>9</v>
      </c>
      <c r="D12" s="333">
        <f>+ROUND('CE Min'!D37,0)</f>
        <v>19473461</v>
      </c>
      <c r="E12" s="333">
        <f>+ROUND('CE Min'!E37,0)</f>
        <v>0</v>
      </c>
      <c r="F12" s="335">
        <f t="shared" si="0"/>
        <v>19473461</v>
      </c>
      <c r="G12" s="308" t="e">
        <f t="shared" si="1"/>
        <v>#DIV/0!</v>
      </c>
      <c r="H12" s="26"/>
      <c r="I12" s="905">
        <f>+ROUND('CE Min'!I37,0)</f>
        <v>833788</v>
      </c>
    </row>
    <row r="13" spans="1:9" ht="22.5">
      <c r="A13" s="22"/>
      <c r="B13" s="25"/>
      <c r="C13" s="103" t="s">
        <v>10</v>
      </c>
      <c r="D13" s="333">
        <f>+ROUND('CE Min'!D38,0)</f>
        <v>0</v>
      </c>
      <c r="E13" s="333">
        <f>+ROUND('CE Min'!E38,0)</f>
        <v>0</v>
      </c>
      <c r="F13" s="335">
        <f t="shared" si="0"/>
        <v>0</v>
      </c>
      <c r="G13" s="308" t="e">
        <f t="shared" si="1"/>
        <v>#DIV/0!</v>
      </c>
      <c r="H13" s="26"/>
      <c r="I13" s="905">
        <f>+ROUND('CE Min'!I38,0)</f>
        <v>0</v>
      </c>
    </row>
    <row r="14" spans="1:9" ht="22.5">
      <c r="A14" s="17"/>
      <c r="B14" s="25"/>
      <c r="C14" s="103" t="s">
        <v>11</v>
      </c>
      <c r="D14" s="333">
        <f>+ROUND('CE Min'!D39,0)</f>
        <v>0</v>
      </c>
      <c r="E14" s="333">
        <f>+ROUND('CE Min'!E39,0)</f>
        <v>0</v>
      </c>
      <c r="F14" s="335">
        <f t="shared" si="0"/>
        <v>0</v>
      </c>
      <c r="G14" s="308" t="e">
        <f t="shared" si="1"/>
        <v>#DIV/0!</v>
      </c>
      <c r="H14" s="26"/>
      <c r="I14" s="905">
        <f>+ROUND('CE Min'!I39,0)</f>
        <v>0</v>
      </c>
    </row>
    <row r="15" spans="1:9">
      <c r="A15" s="22"/>
      <c r="B15" s="25"/>
      <c r="C15" s="103" t="s">
        <v>12</v>
      </c>
      <c r="D15" s="333">
        <f>+ROUND('CE Min'!D40,0)</f>
        <v>185555</v>
      </c>
      <c r="E15" s="333">
        <f>+ROUND('CE Min'!E40,0)</f>
        <v>0</v>
      </c>
      <c r="F15" s="335">
        <f t="shared" si="0"/>
        <v>185555</v>
      </c>
      <c r="G15" s="308" t="e">
        <f t="shared" si="1"/>
        <v>#DIV/0!</v>
      </c>
      <c r="H15" s="26"/>
      <c r="I15" s="905">
        <f>+ROUND('CE Min'!I40,0)</f>
        <v>57961</v>
      </c>
    </row>
    <row r="16" spans="1:9">
      <c r="A16" s="22"/>
      <c r="B16" s="25"/>
      <c r="C16" s="103" t="s">
        <v>13</v>
      </c>
      <c r="D16" s="333">
        <f>+ROUND('CE Min'!D41,0)</f>
        <v>1200000</v>
      </c>
      <c r="E16" s="333">
        <f>+ROUND('CE Min'!E41,0)</f>
        <v>0</v>
      </c>
      <c r="F16" s="335">
        <f t="shared" si="0"/>
        <v>1200000</v>
      </c>
      <c r="G16" s="308" t="e">
        <f t="shared" si="1"/>
        <v>#DIV/0!</v>
      </c>
      <c r="H16" s="26"/>
      <c r="I16" s="905">
        <f>+ROUND('CE Min'!I41,0)</f>
        <v>0</v>
      </c>
    </row>
    <row r="17" spans="1:9">
      <c r="A17" s="17"/>
      <c r="B17" s="25"/>
      <c r="C17" s="103" t="s">
        <v>14</v>
      </c>
      <c r="D17" s="333">
        <f>+ROUND('CE Min'!D44,0)</f>
        <v>1582010</v>
      </c>
      <c r="E17" s="333">
        <f>+ROUND('CE Min'!E44,0)</f>
        <v>0</v>
      </c>
      <c r="F17" s="335">
        <f t="shared" si="0"/>
        <v>1582010</v>
      </c>
      <c r="G17" s="308" t="e">
        <f t="shared" si="1"/>
        <v>#DIV/0!</v>
      </c>
      <c r="H17" s="26"/>
      <c r="I17" s="905">
        <f>+ROUND('CE Min'!I44,0)</f>
        <v>60251</v>
      </c>
    </row>
    <row r="18" spans="1:9">
      <c r="A18" s="22"/>
      <c r="B18" s="25" t="s">
        <v>15</v>
      </c>
      <c r="C18" s="23"/>
      <c r="D18" s="333">
        <f>SUM(D19:D22)</f>
        <v>0</v>
      </c>
      <c r="E18" s="333">
        <f>SUM(E19:E22)</f>
        <v>0</v>
      </c>
      <c r="F18" s="334">
        <f t="shared" si="0"/>
        <v>0</v>
      </c>
      <c r="G18" s="307" t="e">
        <f t="shared" si="1"/>
        <v>#DIV/0!</v>
      </c>
      <c r="H18" s="24"/>
      <c r="I18" s="905">
        <f>SUM(I19:I22)</f>
        <v>0</v>
      </c>
    </row>
    <row r="19" spans="1:9">
      <c r="A19" s="22"/>
      <c r="B19" s="25"/>
      <c r="C19" s="23" t="s">
        <v>16</v>
      </c>
      <c r="D19" s="333">
        <f>+ROUND('CE Min'!D51,0)</f>
        <v>0</v>
      </c>
      <c r="E19" s="333">
        <f>+ROUND('CE Min'!E51,0)</f>
        <v>0</v>
      </c>
      <c r="F19" s="335">
        <f t="shared" si="0"/>
        <v>0</v>
      </c>
      <c r="G19" s="308" t="e">
        <f t="shared" si="1"/>
        <v>#DIV/0!</v>
      </c>
      <c r="H19" s="26"/>
      <c r="I19" s="905">
        <f>+ROUND('CE Min'!I51,0)</f>
        <v>0</v>
      </c>
    </row>
    <row r="20" spans="1:9">
      <c r="A20" s="22"/>
      <c r="B20" s="25"/>
      <c r="C20" s="23" t="s">
        <v>17</v>
      </c>
      <c r="D20" s="333">
        <f>+ROUND('CE Min'!D52,0)</f>
        <v>0</v>
      </c>
      <c r="E20" s="333">
        <f>+ROUND('CE Min'!E52,0)</f>
        <v>0</v>
      </c>
      <c r="F20" s="335">
        <f t="shared" si="0"/>
        <v>0</v>
      </c>
      <c r="G20" s="308" t="e">
        <f t="shared" si="1"/>
        <v>#DIV/0!</v>
      </c>
      <c r="H20" s="26"/>
      <c r="I20" s="905">
        <f>+ROUND('CE Min'!I52,0)</f>
        <v>0</v>
      </c>
    </row>
    <row r="21" spans="1:9">
      <c r="A21" s="22"/>
      <c r="B21" s="25"/>
      <c r="C21" s="23" t="s">
        <v>18</v>
      </c>
      <c r="D21" s="333">
        <f>+ROUND('CE Min'!D53,0)</f>
        <v>0</v>
      </c>
      <c r="E21" s="333">
        <f>+ROUND('CE Min'!E53,0)</f>
        <v>0</v>
      </c>
      <c r="F21" s="335">
        <f t="shared" si="0"/>
        <v>0</v>
      </c>
      <c r="G21" s="308" t="e">
        <f t="shared" si="1"/>
        <v>#DIV/0!</v>
      </c>
      <c r="H21" s="26"/>
      <c r="I21" s="905">
        <f>+ROUND('CE Min'!I53,0)</f>
        <v>0</v>
      </c>
    </row>
    <row r="22" spans="1:9">
      <c r="A22" s="22"/>
      <c r="B22" s="25"/>
      <c r="C22" s="23" t="s">
        <v>19</v>
      </c>
      <c r="D22" s="333">
        <f>+ROUND('CE Min'!D54,0)</f>
        <v>0</v>
      </c>
      <c r="E22" s="333">
        <f>+ROUND('CE Min'!E54,0)</f>
        <v>0</v>
      </c>
      <c r="F22" s="335">
        <f t="shared" si="0"/>
        <v>0</v>
      </c>
      <c r="G22" s="308" t="e">
        <f t="shared" si="1"/>
        <v>#DIV/0!</v>
      </c>
      <c r="H22" s="26"/>
      <c r="I22" s="905">
        <f>+ROUND('CE Min'!I54,0)</f>
        <v>0</v>
      </c>
    </row>
    <row r="23" spans="1:9">
      <c r="A23" s="22"/>
      <c r="B23" s="25" t="s">
        <v>20</v>
      </c>
      <c r="C23" s="23"/>
      <c r="D23" s="333">
        <f>+ROUND('CE Min'!D55,0)</f>
        <v>92878</v>
      </c>
      <c r="E23" s="333">
        <f>+ROUND('CE Min'!E55,0)</f>
        <v>0</v>
      </c>
      <c r="F23" s="335">
        <f t="shared" si="0"/>
        <v>92878</v>
      </c>
      <c r="G23" s="308" t="e">
        <f t="shared" si="1"/>
        <v>#DIV/0!</v>
      </c>
      <c r="H23" s="26"/>
      <c r="I23" s="905">
        <f>+ROUND('CE Min'!I55,0)</f>
        <v>32878</v>
      </c>
    </row>
    <row r="24" spans="1:9" s="2" customFormat="1">
      <c r="A24" s="17">
        <v>2</v>
      </c>
      <c r="B24" s="19" t="s">
        <v>21</v>
      </c>
      <c r="C24" s="19"/>
      <c r="D24" s="336">
        <f>+ROUND('CE Min'!D56,0)</f>
        <v>-64542</v>
      </c>
      <c r="E24" s="336">
        <f>+ROUND('CE Min'!E56,0)</f>
        <v>0</v>
      </c>
      <c r="F24" s="332">
        <f t="shared" si="0"/>
        <v>-64542</v>
      </c>
      <c r="G24" s="306" t="e">
        <f t="shared" si="1"/>
        <v>#DIV/0!</v>
      </c>
      <c r="H24" s="27"/>
      <c r="I24" s="906">
        <f>+ROUND('CE Min'!I56,0)</f>
        <v>0</v>
      </c>
    </row>
    <row r="25" spans="1:9" s="2" customFormat="1">
      <c r="A25" s="17">
        <v>3</v>
      </c>
      <c r="B25" s="19" t="s">
        <v>22</v>
      </c>
      <c r="C25" s="19"/>
      <c r="D25" s="336">
        <f>+ROUND('CE Min'!D59,0)</f>
        <v>3700679</v>
      </c>
      <c r="E25" s="336">
        <f>+ROUND('CE Min'!E59,0)</f>
        <v>0</v>
      </c>
      <c r="F25" s="332">
        <f t="shared" si="0"/>
        <v>3700679</v>
      </c>
      <c r="G25" s="306" t="e">
        <f t="shared" si="1"/>
        <v>#DIV/0!</v>
      </c>
      <c r="H25" s="27"/>
      <c r="I25" s="906">
        <f>+ROUND('CE Min'!I59,0)</f>
        <v>0</v>
      </c>
    </row>
    <row r="26" spans="1:9" s="2" customFormat="1">
      <c r="A26" s="17">
        <v>4</v>
      </c>
      <c r="B26" s="19" t="s">
        <v>23</v>
      </c>
      <c r="C26" s="19"/>
      <c r="D26" s="332">
        <f>SUM(D27:D29)</f>
        <v>38786792</v>
      </c>
      <c r="E26" s="332">
        <f>SUM(E27:E29)</f>
        <v>0</v>
      </c>
      <c r="F26" s="332">
        <f t="shared" si="0"/>
        <v>38786792</v>
      </c>
      <c r="G26" s="306" t="e">
        <f t="shared" si="1"/>
        <v>#DIV/0!</v>
      </c>
      <c r="H26" s="27"/>
      <c r="I26" s="904">
        <f>SUM(I27:I29)</f>
        <v>258247317</v>
      </c>
    </row>
    <row r="27" spans="1:9">
      <c r="A27" s="17"/>
      <c r="B27" s="23" t="s">
        <v>24</v>
      </c>
      <c r="C27" s="28"/>
      <c r="D27" s="333">
        <f>+ROUND('CE Min'!D66,0)</f>
        <v>27970986</v>
      </c>
      <c r="E27" s="333">
        <f>+ROUND('CE Min'!E66,0)</f>
        <v>0</v>
      </c>
      <c r="F27" s="335">
        <f t="shared" si="0"/>
        <v>27970986</v>
      </c>
      <c r="G27" s="308" t="e">
        <f t="shared" si="1"/>
        <v>#DIV/0!</v>
      </c>
      <c r="H27" s="26"/>
      <c r="I27" s="905">
        <f>+ROUND('CE Min'!I66,0)</f>
        <v>251883820</v>
      </c>
    </row>
    <row r="28" spans="1:9">
      <c r="A28" s="22"/>
      <c r="B28" s="23" t="s">
        <v>25</v>
      </c>
      <c r="C28" s="28"/>
      <c r="D28" s="333">
        <f>+ROUND('CE Min'!D112,0)</f>
        <v>5631289</v>
      </c>
      <c r="E28" s="333">
        <f>+ROUND('CE Min'!E112,0)</f>
        <v>0</v>
      </c>
      <c r="F28" s="335">
        <f t="shared" si="0"/>
        <v>5631289</v>
      </c>
      <c r="G28" s="308" t="e">
        <f t="shared" si="1"/>
        <v>#DIV/0!</v>
      </c>
      <c r="H28" s="26"/>
      <c r="I28" s="905">
        <f>+ROUND('CE Min'!I112,0)</f>
        <v>4941654</v>
      </c>
    </row>
    <row r="29" spans="1:9">
      <c r="A29" s="17"/>
      <c r="B29" s="23" t="s">
        <v>26</v>
      </c>
      <c r="C29" s="28"/>
      <c r="D29" s="333">
        <f>+ROUND('CE Min'!D105+'CE Min'!D111,0)</f>
        <v>5184517</v>
      </c>
      <c r="E29" s="333">
        <f>+ROUND('CE Min'!E105+'CE Min'!E111,0)</f>
        <v>0</v>
      </c>
      <c r="F29" s="335">
        <f t="shared" si="0"/>
        <v>5184517</v>
      </c>
      <c r="G29" s="308" t="e">
        <f t="shared" si="1"/>
        <v>#DIV/0!</v>
      </c>
      <c r="H29" s="26"/>
      <c r="I29" s="905">
        <f>+ROUND('CE Min'!I105+'CE Min'!I111,0)</f>
        <v>1421843</v>
      </c>
    </row>
    <row r="30" spans="1:9" s="2" customFormat="1">
      <c r="A30" s="17">
        <v>5</v>
      </c>
      <c r="B30" s="19" t="s">
        <v>27</v>
      </c>
      <c r="C30" s="19"/>
      <c r="D30" s="336">
        <f>+ROUND(+'CE Min'!D120,0)</f>
        <v>25647705</v>
      </c>
      <c r="E30" s="336">
        <f>+ROUND(+'CE Min'!E120,0)</f>
        <v>0</v>
      </c>
      <c r="F30" s="332">
        <f t="shared" si="0"/>
        <v>25647705</v>
      </c>
      <c r="G30" s="306" t="e">
        <f t="shared" si="1"/>
        <v>#DIV/0!</v>
      </c>
      <c r="H30" s="27"/>
      <c r="I30" s="906">
        <f>+ROUND(+'CE Min'!I120,0)</f>
        <v>21471203</v>
      </c>
    </row>
    <row r="31" spans="1:9" s="2" customFormat="1">
      <c r="A31" s="17">
        <v>6</v>
      </c>
      <c r="B31" s="19" t="s">
        <v>28</v>
      </c>
      <c r="C31" s="19"/>
      <c r="D31" s="336">
        <f>+ROUND('CE Min'!D141,0)</f>
        <v>7192480</v>
      </c>
      <c r="E31" s="336">
        <f>+ROUND('CE Min'!E141,0)</f>
        <v>0</v>
      </c>
      <c r="F31" s="332">
        <f t="shared" si="0"/>
        <v>7192480</v>
      </c>
      <c r="G31" s="306" t="e">
        <f t="shared" si="1"/>
        <v>#DIV/0!</v>
      </c>
      <c r="H31" s="27"/>
      <c r="I31" s="906">
        <f>+ROUND('CE Min'!I141,0)</f>
        <v>5573991</v>
      </c>
    </row>
    <row r="32" spans="1:9" s="2" customFormat="1">
      <c r="A32" s="17">
        <v>7</v>
      </c>
      <c r="B32" s="19" t="s">
        <v>29</v>
      </c>
      <c r="C32" s="19"/>
      <c r="D32" s="336">
        <f>+ROUND('CE Min'!D145,0)</f>
        <v>24863635</v>
      </c>
      <c r="E32" s="336">
        <f>+ROUND('CE Min'!E145,0)</f>
        <v>0</v>
      </c>
      <c r="F32" s="332">
        <f t="shared" si="0"/>
        <v>24863635</v>
      </c>
      <c r="G32" s="306" t="e">
        <f t="shared" si="1"/>
        <v>#DIV/0!</v>
      </c>
      <c r="H32" s="27"/>
      <c r="I32" s="906">
        <f>+ROUND('CE Min'!I145,0)</f>
        <v>19994300</v>
      </c>
    </row>
    <row r="33" spans="1:9" s="2" customFormat="1">
      <c r="A33" s="17">
        <v>8</v>
      </c>
      <c r="B33" s="19" t="s">
        <v>30</v>
      </c>
      <c r="C33" s="19"/>
      <c r="D33" s="336">
        <f>+ROUND(+'CE Min'!D152,0)</f>
        <v>0</v>
      </c>
      <c r="E33" s="336">
        <f>+ROUND(+'CE Min'!E152,0)</f>
        <v>0</v>
      </c>
      <c r="F33" s="337">
        <f t="shared" si="0"/>
        <v>0</v>
      </c>
      <c r="G33" s="309" t="e">
        <f t="shared" si="1"/>
        <v>#DIV/0!</v>
      </c>
      <c r="H33" s="27"/>
      <c r="I33" s="906">
        <f>+ROUND(+'CE Min'!I152,0)</f>
        <v>0</v>
      </c>
    </row>
    <row r="34" spans="1:9" s="2" customFormat="1">
      <c r="A34" s="17">
        <v>9</v>
      </c>
      <c r="B34" s="19" t="s">
        <v>31</v>
      </c>
      <c r="C34" s="19"/>
      <c r="D34" s="336">
        <f>+ROUND(+'CE Min'!D153,0)</f>
        <v>992602</v>
      </c>
      <c r="E34" s="336">
        <f>+ROUND(+'CE Min'!E153,0)</f>
        <v>0</v>
      </c>
      <c r="F34" s="337">
        <f t="shared" si="0"/>
        <v>992602</v>
      </c>
      <c r="G34" s="309" t="e">
        <f t="shared" si="1"/>
        <v>#DIV/0!</v>
      </c>
      <c r="H34" s="27"/>
      <c r="I34" s="906">
        <f>+ROUND(+'CE Min'!I153,0)</f>
        <v>549028</v>
      </c>
    </row>
    <row r="35" spans="1:9" s="2" customFormat="1">
      <c r="A35" s="964" t="s">
        <v>32</v>
      </c>
      <c r="B35" s="965"/>
      <c r="C35" s="965"/>
      <c r="D35" s="338">
        <f>D9+D24+D25+D26+SUM(D30:D34)</f>
        <v>910143778</v>
      </c>
      <c r="E35" s="338">
        <f>E9+E24+E25+E26+SUM(E30:E34)</f>
        <v>0</v>
      </c>
      <c r="F35" s="339">
        <f>+D35-E35</f>
        <v>910143778</v>
      </c>
      <c r="G35" s="263" t="e">
        <f t="shared" si="1"/>
        <v>#DIV/0!</v>
      </c>
      <c r="H35" s="27"/>
      <c r="I35" s="907">
        <f>I9+I24+I25+I26+SUM(I30:I34)</f>
        <v>409885091</v>
      </c>
    </row>
    <row r="36" spans="1:9">
      <c r="A36" s="22"/>
      <c r="B36" s="29"/>
      <c r="C36" s="20"/>
      <c r="D36" s="340"/>
      <c r="E36" s="340"/>
      <c r="F36" s="335"/>
      <c r="G36" s="308"/>
      <c r="H36" s="24"/>
      <c r="I36" s="908"/>
    </row>
    <row r="37" spans="1:9" s="2" customFormat="1">
      <c r="A37" s="17" t="s">
        <v>33</v>
      </c>
      <c r="B37" s="18"/>
      <c r="C37" s="30" t="s">
        <v>34</v>
      </c>
      <c r="D37" s="341"/>
      <c r="E37" s="341"/>
      <c r="F37" s="337"/>
      <c r="G37" s="309"/>
      <c r="H37" s="24"/>
      <c r="I37" s="909"/>
    </row>
    <row r="38" spans="1:9" s="2" customFormat="1">
      <c r="A38" s="17">
        <v>1</v>
      </c>
      <c r="B38" s="19" t="s">
        <v>35</v>
      </c>
      <c r="C38" s="31"/>
      <c r="D38" s="341">
        <f>SUM(D39:D40)</f>
        <v>145520385</v>
      </c>
      <c r="E38" s="341">
        <f>SUM(E39:E40)</f>
        <v>0</v>
      </c>
      <c r="F38" s="337">
        <f>+D38-E38</f>
        <v>145520385</v>
      </c>
      <c r="G38" s="309" t="e">
        <f t="shared" si="1"/>
        <v>#DIV/0!</v>
      </c>
      <c r="H38" s="27"/>
      <c r="I38" s="909">
        <f>SUM(I39:I40)</f>
        <v>103720546</v>
      </c>
    </row>
    <row r="39" spans="1:9">
      <c r="A39" s="17"/>
      <c r="B39" s="23" t="s">
        <v>36</v>
      </c>
      <c r="C39" s="28"/>
      <c r="D39" s="334">
        <f>+ROUND('CE Min'!D160,0)+1</f>
        <v>134350315</v>
      </c>
      <c r="E39" s="333">
        <f>+ROUND('CE Min'!E160,0)</f>
        <v>0</v>
      </c>
      <c r="F39" s="335">
        <f t="shared" ref="F39:F102" si="2">+D39-E39</f>
        <v>134350315</v>
      </c>
      <c r="G39" s="308" t="e">
        <f t="shared" si="1"/>
        <v>#DIV/0!</v>
      </c>
      <c r="H39" s="26"/>
      <c r="I39" s="905">
        <f>+ROUND('CE Min'!I160,0)</f>
        <v>99676728</v>
      </c>
    </row>
    <row r="40" spans="1:9">
      <c r="A40" s="22"/>
      <c r="B40" s="23" t="s">
        <v>37</v>
      </c>
      <c r="C40" s="28"/>
      <c r="D40" s="334">
        <f>+ROUND('CE Min'!D191,0)</f>
        <v>11170070</v>
      </c>
      <c r="E40" s="333">
        <f>+ROUND('CE Min'!E191,0)</f>
        <v>0</v>
      </c>
      <c r="F40" s="335">
        <f t="shared" si="2"/>
        <v>11170070</v>
      </c>
      <c r="G40" s="308" t="e">
        <f t="shared" si="1"/>
        <v>#DIV/0!</v>
      </c>
      <c r="H40" s="26"/>
      <c r="I40" s="905">
        <f>+ROUND('CE Min'!I191,0)</f>
        <v>4043818</v>
      </c>
    </row>
    <row r="41" spans="1:9" s="2" customFormat="1">
      <c r="A41" s="17">
        <v>2</v>
      </c>
      <c r="B41" s="19" t="s">
        <v>38</v>
      </c>
      <c r="C41" s="31"/>
      <c r="D41" s="337">
        <f>SUM(D42:D58)</f>
        <v>299520009</v>
      </c>
      <c r="E41" s="341">
        <f>SUM(E42:E58)</f>
        <v>0</v>
      </c>
      <c r="F41" s="337">
        <f t="shared" si="2"/>
        <v>299520009</v>
      </c>
      <c r="G41" s="309" t="e">
        <f t="shared" si="1"/>
        <v>#DIV/0!</v>
      </c>
      <c r="H41" s="27"/>
      <c r="I41" s="909">
        <f>SUM(I42:I58)</f>
        <v>12666185</v>
      </c>
    </row>
    <row r="42" spans="1:9">
      <c r="A42" s="22"/>
      <c r="B42" s="25" t="s">
        <v>39</v>
      </c>
      <c r="C42" s="23"/>
      <c r="D42" s="334">
        <f>+ROUND('CE Min'!D201,0)</f>
        <v>38421526</v>
      </c>
      <c r="E42" s="333">
        <f>+ROUND('CE Min'!E201,0)</f>
        <v>0</v>
      </c>
      <c r="F42" s="335">
        <f t="shared" si="2"/>
        <v>38421526</v>
      </c>
      <c r="G42" s="308" t="e">
        <f t="shared" si="1"/>
        <v>#DIV/0!</v>
      </c>
      <c r="H42" s="26"/>
      <c r="I42" s="905">
        <f>+ROUND('CE Min'!I201,0)</f>
        <v>0</v>
      </c>
    </row>
    <row r="43" spans="1:9">
      <c r="A43" s="22"/>
      <c r="B43" s="25" t="s">
        <v>40</v>
      </c>
      <c r="C43" s="23"/>
      <c r="D43" s="334">
        <f>+ROUND('CE Min'!D209,0)</f>
        <v>51489693</v>
      </c>
      <c r="E43" s="333">
        <f>+ROUND('CE Min'!E209,0)</f>
        <v>0</v>
      </c>
      <c r="F43" s="335">
        <f t="shared" si="2"/>
        <v>51489693</v>
      </c>
      <c r="G43" s="308" t="e">
        <f t="shared" si="1"/>
        <v>#DIV/0!</v>
      </c>
      <c r="H43" s="26"/>
      <c r="I43" s="905">
        <f>+ROUND('CE Min'!I209,0)</f>
        <v>0</v>
      </c>
    </row>
    <row r="44" spans="1:9">
      <c r="A44" s="22"/>
      <c r="B44" s="25" t="s">
        <v>41</v>
      </c>
      <c r="C44" s="23"/>
      <c r="D44" s="334">
        <f>+ROUND('CE Min'!D213,0)</f>
        <v>35284659</v>
      </c>
      <c r="E44" s="333">
        <f>+ROUND('CE Min'!E213,0)</f>
        <v>0</v>
      </c>
      <c r="F44" s="335">
        <f t="shared" si="2"/>
        <v>35284659</v>
      </c>
      <c r="G44" s="308" t="e">
        <f t="shared" si="1"/>
        <v>#DIV/0!</v>
      </c>
      <c r="H44" s="26"/>
      <c r="I44" s="905">
        <f>+ROUND('CE Min'!I213,0)</f>
        <v>745841</v>
      </c>
    </row>
    <row r="45" spans="1:9">
      <c r="A45" s="22"/>
      <c r="B45" s="25" t="s">
        <v>42</v>
      </c>
      <c r="C45" s="23"/>
      <c r="D45" s="334">
        <f>+ROUND('CE Min'!D232,0)</f>
        <v>1359720</v>
      </c>
      <c r="E45" s="333">
        <f>+ROUND('CE Min'!E232,0)</f>
        <v>0</v>
      </c>
      <c r="F45" s="335">
        <f t="shared" si="2"/>
        <v>1359720</v>
      </c>
      <c r="G45" s="308" t="e">
        <f t="shared" si="1"/>
        <v>#DIV/0!</v>
      </c>
      <c r="H45" s="26"/>
      <c r="I45" s="905">
        <f>+ROUND('CE Min'!I232,0)</f>
        <v>0</v>
      </c>
    </row>
    <row r="46" spans="1:9">
      <c r="A46" s="22"/>
      <c r="B46" s="25" t="s">
        <v>43</v>
      </c>
      <c r="C46" s="23"/>
      <c r="D46" s="334">
        <f>+ROUND('CE Min'!D238,0)</f>
        <v>11960456</v>
      </c>
      <c r="E46" s="333">
        <f>+ROUND('CE Min'!E238,0)</f>
        <v>0</v>
      </c>
      <c r="F46" s="335">
        <f t="shared" si="2"/>
        <v>11960456</v>
      </c>
      <c r="G46" s="308" t="e">
        <f t="shared" si="1"/>
        <v>#DIV/0!</v>
      </c>
      <c r="H46" s="26"/>
      <c r="I46" s="905">
        <f>+ROUND('CE Min'!I238,0)</f>
        <v>0</v>
      </c>
    </row>
    <row r="47" spans="1:9">
      <c r="A47" s="22"/>
      <c r="B47" s="25" t="s">
        <v>44</v>
      </c>
      <c r="C47" s="23"/>
      <c r="D47" s="334">
        <f>+ROUND('CE Min'!D243,0)</f>
        <v>4115824</v>
      </c>
      <c r="E47" s="333">
        <f>+ROUND('CE Min'!E243,0)</f>
        <v>0</v>
      </c>
      <c r="F47" s="335">
        <f t="shared" si="2"/>
        <v>4115824</v>
      </c>
      <c r="G47" s="308" t="e">
        <f t="shared" si="1"/>
        <v>#DIV/0!</v>
      </c>
      <c r="H47" s="26"/>
      <c r="I47" s="905">
        <f>+ROUND('CE Min'!I243,0)</f>
        <v>0</v>
      </c>
    </row>
    <row r="48" spans="1:9">
      <c r="A48" s="22"/>
      <c r="B48" s="25" t="s">
        <v>45</v>
      </c>
      <c r="C48" s="23"/>
      <c r="D48" s="334">
        <f>+ROUND('CE Min'!D248,0)</f>
        <v>72337143</v>
      </c>
      <c r="E48" s="333">
        <f>+ROUND('CE Min'!E248,0)</f>
        <v>0</v>
      </c>
      <c r="F48" s="335">
        <f t="shared" si="2"/>
        <v>72337143</v>
      </c>
      <c r="G48" s="308" t="e">
        <f t="shared" si="1"/>
        <v>#DIV/0!</v>
      </c>
      <c r="H48" s="26"/>
      <c r="I48" s="905">
        <f>+ROUND('CE Min'!I248,0)</f>
        <v>0</v>
      </c>
    </row>
    <row r="49" spans="1:9">
      <c r="A49" s="22"/>
      <c r="B49" s="25" t="s">
        <v>46</v>
      </c>
      <c r="C49" s="23"/>
      <c r="D49" s="334">
        <f>+ROUND('CE Min'!D258,0)+1</f>
        <v>6029435</v>
      </c>
      <c r="E49" s="333">
        <f>+ROUND('CE Min'!E258,0)</f>
        <v>0</v>
      </c>
      <c r="F49" s="335">
        <f t="shared" si="2"/>
        <v>6029435</v>
      </c>
      <c r="G49" s="308" t="e">
        <f t="shared" si="1"/>
        <v>#DIV/0!</v>
      </c>
      <c r="H49" s="26"/>
      <c r="I49" s="905">
        <f>+ROUND('CE Min'!I258,0)</f>
        <v>0</v>
      </c>
    </row>
    <row r="50" spans="1:9">
      <c r="A50" s="22"/>
      <c r="B50" s="25" t="s">
        <v>47</v>
      </c>
      <c r="C50" s="23"/>
      <c r="D50" s="334">
        <f>+ROUND('CE Min'!D264,0)</f>
        <v>8123912</v>
      </c>
      <c r="E50" s="333">
        <f>+ROUND('CE Min'!E264,0)</f>
        <v>0</v>
      </c>
      <c r="F50" s="335">
        <f t="shared" si="2"/>
        <v>8123912</v>
      </c>
      <c r="G50" s="308" t="e">
        <f t="shared" si="1"/>
        <v>#DIV/0!</v>
      </c>
      <c r="H50" s="26"/>
      <c r="I50" s="905">
        <f>+ROUND('CE Min'!I264,0)</f>
        <v>0</v>
      </c>
    </row>
    <row r="51" spans="1:9">
      <c r="A51" s="22"/>
      <c r="B51" s="25" t="s">
        <v>48</v>
      </c>
      <c r="C51" s="23"/>
      <c r="D51" s="334">
        <f>+ROUND('CE Min'!D271,0)</f>
        <v>623659</v>
      </c>
      <c r="E51" s="333">
        <f>+ROUND('CE Min'!E271,0)</f>
        <v>0</v>
      </c>
      <c r="F51" s="335">
        <f t="shared" si="2"/>
        <v>623659</v>
      </c>
      <c r="G51" s="308" t="e">
        <f t="shared" si="1"/>
        <v>#DIV/0!</v>
      </c>
      <c r="H51" s="26"/>
      <c r="I51" s="905">
        <f>+ROUND('CE Min'!I271,0)</f>
        <v>0</v>
      </c>
    </row>
    <row r="52" spans="1:9">
      <c r="A52" s="22"/>
      <c r="B52" s="25" t="s">
        <v>49</v>
      </c>
      <c r="C52" s="23"/>
      <c r="D52" s="334">
        <f>+ROUND('CE Min'!D277,0)</f>
        <v>7615104</v>
      </c>
      <c r="E52" s="333">
        <f>+ROUND('CE Min'!E277,0)</f>
        <v>0</v>
      </c>
      <c r="F52" s="335">
        <f t="shared" si="2"/>
        <v>7615104</v>
      </c>
      <c r="G52" s="308" t="e">
        <f t="shared" si="1"/>
        <v>#DIV/0!</v>
      </c>
      <c r="H52" s="26"/>
      <c r="I52" s="905">
        <f>+ROUND('CE Min'!I277,0)</f>
        <v>2144807</v>
      </c>
    </row>
    <row r="53" spans="1:9">
      <c r="A53" s="22"/>
      <c r="B53" s="25" t="s">
        <v>50</v>
      </c>
      <c r="C53" s="23"/>
      <c r="D53" s="334">
        <f>+ROUND('CE Min'!D282,0)+1</f>
        <v>38434582</v>
      </c>
      <c r="E53" s="333">
        <f>+ROUND('CE Min'!E282,0)</f>
        <v>0</v>
      </c>
      <c r="F53" s="335">
        <f t="shared" si="2"/>
        <v>38434582</v>
      </c>
      <c r="G53" s="308" t="e">
        <f t="shared" si="1"/>
        <v>#DIV/0!</v>
      </c>
      <c r="H53" s="26"/>
      <c r="I53" s="905">
        <f>+ROUND('CE Min'!I282,0)</f>
        <v>0</v>
      </c>
    </row>
    <row r="54" spans="1:9">
      <c r="A54" s="22"/>
      <c r="B54" s="25" t="s">
        <v>51</v>
      </c>
      <c r="C54" s="23"/>
      <c r="D54" s="334">
        <f>+ROUND('CE Min'!D291,0)+1</f>
        <v>4387660</v>
      </c>
      <c r="E54" s="333">
        <f>+ROUND('CE Min'!E291,0)</f>
        <v>0</v>
      </c>
      <c r="F54" s="335">
        <f t="shared" si="2"/>
        <v>4387660</v>
      </c>
      <c r="G54" s="308" t="e">
        <f t="shared" si="1"/>
        <v>#DIV/0!</v>
      </c>
      <c r="H54" s="26"/>
      <c r="I54" s="905">
        <f>+ROUND('CE Min'!I291,0)</f>
        <v>2699684</v>
      </c>
    </row>
    <row r="55" spans="1:9">
      <c r="A55" s="22"/>
      <c r="B55" s="25" t="s">
        <v>52</v>
      </c>
      <c r="C55" s="23"/>
      <c r="D55" s="333">
        <f>+ROUND('CE Min'!D299,0)</f>
        <v>4345782</v>
      </c>
      <c r="E55" s="333">
        <f>+ROUND('CE Min'!E299,0)</f>
        <v>0</v>
      </c>
      <c r="F55" s="335">
        <f t="shared" si="2"/>
        <v>4345782</v>
      </c>
      <c r="G55" s="308" t="e">
        <f t="shared" si="1"/>
        <v>#DIV/0!</v>
      </c>
      <c r="H55" s="26"/>
      <c r="I55" s="905">
        <f>+ROUND('CE Min'!I299,0)</f>
        <v>567745</v>
      </c>
    </row>
    <row r="56" spans="1:9">
      <c r="A56" s="22"/>
      <c r="B56" s="968" t="s">
        <v>53</v>
      </c>
      <c r="C56" s="969"/>
      <c r="D56" s="333">
        <f>+ROUND('CE Min'!D307,0)</f>
        <v>9584637</v>
      </c>
      <c r="E56" s="333">
        <f>+ROUND('CE Min'!E307,0)</f>
        <v>0</v>
      </c>
      <c r="F56" s="335">
        <f t="shared" si="2"/>
        <v>9584637</v>
      </c>
      <c r="G56" s="308" t="e">
        <f t="shared" si="1"/>
        <v>#DIV/0!</v>
      </c>
      <c r="H56" s="26"/>
      <c r="I56" s="905">
        <f>+ROUND('CE Min'!I307,0)</f>
        <v>3786242</v>
      </c>
    </row>
    <row r="57" spans="1:9">
      <c r="A57" s="22"/>
      <c r="B57" s="25" t="s">
        <v>54</v>
      </c>
      <c r="C57" s="23"/>
      <c r="D57" s="333">
        <f>+ROUND('CE Min'!D321,0)</f>
        <v>5406217</v>
      </c>
      <c r="E57" s="333">
        <f>+ROUND('CE Min'!E321,0)</f>
        <v>0</v>
      </c>
      <c r="F57" s="335">
        <f t="shared" si="2"/>
        <v>5406217</v>
      </c>
      <c r="G57" s="308" t="e">
        <f t="shared" si="1"/>
        <v>#DIV/0!</v>
      </c>
      <c r="H57" s="26"/>
      <c r="I57" s="905">
        <f>+ROUND('CE Min'!I321,0)</f>
        <v>2721866</v>
      </c>
    </row>
    <row r="58" spans="1:9">
      <c r="A58" s="22"/>
      <c r="B58" s="25" t="s">
        <v>55</v>
      </c>
      <c r="C58" s="23"/>
      <c r="D58" s="333">
        <f>+ROUND('CE Min'!D329,0)</f>
        <v>0</v>
      </c>
      <c r="E58" s="333">
        <f>+ROUND('CE Min'!E329,0)</f>
        <v>0</v>
      </c>
      <c r="F58" s="335">
        <f t="shared" si="2"/>
        <v>0</v>
      </c>
      <c r="G58" s="308" t="e">
        <f t="shared" si="1"/>
        <v>#DIV/0!</v>
      </c>
      <c r="H58" s="26"/>
      <c r="I58" s="905">
        <f>+ROUND('CE Min'!I329,0)</f>
        <v>0</v>
      </c>
    </row>
    <row r="59" spans="1:9" s="2" customFormat="1">
      <c r="A59" s="17">
        <v>3</v>
      </c>
      <c r="B59" s="19" t="s">
        <v>56</v>
      </c>
      <c r="C59" s="31"/>
      <c r="D59" s="341">
        <f>SUM(D60:D62)</f>
        <v>63927961</v>
      </c>
      <c r="E59" s="341">
        <f>SUM(E60:E62)</f>
        <v>0</v>
      </c>
      <c r="F59" s="337">
        <f t="shared" si="2"/>
        <v>63927961</v>
      </c>
      <c r="G59" s="309" t="e">
        <f t="shared" si="1"/>
        <v>#DIV/0!</v>
      </c>
      <c r="H59" s="27"/>
      <c r="I59" s="909">
        <f>SUM(I60:I62)</f>
        <v>46286672</v>
      </c>
    </row>
    <row r="60" spans="1:9">
      <c r="A60" s="22"/>
      <c r="B60" s="25" t="s">
        <v>57</v>
      </c>
      <c r="C60" s="23"/>
      <c r="D60" s="333">
        <f>+ROUND('CE Min'!D331,0)</f>
        <v>61826535</v>
      </c>
      <c r="E60" s="333">
        <f>+ROUND('CE Min'!E331,0)</f>
        <v>0</v>
      </c>
      <c r="F60" s="335">
        <f t="shared" si="2"/>
        <v>61826535</v>
      </c>
      <c r="G60" s="308" t="e">
        <f t="shared" si="1"/>
        <v>#DIV/0!</v>
      </c>
      <c r="H60" s="26"/>
      <c r="I60" s="905">
        <f>+ROUND('CE Min'!I331,0)</f>
        <v>44931520</v>
      </c>
    </row>
    <row r="61" spans="1:9">
      <c r="A61" s="22"/>
      <c r="B61" s="968" t="s">
        <v>58</v>
      </c>
      <c r="C61" s="969"/>
      <c r="D61" s="333">
        <f>+ROUND('CE Min'!D351,0)</f>
        <v>1910827</v>
      </c>
      <c r="E61" s="333">
        <f>+ROUND('CE Min'!E351,0)</f>
        <v>0</v>
      </c>
      <c r="F61" s="335">
        <f t="shared" si="2"/>
        <v>1910827</v>
      </c>
      <c r="G61" s="308" t="e">
        <f t="shared" si="1"/>
        <v>#DIV/0!</v>
      </c>
      <c r="H61" s="26"/>
      <c r="I61" s="905">
        <f>+ROUND('CE Min'!I351,0)</f>
        <v>1200787</v>
      </c>
    </row>
    <row r="62" spans="1:9">
      <c r="A62" s="22"/>
      <c r="B62" s="25" t="s">
        <v>59</v>
      </c>
      <c r="C62" s="23"/>
      <c r="D62" s="333">
        <f>+ROUND('CE Min'!D365,0)</f>
        <v>190599</v>
      </c>
      <c r="E62" s="333">
        <f>+ROUND('CE Min'!E365,0)</f>
        <v>0</v>
      </c>
      <c r="F62" s="335">
        <f t="shared" si="2"/>
        <v>190599</v>
      </c>
      <c r="G62" s="308" t="e">
        <f t="shared" si="1"/>
        <v>#DIV/0!</v>
      </c>
      <c r="H62" s="26"/>
      <c r="I62" s="905">
        <f>+ROUND('CE Min'!I365,0)</f>
        <v>154365</v>
      </c>
    </row>
    <row r="63" spans="1:9" s="2" customFormat="1">
      <c r="A63" s="17">
        <v>4</v>
      </c>
      <c r="B63" s="32" t="s">
        <v>60</v>
      </c>
      <c r="C63" s="31"/>
      <c r="D63" s="341">
        <f>+ROUND('CE Min'!D368,0)</f>
        <v>15111998</v>
      </c>
      <c r="E63" s="341">
        <f>+ROUND('CE Min'!E368,0)</f>
        <v>0</v>
      </c>
      <c r="F63" s="337">
        <f t="shared" si="2"/>
        <v>15111998</v>
      </c>
      <c r="G63" s="309" t="e">
        <f t="shared" si="1"/>
        <v>#DIV/0!</v>
      </c>
      <c r="H63" s="27"/>
      <c r="I63" s="909">
        <f>+ROUND('CE Min'!I368,0)</f>
        <v>11419260</v>
      </c>
    </row>
    <row r="64" spans="1:9" s="2" customFormat="1" ht="14.25" customHeight="1">
      <c r="A64" s="17">
        <v>5</v>
      </c>
      <c r="B64" s="19" t="s">
        <v>61</v>
      </c>
      <c r="C64" s="19"/>
      <c r="D64" s="341">
        <f>+ROUND('CE Min'!D376,0)</f>
        <v>3580781</v>
      </c>
      <c r="E64" s="341">
        <f>+ROUND('CE Min'!E376,0)</f>
        <v>0</v>
      </c>
      <c r="F64" s="337">
        <f t="shared" si="2"/>
        <v>3580781</v>
      </c>
      <c r="G64" s="309" t="e">
        <f t="shared" si="1"/>
        <v>#DIV/0!</v>
      </c>
      <c r="H64" s="27"/>
      <c r="I64" s="909">
        <f>+ROUND('CE Min'!I376,0)</f>
        <v>2514131</v>
      </c>
    </row>
    <row r="65" spans="1:9" s="2" customFormat="1" ht="12.6" customHeight="1">
      <c r="A65" s="17">
        <v>6</v>
      </c>
      <c r="B65" s="19" t="s">
        <v>62</v>
      </c>
      <c r="C65" s="31"/>
      <c r="D65" s="341">
        <f>SUM(D66:D70)</f>
        <v>300902896</v>
      </c>
      <c r="E65" s="341">
        <f>SUM(E66:E70)</f>
        <v>0</v>
      </c>
      <c r="F65" s="337">
        <f t="shared" si="2"/>
        <v>300902896</v>
      </c>
      <c r="G65" s="309" t="e">
        <f t="shared" si="1"/>
        <v>#DIV/0!</v>
      </c>
      <c r="H65" s="27"/>
      <c r="I65" s="909">
        <f>SUM(I66:I70)</f>
        <v>194917609</v>
      </c>
    </row>
    <row r="66" spans="1:9">
      <c r="A66" s="17"/>
      <c r="B66" s="23" t="s">
        <v>63</v>
      </c>
      <c r="C66" s="28"/>
      <c r="D66" s="333">
        <f>+ROUND('CE Min'!D389,0)</f>
        <v>85867046</v>
      </c>
      <c r="E66" s="333">
        <f>+ROUND('CE Min'!E389,0)</f>
        <v>0</v>
      </c>
      <c r="F66" s="335">
        <f t="shared" si="2"/>
        <v>85867046</v>
      </c>
      <c r="G66" s="308" t="e">
        <f t="shared" si="1"/>
        <v>#DIV/0!</v>
      </c>
      <c r="H66" s="26"/>
      <c r="I66" s="905">
        <f>+ROUND('CE Min'!I389,0)</f>
        <v>68811754</v>
      </c>
    </row>
    <row r="67" spans="1:9">
      <c r="A67" s="17"/>
      <c r="B67" s="23" t="s">
        <v>64</v>
      </c>
      <c r="C67" s="28"/>
      <c r="D67" s="333">
        <f>+ROUND('CE Min'!D393,0)</f>
        <v>11254443</v>
      </c>
      <c r="E67" s="333">
        <f>+ROUND('CE Min'!E393,0)</f>
        <v>0</v>
      </c>
      <c r="F67" s="335">
        <f t="shared" si="2"/>
        <v>11254443</v>
      </c>
      <c r="G67" s="308" t="e">
        <f t="shared" si="1"/>
        <v>#DIV/0!</v>
      </c>
      <c r="H67" s="26"/>
      <c r="I67" s="905">
        <f>+ROUND('CE Min'!I393,0)</f>
        <v>2028589</v>
      </c>
    </row>
    <row r="68" spans="1:9">
      <c r="A68" s="17"/>
      <c r="B68" s="23" t="s">
        <v>65</v>
      </c>
      <c r="C68" s="28"/>
      <c r="D68" s="333">
        <f>+ROUND('CE Min'!D397,0)</f>
        <v>138816660</v>
      </c>
      <c r="E68" s="333">
        <f>+ROUND('CE Min'!E397,0)</f>
        <v>0</v>
      </c>
      <c r="F68" s="335">
        <f t="shared" si="2"/>
        <v>138816660</v>
      </c>
      <c r="G68" s="308" t="e">
        <f t="shared" si="1"/>
        <v>#DIV/0!</v>
      </c>
      <c r="H68" s="26"/>
      <c r="I68" s="905">
        <f>+ROUND('CE Min'!I397,0)</f>
        <v>90291752</v>
      </c>
    </row>
    <row r="69" spans="1:9">
      <c r="A69" s="22"/>
      <c r="B69" s="23" t="s">
        <v>66</v>
      </c>
      <c r="C69" s="28"/>
      <c r="D69" s="333">
        <f>+ROUND('CE Min'!D402+'CE Min'!D411+'CE Min'!D420,0)</f>
        <v>3804494</v>
      </c>
      <c r="E69" s="333">
        <f>+ROUND('CE Min'!E402+'CE Min'!E411+'CE Min'!E420,0)</f>
        <v>0</v>
      </c>
      <c r="F69" s="335">
        <f t="shared" si="2"/>
        <v>3804494</v>
      </c>
      <c r="G69" s="308" t="e">
        <f t="shared" si="1"/>
        <v>#DIV/0!</v>
      </c>
      <c r="H69" s="26"/>
      <c r="I69" s="905">
        <f>+ROUND('CE Min'!I402+'CE Min'!I411+'CE Min'!I420,0)</f>
        <v>0</v>
      </c>
    </row>
    <row r="70" spans="1:9">
      <c r="A70" s="22"/>
      <c r="B70" s="23" t="s">
        <v>67</v>
      </c>
      <c r="C70" s="28"/>
      <c r="D70" s="333">
        <f>+ROUND('CE Min'!D406+'CE Min'!D415+'CE Min'!D424,0)</f>
        <v>61160253</v>
      </c>
      <c r="E70" s="333">
        <f>+ROUND('CE Min'!E406+'CE Min'!E415+'CE Min'!E424,0)</f>
        <v>0</v>
      </c>
      <c r="F70" s="335">
        <f t="shared" si="2"/>
        <v>61160253</v>
      </c>
      <c r="G70" s="308" t="e">
        <f t="shared" si="1"/>
        <v>#DIV/0!</v>
      </c>
      <c r="H70" s="26"/>
      <c r="I70" s="905">
        <f>+ROUND('CE Min'!I406+'CE Min'!I415+'CE Min'!I424,0)</f>
        <v>33785514</v>
      </c>
    </row>
    <row r="71" spans="1:9" s="2" customFormat="1">
      <c r="A71" s="17">
        <v>7</v>
      </c>
      <c r="B71" s="32" t="s">
        <v>68</v>
      </c>
      <c r="C71" s="19"/>
      <c r="D71" s="341">
        <f>+ROUND('CE Min'!D428,0)</f>
        <v>1960239</v>
      </c>
      <c r="E71" s="341">
        <f>+ROUND('CE Min'!E428,0)</f>
        <v>0</v>
      </c>
      <c r="F71" s="337">
        <f t="shared" si="2"/>
        <v>1960239</v>
      </c>
      <c r="G71" s="309" t="e">
        <f t="shared" si="1"/>
        <v>#DIV/0!</v>
      </c>
      <c r="H71" s="27"/>
      <c r="I71" s="909">
        <f>+ROUND('CE Min'!I428,0)</f>
        <v>5633</v>
      </c>
    </row>
    <row r="72" spans="1:9" s="2" customFormat="1">
      <c r="A72" s="17">
        <v>8</v>
      </c>
      <c r="B72" s="32" t="s">
        <v>69</v>
      </c>
      <c r="C72" s="19"/>
      <c r="D72" s="341">
        <f>SUM(D73:D75)</f>
        <v>25357306</v>
      </c>
      <c r="E72" s="341">
        <f>SUM(E73:E75)</f>
        <v>0</v>
      </c>
      <c r="F72" s="337">
        <f t="shared" si="2"/>
        <v>25357306</v>
      </c>
      <c r="G72" s="309" t="e">
        <f t="shared" si="1"/>
        <v>#DIV/0!</v>
      </c>
      <c r="H72" s="27"/>
      <c r="I72" s="909">
        <f>SUM(I73:I75)</f>
        <v>20379904</v>
      </c>
    </row>
    <row r="73" spans="1:9">
      <c r="A73" s="17"/>
      <c r="B73" s="23" t="s">
        <v>70</v>
      </c>
      <c r="C73" s="28"/>
      <c r="D73" s="333">
        <f>+ROUND('CE Min'!D437,0)</f>
        <v>226369</v>
      </c>
      <c r="E73" s="333">
        <f>+ROUND('CE Min'!E437,0)</f>
        <v>0</v>
      </c>
      <c r="F73" s="335">
        <f t="shared" si="2"/>
        <v>226369</v>
      </c>
      <c r="G73" s="308" t="e">
        <f t="shared" si="1"/>
        <v>#DIV/0!</v>
      </c>
      <c r="H73" s="26"/>
      <c r="I73" s="905">
        <f>+ROUND('CE Min'!I437,0)</f>
        <v>0</v>
      </c>
    </row>
    <row r="74" spans="1:9">
      <c r="A74" s="17"/>
      <c r="B74" s="23" t="s">
        <v>71</v>
      </c>
      <c r="C74" s="28"/>
      <c r="D74" s="333">
        <f>+ROUND('CE Min'!D439,0)</f>
        <v>15927306</v>
      </c>
      <c r="E74" s="333">
        <f>+ROUND('CE Min'!E439,0)</f>
        <v>0</v>
      </c>
      <c r="F74" s="335">
        <f t="shared" si="2"/>
        <v>15927306</v>
      </c>
      <c r="G74" s="308" t="e">
        <f t="shared" ref="G74:G120" si="3">+F74/E74</f>
        <v>#DIV/0!</v>
      </c>
      <c r="H74" s="26"/>
      <c r="I74" s="905">
        <f>+ROUND('CE Min'!I439,0)</f>
        <v>12205084</v>
      </c>
    </row>
    <row r="75" spans="1:9">
      <c r="A75" s="22"/>
      <c r="B75" s="23" t="s">
        <v>72</v>
      </c>
      <c r="C75" s="28"/>
      <c r="D75" s="333">
        <f>+ROUND('CE Min'!D442,0)</f>
        <v>9203631</v>
      </c>
      <c r="E75" s="333">
        <f>+ROUND('CE Min'!E442,0)</f>
        <v>0</v>
      </c>
      <c r="F75" s="335">
        <f t="shared" si="2"/>
        <v>9203631</v>
      </c>
      <c r="G75" s="308" t="e">
        <f t="shared" si="3"/>
        <v>#DIV/0!</v>
      </c>
      <c r="H75" s="26"/>
      <c r="I75" s="905">
        <f>+ROUND('CE Min'!I442,0)</f>
        <v>8174820</v>
      </c>
    </row>
    <row r="76" spans="1:9" s="2" customFormat="1">
      <c r="A76" s="17">
        <v>9</v>
      </c>
      <c r="B76" s="32" t="s">
        <v>73</v>
      </c>
      <c r="C76" s="19"/>
      <c r="D76" s="341">
        <f>+ROUND('CE Min'!D443,0)</f>
        <v>497097</v>
      </c>
      <c r="E76" s="341">
        <f>+ROUND('CE Min'!E443,0)</f>
        <v>0</v>
      </c>
      <c r="F76" s="337">
        <f t="shared" si="2"/>
        <v>497097</v>
      </c>
      <c r="G76" s="309" t="e">
        <f t="shared" si="3"/>
        <v>#DIV/0!</v>
      </c>
      <c r="H76" s="27"/>
      <c r="I76" s="909">
        <f>+ROUND('CE Min'!I443,0)</f>
        <v>497097</v>
      </c>
    </row>
    <row r="77" spans="1:9" s="2" customFormat="1">
      <c r="A77" s="17">
        <v>10</v>
      </c>
      <c r="B77" s="19" t="s">
        <v>74</v>
      </c>
      <c r="C77" s="31"/>
      <c r="D77" s="341">
        <f>SUM(D78:D79)</f>
        <v>-1493200</v>
      </c>
      <c r="E77" s="341">
        <f>SUM(E78:E79)</f>
        <v>0</v>
      </c>
      <c r="F77" s="337">
        <f t="shared" si="2"/>
        <v>-1493200</v>
      </c>
      <c r="G77" s="309" t="e">
        <f t="shared" si="3"/>
        <v>#DIV/0!</v>
      </c>
      <c r="H77" s="27"/>
      <c r="I77" s="909">
        <f>SUM(I78:I79)</f>
        <v>0</v>
      </c>
    </row>
    <row r="78" spans="1:9">
      <c r="A78" s="17"/>
      <c r="B78" s="23" t="s">
        <v>75</v>
      </c>
      <c r="C78" s="28"/>
      <c r="D78" s="333">
        <f>+ROUND('CE Min'!D447,0)</f>
        <v>-1082884</v>
      </c>
      <c r="E78" s="333">
        <f>+ROUND('CE Min'!E447,0)</f>
        <v>0</v>
      </c>
      <c r="F78" s="335">
        <f t="shared" si="2"/>
        <v>-1082884</v>
      </c>
      <c r="G78" s="308" t="e">
        <f t="shared" si="3"/>
        <v>#DIV/0!</v>
      </c>
      <c r="H78" s="26"/>
      <c r="I78" s="905">
        <f>+ROUND('CE Min'!I447,0)</f>
        <v>0</v>
      </c>
    </row>
    <row r="79" spans="1:9">
      <c r="A79" s="17"/>
      <c r="B79" s="23" t="s">
        <v>76</v>
      </c>
      <c r="C79" s="28"/>
      <c r="D79" s="333">
        <f>+ROUND('CE Min'!D456,0)</f>
        <v>-410316</v>
      </c>
      <c r="E79" s="333">
        <f>+ROUND('CE Min'!E456,0)</f>
        <v>0</v>
      </c>
      <c r="F79" s="335">
        <f t="shared" si="2"/>
        <v>-410316</v>
      </c>
      <c r="G79" s="308" t="e">
        <f t="shared" si="3"/>
        <v>#DIV/0!</v>
      </c>
      <c r="H79" s="26"/>
      <c r="I79" s="905">
        <f>+ROUND('CE Min'!I456,0)</f>
        <v>0</v>
      </c>
    </row>
    <row r="80" spans="1:9" s="2" customFormat="1">
      <c r="A80" s="17">
        <v>11</v>
      </c>
      <c r="B80" s="19" t="s">
        <v>77</v>
      </c>
      <c r="C80" s="31"/>
      <c r="D80" s="341">
        <f>SUM(D81:D84)</f>
        <v>34621416</v>
      </c>
      <c r="E80" s="341">
        <f>SUM(E81:E84)</f>
        <v>0</v>
      </c>
      <c r="F80" s="337">
        <f t="shared" si="2"/>
        <v>34621416</v>
      </c>
      <c r="G80" s="309" t="e">
        <f t="shared" si="3"/>
        <v>#DIV/0!</v>
      </c>
      <c r="H80" s="27"/>
      <c r="I80" s="909">
        <f>SUM(I81:I84)</f>
        <v>6009649</v>
      </c>
    </row>
    <row r="81" spans="1:9">
      <c r="A81" s="17"/>
      <c r="B81" s="23" t="s">
        <v>78</v>
      </c>
      <c r="C81" s="20"/>
      <c r="D81" s="333">
        <f>+ROUND('CE Min'!D464,0)</f>
        <v>4481516</v>
      </c>
      <c r="E81" s="333">
        <f>+ROUND('CE Min'!E464,0)</f>
        <v>0</v>
      </c>
      <c r="F81" s="335">
        <f t="shared" si="2"/>
        <v>4481516</v>
      </c>
      <c r="G81" s="308" t="e">
        <f t="shared" si="3"/>
        <v>#DIV/0!</v>
      </c>
      <c r="H81" s="26"/>
      <c r="I81" s="905">
        <f>+ROUND('CE Min'!I464,0)</f>
        <v>2066756</v>
      </c>
    </row>
    <row r="82" spans="1:9">
      <c r="A82" s="17"/>
      <c r="B82" s="23" t="s">
        <v>79</v>
      </c>
      <c r="C82" s="20"/>
      <c r="D82" s="333">
        <f>+ROUND('CE Min'!D472,0)</f>
        <v>203552</v>
      </c>
      <c r="E82" s="333">
        <f>+ROUND('CE Min'!E472,0)</f>
        <v>0</v>
      </c>
      <c r="F82" s="335">
        <f t="shared" si="2"/>
        <v>203552</v>
      </c>
      <c r="G82" s="308" t="e">
        <f t="shared" si="3"/>
        <v>#DIV/0!</v>
      </c>
      <c r="H82" s="26"/>
      <c r="I82" s="905">
        <f>+ROUND('CE Min'!I472,0)</f>
        <v>0</v>
      </c>
    </row>
    <row r="83" spans="1:9">
      <c r="A83" s="17"/>
      <c r="B83" s="23" t="s">
        <v>80</v>
      </c>
      <c r="C83" s="20"/>
      <c r="D83" s="334">
        <f>+ROUND('CE Min'!D473,0)+1</f>
        <v>23865738</v>
      </c>
      <c r="E83" s="333">
        <f>+ROUND('CE Min'!E473,0)</f>
        <v>0</v>
      </c>
      <c r="F83" s="335">
        <f t="shared" si="2"/>
        <v>23865738</v>
      </c>
      <c r="G83" s="308" t="e">
        <f t="shared" si="3"/>
        <v>#DIV/0!</v>
      </c>
      <c r="H83" s="26"/>
      <c r="I83" s="905">
        <f>+ROUND('CE Min'!I473,0)</f>
        <v>417807</v>
      </c>
    </row>
    <row r="84" spans="1:9">
      <c r="A84" s="17"/>
      <c r="B84" s="23" t="s">
        <v>81</v>
      </c>
      <c r="C84" s="20"/>
      <c r="D84" s="333">
        <f>+ROUND('CE Min'!D480,0)</f>
        <v>6070610</v>
      </c>
      <c r="E84" s="333">
        <f>+ROUND('CE Min'!E480,0)</f>
        <v>0</v>
      </c>
      <c r="F84" s="335">
        <f t="shared" si="2"/>
        <v>6070610</v>
      </c>
      <c r="G84" s="308" t="e">
        <f t="shared" si="3"/>
        <v>#DIV/0!</v>
      </c>
      <c r="H84" s="26"/>
      <c r="I84" s="905">
        <f>+ROUND('CE Min'!I480,0)</f>
        <v>3525086</v>
      </c>
    </row>
    <row r="85" spans="1:9" s="2" customFormat="1">
      <c r="A85" s="964" t="s">
        <v>82</v>
      </c>
      <c r="B85" s="965"/>
      <c r="C85" s="965"/>
      <c r="D85" s="338">
        <f>D38+D41+D63+D64+D65+D71+D72+D76+D77+D80+D59</f>
        <v>889506888</v>
      </c>
      <c r="E85" s="338">
        <f>E38+E41+E63+E64+E65+E71+E72+E76+E77+E80+E59</f>
        <v>0</v>
      </c>
      <c r="F85" s="339">
        <f t="shared" si="2"/>
        <v>889506888</v>
      </c>
      <c r="G85" s="263" t="e">
        <f t="shared" si="3"/>
        <v>#DIV/0!</v>
      </c>
      <c r="H85" s="27"/>
      <c r="I85" s="907">
        <f>I38+I41+I63+I64+I65+I71+I72+I76+I77+I80+I59</f>
        <v>398416686</v>
      </c>
    </row>
    <row r="86" spans="1:9" s="2" customFormat="1" ht="13.5" thickBot="1">
      <c r="A86" s="33"/>
      <c r="B86" s="34"/>
      <c r="C86" s="35"/>
      <c r="D86" s="342"/>
      <c r="E86" s="342"/>
      <c r="F86" s="343"/>
      <c r="G86" s="310"/>
      <c r="H86" s="24"/>
      <c r="I86" s="910"/>
    </row>
    <row r="87" spans="1:9" s="2" customFormat="1" ht="13.5" thickBot="1">
      <c r="A87" s="966" t="s">
        <v>83</v>
      </c>
      <c r="B87" s="967"/>
      <c r="C87" s="967"/>
      <c r="D87" s="344">
        <f>+D35-D85</f>
        <v>20636890</v>
      </c>
      <c r="E87" s="344">
        <f>+E35-E85</f>
        <v>0</v>
      </c>
      <c r="F87" s="345">
        <f t="shared" si="2"/>
        <v>20636890</v>
      </c>
      <c r="G87" s="264" t="e">
        <f t="shared" si="3"/>
        <v>#DIV/0!</v>
      </c>
      <c r="H87" s="27"/>
      <c r="I87" s="911">
        <f>+I35-I85</f>
        <v>11468405</v>
      </c>
    </row>
    <row r="88" spans="1:9">
      <c r="A88" s="36"/>
      <c r="B88" s="37"/>
      <c r="C88" s="38"/>
      <c r="D88" s="340"/>
      <c r="E88" s="340"/>
      <c r="F88" s="335">
        <f t="shared" si="2"/>
        <v>0</v>
      </c>
      <c r="G88" s="308" t="e">
        <f t="shared" si="3"/>
        <v>#DIV/0!</v>
      </c>
      <c r="H88" s="24"/>
      <c r="I88" s="908"/>
    </row>
    <row r="89" spans="1:9" s="2" customFormat="1">
      <c r="A89" s="17" t="s">
        <v>84</v>
      </c>
      <c r="B89" s="19" t="s">
        <v>85</v>
      </c>
      <c r="C89" s="31"/>
      <c r="D89" s="341"/>
      <c r="E89" s="341"/>
      <c r="F89" s="337">
        <f t="shared" si="2"/>
        <v>0</v>
      </c>
      <c r="G89" s="309" t="e">
        <f t="shared" si="3"/>
        <v>#DIV/0!</v>
      </c>
      <c r="H89" s="24"/>
      <c r="I89" s="909"/>
    </row>
    <row r="90" spans="1:9" s="2" customFormat="1">
      <c r="A90" s="39"/>
      <c r="B90" s="18" t="s">
        <v>86</v>
      </c>
      <c r="C90" s="40" t="s">
        <v>87</v>
      </c>
      <c r="D90" s="336">
        <f>+ROUND('CE Min'!D493+'CE Min'!D497,0)</f>
        <v>27</v>
      </c>
      <c r="E90" s="336">
        <f>+ROUND('CE Min'!E493+'CE Min'!E497,0)</f>
        <v>0</v>
      </c>
      <c r="F90" s="337">
        <f t="shared" si="2"/>
        <v>27</v>
      </c>
      <c r="G90" s="309" t="e">
        <f t="shared" si="3"/>
        <v>#DIV/0!</v>
      </c>
      <c r="H90" s="27"/>
      <c r="I90" s="906">
        <f>+ROUND('CE Min'!I493+'CE Min'!I497,0)</f>
        <v>0</v>
      </c>
    </row>
    <row r="91" spans="1:9" s="2" customFormat="1">
      <c r="A91" s="39"/>
      <c r="B91" s="18" t="s">
        <v>88</v>
      </c>
      <c r="C91" s="40" t="s">
        <v>89</v>
      </c>
      <c r="D91" s="336">
        <f>+ROUND('CE Min'!D503+'CE Min'!D507,0)</f>
        <v>56607</v>
      </c>
      <c r="E91" s="336">
        <f>+ROUND('CE Min'!E503+'CE Min'!E507,0)</f>
        <v>0</v>
      </c>
      <c r="F91" s="337">
        <f t="shared" si="2"/>
        <v>56607</v>
      </c>
      <c r="G91" s="309" t="e">
        <f t="shared" si="3"/>
        <v>#DIV/0!</v>
      </c>
      <c r="H91" s="27"/>
      <c r="I91" s="906">
        <f>+ROUND('CE Min'!I503+'CE Min'!I507,0)</f>
        <v>27652</v>
      </c>
    </row>
    <row r="92" spans="1:9" s="2" customFormat="1">
      <c r="A92" s="964" t="s">
        <v>90</v>
      </c>
      <c r="B92" s="965"/>
      <c r="C92" s="965" t="s">
        <v>91</v>
      </c>
      <c r="D92" s="338">
        <f>+D90-D91</f>
        <v>-56580</v>
      </c>
      <c r="E92" s="338">
        <f>+E90-E91</f>
        <v>0</v>
      </c>
      <c r="F92" s="339">
        <f t="shared" si="2"/>
        <v>-56580</v>
      </c>
      <c r="G92" s="263" t="e">
        <f t="shared" si="3"/>
        <v>#DIV/0!</v>
      </c>
      <c r="H92" s="27"/>
      <c r="I92" s="907">
        <f>+I90-I91</f>
        <v>-27652</v>
      </c>
    </row>
    <row r="93" spans="1:9" s="2" customFormat="1">
      <c r="A93" s="39"/>
      <c r="B93" s="41"/>
      <c r="C93" s="19"/>
      <c r="D93" s="341"/>
      <c r="E93" s="341"/>
      <c r="F93" s="337">
        <f t="shared" si="2"/>
        <v>0</v>
      </c>
      <c r="G93" s="309" t="e">
        <f t="shared" si="3"/>
        <v>#DIV/0!</v>
      </c>
      <c r="H93" s="24"/>
      <c r="I93" s="909"/>
    </row>
    <row r="94" spans="1:9" s="2" customFormat="1">
      <c r="A94" s="17" t="s">
        <v>92</v>
      </c>
      <c r="B94" s="19" t="s">
        <v>93</v>
      </c>
      <c r="C94" s="19"/>
      <c r="D94" s="341"/>
      <c r="E94" s="341"/>
      <c r="F94" s="337">
        <f t="shared" si="2"/>
        <v>0</v>
      </c>
      <c r="G94" s="309" t="e">
        <f t="shared" si="3"/>
        <v>#DIV/0!</v>
      </c>
      <c r="H94" s="24"/>
      <c r="I94" s="909"/>
    </row>
    <row r="95" spans="1:9" s="2" customFormat="1">
      <c r="A95" s="39"/>
      <c r="B95" s="18" t="s">
        <v>86</v>
      </c>
      <c r="C95" s="19" t="s">
        <v>94</v>
      </c>
      <c r="D95" s="336">
        <f>+ROUND(+'CE Min'!D512,0)</f>
        <v>0</v>
      </c>
      <c r="E95" s="336">
        <f>+ROUND(+'CE Min'!E512,0)</f>
        <v>0</v>
      </c>
      <c r="F95" s="337">
        <f t="shared" si="2"/>
        <v>0</v>
      </c>
      <c r="G95" s="309" t="e">
        <f t="shared" si="3"/>
        <v>#DIV/0!</v>
      </c>
      <c r="H95" s="24"/>
      <c r="I95" s="906">
        <f>+ROUND(+'CE Min'!I512,0)</f>
        <v>0</v>
      </c>
    </row>
    <row r="96" spans="1:9" s="2" customFormat="1">
      <c r="A96" s="39"/>
      <c r="B96" s="18" t="s">
        <v>88</v>
      </c>
      <c r="C96" s="19" t="s">
        <v>95</v>
      </c>
      <c r="D96" s="336">
        <f>+ROUND(+'CE Min'!D513,0)</f>
        <v>0</v>
      </c>
      <c r="E96" s="336">
        <f>+ROUND(+'CE Min'!E513,0)</f>
        <v>0</v>
      </c>
      <c r="F96" s="337">
        <f t="shared" si="2"/>
        <v>0</v>
      </c>
      <c r="G96" s="309" t="e">
        <f t="shared" si="3"/>
        <v>#DIV/0!</v>
      </c>
      <c r="H96" s="24"/>
      <c r="I96" s="906">
        <f>+ROUND(+'CE Min'!I513,0)</f>
        <v>0</v>
      </c>
    </row>
    <row r="97" spans="1:9" s="2" customFormat="1">
      <c r="A97" s="964" t="s">
        <v>96</v>
      </c>
      <c r="B97" s="965"/>
      <c r="C97" s="965" t="s">
        <v>91</v>
      </c>
      <c r="D97" s="338">
        <f>D95-D96</f>
        <v>0</v>
      </c>
      <c r="E97" s="338">
        <f>E95-E96</f>
        <v>0</v>
      </c>
      <c r="F97" s="339">
        <f t="shared" si="2"/>
        <v>0</v>
      </c>
      <c r="G97" s="263" t="e">
        <f t="shared" si="3"/>
        <v>#DIV/0!</v>
      </c>
      <c r="H97" s="27"/>
      <c r="I97" s="907">
        <f>I95-I96</f>
        <v>0</v>
      </c>
    </row>
    <row r="98" spans="1:9" s="2" customFormat="1">
      <c r="A98" s="39"/>
      <c r="B98" s="41"/>
      <c r="C98" s="19"/>
      <c r="D98" s="346"/>
      <c r="E98" s="346"/>
      <c r="F98" s="347">
        <f t="shared" si="2"/>
        <v>0</v>
      </c>
      <c r="G98" s="311" t="e">
        <f t="shared" si="3"/>
        <v>#DIV/0!</v>
      </c>
      <c r="H98" s="24"/>
      <c r="I98" s="909"/>
    </row>
    <row r="99" spans="1:9" s="2" customFormat="1">
      <c r="A99" s="42" t="s">
        <v>97</v>
      </c>
      <c r="B99" s="19" t="s">
        <v>98</v>
      </c>
      <c r="C99" s="31"/>
      <c r="D99" s="346"/>
      <c r="E99" s="346"/>
      <c r="F99" s="347">
        <f t="shared" si="2"/>
        <v>0</v>
      </c>
      <c r="G99" s="311" t="e">
        <f t="shared" si="3"/>
        <v>#DIV/0!</v>
      </c>
      <c r="H99" s="24"/>
      <c r="I99" s="909"/>
    </row>
    <row r="100" spans="1:9" s="2" customFormat="1">
      <c r="A100" s="42"/>
      <c r="B100" s="43">
        <v>1</v>
      </c>
      <c r="C100" s="40" t="s">
        <v>99</v>
      </c>
      <c r="D100" s="346">
        <f>SUM(D101:D102)</f>
        <v>3817912</v>
      </c>
      <c r="E100" s="346">
        <f>SUM(E101:E102)</f>
        <v>0</v>
      </c>
      <c r="F100" s="347">
        <f t="shared" si="2"/>
        <v>3817912</v>
      </c>
      <c r="G100" s="311" t="e">
        <f t="shared" si="3"/>
        <v>#DIV/0!</v>
      </c>
      <c r="H100" s="27"/>
      <c r="I100" s="909">
        <f>SUM(I101:I102)</f>
        <v>1461840</v>
      </c>
    </row>
    <row r="101" spans="1:9">
      <c r="A101" s="42"/>
      <c r="B101" s="43"/>
      <c r="C101" s="23" t="s">
        <v>100</v>
      </c>
      <c r="D101" s="333">
        <f>+ROUND(+'CE Min'!D517,0)</f>
        <v>3544</v>
      </c>
      <c r="E101" s="333">
        <f>+ROUND(+'CE Min'!E517,0)</f>
        <v>0</v>
      </c>
      <c r="F101" s="329">
        <f t="shared" si="2"/>
        <v>3544</v>
      </c>
      <c r="G101" s="312" t="e">
        <f t="shared" si="3"/>
        <v>#DIV/0!</v>
      </c>
      <c r="H101" s="26"/>
      <c r="I101" s="905">
        <f>+ROUND(+'CE Min'!I517,0)</f>
        <v>3544</v>
      </c>
    </row>
    <row r="102" spans="1:9">
      <c r="A102" s="42"/>
      <c r="B102" s="43"/>
      <c r="C102" s="23" t="s">
        <v>101</v>
      </c>
      <c r="D102" s="334">
        <f>+ROUND('CE Min'!D518,0)</f>
        <v>3814368</v>
      </c>
      <c r="E102" s="333">
        <f>+ROUND('CE Min'!E518,0)</f>
        <v>0</v>
      </c>
      <c r="F102" s="329">
        <f t="shared" si="2"/>
        <v>3814368</v>
      </c>
      <c r="G102" s="312" t="e">
        <f t="shared" si="3"/>
        <v>#DIV/0!</v>
      </c>
      <c r="H102" s="26"/>
      <c r="I102" s="905">
        <f>+ROUND('CE Min'!I518,0)</f>
        <v>1458296</v>
      </c>
    </row>
    <row r="103" spans="1:9">
      <c r="A103" s="42"/>
      <c r="B103" s="43">
        <v>2</v>
      </c>
      <c r="C103" s="19" t="s">
        <v>102</v>
      </c>
      <c r="D103" s="346">
        <f>SUM(D104:D105)</f>
        <v>3146184</v>
      </c>
      <c r="E103" s="346">
        <f>SUM(E104:E105)</f>
        <v>0</v>
      </c>
      <c r="F103" s="347">
        <f t="shared" ref="F103:F120" si="4">+D103-E103</f>
        <v>3146184</v>
      </c>
      <c r="G103" s="311" t="e">
        <f t="shared" si="3"/>
        <v>#DIV/0!</v>
      </c>
      <c r="H103" s="27"/>
      <c r="I103" s="909">
        <f>SUM(I104:I105)</f>
        <v>73984</v>
      </c>
    </row>
    <row r="104" spans="1:9">
      <c r="A104" s="42"/>
      <c r="B104" s="43"/>
      <c r="C104" s="23" t="s">
        <v>103</v>
      </c>
      <c r="D104" s="333">
        <f>+ROUND(+'CE Min'!D543,0)</f>
        <v>18998</v>
      </c>
      <c r="E104" s="333">
        <f>+ROUND(+'CE Min'!E543,0)</f>
        <v>0</v>
      </c>
      <c r="F104" s="348">
        <f t="shared" si="4"/>
        <v>18998</v>
      </c>
      <c r="G104" s="313" t="e">
        <f t="shared" si="3"/>
        <v>#DIV/0!</v>
      </c>
      <c r="H104" s="26"/>
      <c r="I104" s="905">
        <f>+ROUND(+'CE Min'!I543,0)</f>
        <v>0</v>
      </c>
    </row>
    <row r="105" spans="1:9">
      <c r="A105" s="42"/>
      <c r="B105" s="43"/>
      <c r="C105" s="23" t="s">
        <v>104</v>
      </c>
      <c r="D105" s="334">
        <f>+ROUND('CE Min'!D544,0)</f>
        <v>3127186</v>
      </c>
      <c r="E105" s="334">
        <f>+ROUND('CE Min'!E544,0)</f>
        <v>0</v>
      </c>
      <c r="F105" s="348">
        <f t="shared" si="4"/>
        <v>3127186</v>
      </c>
      <c r="G105" s="313" t="e">
        <f t="shared" si="3"/>
        <v>#DIV/0!</v>
      </c>
      <c r="H105" s="26"/>
      <c r="I105" s="912">
        <f>+ROUND('CE Min'!I544,0)</f>
        <v>73984</v>
      </c>
    </row>
    <row r="106" spans="1:9" s="2" customFormat="1">
      <c r="A106" s="964" t="s">
        <v>105</v>
      </c>
      <c r="B106" s="965"/>
      <c r="C106" s="965" t="s">
        <v>106</v>
      </c>
      <c r="D106" s="349">
        <f>D100-D103</f>
        <v>671728</v>
      </c>
      <c r="E106" s="349">
        <f>E100-E103</f>
        <v>0</v>
      </c>
      <c r="F106" s="350">
        <f t="shared" si="4"/>
        <v>671728</v>
      </c>
      <c r="G106" s="265" t="e">
        <f t="shared" si="3"/>
        <v>#DIV/0!</v>
      </c>
      <c r="H106" s="27"/>
      <c r="I106" s="907">
        <f>I100-I103</f>
        <v>1387856</v>
      </c>
    </row>
    <row r="107" spans="1:9" s="2" customFormat="1" ht="13.5" thickBot="1">
      <c r="A107" s="44"/>
      <c r="B107" s="45"/>
      <c r="C107" s="46"/>
      <c r="D107" s="351"/>
      <c r="E107" s="351"/>
      <c r="F107" s="352"/>
      <c r="G107" s="314"/>
      <c r="H107" s="24"/>
      <c r="I107" s="913"/>
    </row>
    <row r="108" spans="1:9" s="2" customFormat="1" ht="13.5" thickBot="1">
      <c r="A108" s="966" t="s">
        <v>107</v>
      </c>
      <c r="B108" s="967"/>
      <c r="C108" s="967"/>
      <c r="D108" s="353">
        <f>D87+D92+D97+D106</f>
        <v>21252038</v>
      </c>
      <c r="E108" s="353">
        <f>E87+E92+E97+E106</f>
        <v>0</v>
      </c>
      <c r="F108" s="354">
        <f t="shared" si="4"/>
        <v>21252038</v>
      </c>
      <c r="G108" s="266" t="e">
        <f t="shared" si="3"/>
        <v>#DIV/0!</v>
      </c>
      <c r="H108" s="27"/>
      <c r="I108" s="911">
        <f>I87+I92+I97+I106</f>
        <v>12828609</v>
      </c>
    </row>
    <row r="109" spans="1:9">
      <c r="A109" s="22"/>
      <c r="B109" s="29"/>
      <c r="C109" s="47"/>
      <c r="D109" s="355"/>
      <c r="E109" s="355"/>
      <c r="F109" s="348"/>
      <c r="G109" s="313"/>
      <c r="H109" s="24"/>
      <c r="I109" s="914"/>
    </row>
    <row r="110" spans="1:9" s="2" customFormat="1">
      <c r="A110" s="42" t="s">
        <v>108</v>
      </c>
      <c r="B110" s="19" t="s">
        <v>109</v>
      </c>
      <c r="C110" s="31"/>
      <c r="D110" s="346"/>
      <c r="E110" s="346"/>
      <c r="F110" s="347"/>
      <c r="G110" s="311"/>
      <c r="H110" s="24"/>
      <c r="I110" s="909"/>
    </row>
    <row r="111" spans="1:9" s="2" customFormat="1">
      <c r="A111" s="42"/>
      <c r="B111" s="43" t="s">
        <v>86</v>
      </c>
      <c r="C111" s="40" t="s">
        <v>110</v>
      </c>
      <c r="D111" s="346">
        <f>SUM(D112:D115)</f>
        <v>20635656</v>
      </c>
      <c r="E111" s="346">
        <f>SUM(E112:E115)</f>
        <v>0</v>
      </c>
      <c r="F111" s="347">
        <f t="shared" si="4"/>
        <v>20635656</v>
      </c>
      <c r="G111" s="311" t="e">
        <f t="shared" si="3"/>
        <v>#DIV/0!</v>
      </c>
      <c r="H111" s="27"/>
      <c r="I111" s="909">
        <f>SUM(I112:I115)</f>
        <v>13121452</v>
      </c>
    </row>
    <row r="112" spans="1:9">
      <c r="A112" s="22"/>
      <c r="B112" s="25"/>
      <c r="C112" s="23" t="s">
        <v>111</v>
      </c>
      <c r="D112" s="333">
        <f>+ROUND(+'CE Min'!D578,0)</f>
        <v>19846385</v>
      </c>
      <c r="E112" s="333">
        <f>+ROUND(+'CE Min'!E578,0)</f>
        <v>0</v>
      </c>
      <c r="F112" s="329">
        <f t="shared" si="4"/>
        <v>19846385</v>
      </c>
      <c r="G112" s="312" t="e">
        <f t="shared" si="3"/>
        <v>#DIV/0!</v>
      </c>
      <c r="H112" s="26"/>
      <c r="I112" s="905">
        <f>+ROUND(+'CE Min'!I578,0)</f>
        <v>12926268</v>
      </c>
    </row>
    <row r="113" spans="1:9">
      <c r="A113" s="22"/>
      <c r="B113" s="25"/>
      <c r="C113" s="23" t="s">
        <v>112</v>
      </c>
      <c r="D113" s="333">
        <f>+ROUND(+'CE Min'!D579,0)</f>
        <v>479429</v>
      </c>
      <c r="E113" s="333">
        <f>+ROUND(+'CE Min'!E579,0)</f>
        <v>0</v>
      </c>
      <c r="F113" s="329">
        <f t="shared" si="4"/>
        <v>479429</v>
      </c>
      <c r="G113" s="312" t="e">
        <f t="shared" si="3"/>
        <v>#DIV/0!</v>
      </c>
      <c r="H113" s="26"/>
      <c r="I113" s="905">
        <f>+ROUND(+'CE Min'!I579,0)</f>
        <v>0</v>
      </c>
    </row>
    <row r="114" spans="1:9">
      <c r="A114" s="22"/>
      <c r="B114" s="25"/>
      <c r="C114" s="23" t="s">
        <v>113</v>
      </c>
      <c r="D114" s="333">
        <f>+ROUND(+'CE Min'!D580,0)</f>
        <v>309842</v>
      </c>
      <c r="E114" s="333">
        <f>+ROUND(+'CE Min'!E580,0)</f>
        <v>0</v>
      </c>
      <c r="F114" s="329">
        <f t="shared" si="4"/>
        <v>309842</v>
      </c>
      <c r="G114" s="312" t="e">
        <f t="shared" si="3"/>
        <v>#DIV/0!</v>
      </c>
      <c r="H114" s="26"/>
      <c r="I114" s="905">
        <f>+ROUND(+'CE Min'!I580,0)</f>
        <v>195184</v>
      </c>
    </row>
    <row r="115" spans="1:9">
      <c r="A115" s="22"/>
      <c r="B115" s="25"/>
      <c r="C115" s="23" t="s">
        <v>114</v>
      </c>
      <c r="D115" s="333">
        <f>+ROUND(+'CE Min'!D581,0)</f>
        <v>0</v>
      </c>
      <c r="E115" s="333">
        <f>+ROUND(+'CE Min'!E581,0)</f>
        <v>0</v>
      </c>
      <c r="F115" s="329">
        <f t="shared" si="4"/>
        <v>0</v>
      </c>
      <c r="G115" s="312" t="e">
        <f t="shared" si="3"/>
        <v>#DIV/0!</v>
      </c>
      <c r="H115" s="26"/>
      <c r="I115" s="905">
        <f>+ROUND(+'CE Min'!I581,0)</f>
        <v>0</v>
      </c>
    </row>
    <row r="116" spans="1:9" s="2" customFormat="1">
      <c r="A116" s="42"/>
      <c r="B116" s="43" t="s">
        <v>88</v>
      </c>
      <c r="C116" s="19" t="s">
        <v>115</v>
      </c>
      <c r="D116" s="341">
        <f>+ROUND(+'CE Min'!D582,0)</f>
        <v>538536</v>
      </c>
      <c r="E116" s="341">
        <f>+ROUND(+'CE Min'!E582,0)</f>
        <v>0</v>
      </c>
      <c r="F116" s="347">
        <f t="shared" si="4"/>
        <v>538536</v>
      </c>
      <c r="G116" s="311" t="e">
        <f t="shared" si="3"/>
        <v>#DIV/0!</v>
      </c>
      <c r="H116" s="27"/>
      <c r="I116" s="909">
        <f>+ROUND(+'CE Min'!I582,0)</f>
        <v>0</v>
      </c>
    </row>
    <row r="117" spans="1:9" s="2" customFormat="1">
      <c r="A117" s="42"/>
      <c r="B117" s="43" t="s">
        <v>116</v>
      </c>
      <c r="C117" s="48" t="s">
        <v>117</v>
      </c>
      <c r="D117" s="341">
        <f>+ROUND(+'CE Min'!D585,0)</f>
        <v>0</v>
      </c>
      <c r="E117" s="341">
        <f>+ROUND(+'CE Min'!E585,0)</f>
        <v>0</v>
      </c>
      <c r="F117" s="356">
        <f t="shared" si="4"/>
        <v>0</v>
      </c>
      <c r="G117" s="315" t="e">
        <f t="shared" si="3"/>
        <v>#DIV/0!</v>
      </c>
      <c r="H117" s="24"/>
      <c r="I117" s="909">
        <f>+ROUND(+'CE Min'!I585,0)</f>
        <v>0</v>
      </c>
    </row>
    <row r="118" spans="1:9" s="2" customFormat="1">
      <c r="A118" s="964" t="s">
        <v>118</v>
      </c>
      <c r="B118" s="965"/>
      <c r="C118" s="965" t="s">
        <v>106</v>
      </c>
      <c r="D118" s="349">
        <f>D111+D116+D117</f>
        <v>21174192</v>
      </c>
      <c r="E118" s="349">
        <f>E111+E116+E117</f>
        <v>0</v>
      </c>
      <c r="F118" s="350">
        <f t="shared" si="4"/>
        <v>21174192</v>
      </c>
      <c r="G118" s="265" t="e">
        <f t="shared" si="3"/>
        <v>#DIV/0!</v>
      </c>
      <c r="H118" s="27"/>
      <c r="I118" s="907">
        <f>I111+I116+I117</f>
        <v>13121452</v>
      </c>
    </row>
    <row r="119" spans="1:9">
      <c r="A119" s="22"/>
      <c r="B119" s="29"/>
      <c r="C119" s="20"/>
      <c r="D119" s="348"/>
      <c r="E119" s="348"/>
      <c r="F119" s="348"/>
      <c r="G119" s="313"/>
      <c r="H119" s="24"/>
      <c r="I119" s="915"/>
    </row>
    <row r="120" spans="1:9" ht="13.5" thickBot="1">
      <c r="A120" s="49" t="s">
        <v>119</v>
      </c>
      <c r="B120" s="50"/>
      <c r="C120" s="51"/>
      <c r="D120" s="357">
        <f>D108-D118</f>
        <v>77846</v>
      </c>
      <c r="E120" s="357">
        <f>E108-E118</f>
        <v>0</v>
      </c>
      <c r="F120" s="357">
        <f t="shared" si="4"/>
        <v>77846</v>
      </c>
      <c r="G120" s="316" t="e">
        <f t="shared" si="3"/>
        <v>#DIV/0!</v>
      </c>
      <c r="H120" s="27"/>
      <c r="I120" s="916">
        <f>I108-I118</f>
        <v>-292843</v>
      </c>
    </row>
    <row r="122" spans="1:9">
      <c r="A122" s="52"/>
      <c r="B122" s="52"/>
      <c r="C122" s="52"/>
      <c r="D122" s="53"/>
      <c r="E122" s="53"/>
      <c r="F122" s="53"/>
      <c r="G122" s="54"/>
      <c r="H122" s="54"/>
      <c r="I122" s="53"/>
    </row>
    <row r="125" spans="1:9">
      <c r="C125" s="56"/>
      <c r="D125" s="359"/>
      <c r="E125" s="53"/>
      <c r="G125" s="57"/>
      <c r="H125" s="57"/>
      <c r="I125" s="53"/>
    </row>
    <row r="130" spans="7:8">
      <c r="G130" s="3"/>
      <c r="H130" s="3"/>
    </row>
  </sheetData>
  <mergeCells count="17">
    <mergeCell ref="A97:C97"/>
    <mergeCell ref="A106:C106"/>
    <mergeCell ref="A108:C108"/>
    <mergeCell ref="A118:C118"/>
    <mergeCell ref="A35:C35"/>
    <mergeCell ref="B56:C56"/>
    <mergeCell ref="B61:C61"/>
    <mergeCell ref="A85:C85"/>
    <mergeCell ref="A87:C87"/>
    <mergeCell ref="A92:C92"/>
    <mergeCell ref="I4:I5"/>
    <mergeCell ref="A2:C2"/>
    <mergeCell ref="F2:G2"/>
    <mergeCell ref="A4:C5"/>
    <mergeCell ref="D4:D5"/>
    <mergeCell ref="E4:E5"/>
    <mergeCell ref="F4:G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00"/>
  <sheetViews>
    <sheetView showGridLines="0" zoomScale="90" zoomScaleNormal="90" zoomScaleSheetLayoutView="80" workbookViewId="0"/>
  </sheetViews>
  <sheetFormatPr defaultColWidth="10.28515625" defaultRowHeight="18"/>
  <cols>
    <col min="1" max="1" width="9.5703125" style="108" customWidth="1"/>
    <col min="2" max="2" width="10.5703125" style="105" customWidth="1"/>
    <col min="3" max="3" width="78.85546875" style="105" customWidth="1"/>
    <col min="4" max="5" width="21.85546875" style="119" customWidth="1"/>
    <col min="6" max="6" width="10.140625" style="204" customWidth="1"/>
    <col min="7" max="7" width="3.28515625" style="204" customWidth="1"/>
    <col min="8" max="8" width="8.42578125" style="204" customWidth="1"/>
    <col min="9" max="9" width="21.85546875" style="204" customWidth="1"/>
    <col min="10" max="18" width="3.28515625" style="204" customWidth="1"/>
    <col min="19" max="19" width="12.5703125" style="109" customWidth="1"/>
    <col min="20" max="20" width="13" style="218" customWidth="1"/>
    <col min="21" max="220" width="10.28515625" style="108"/>
    <col min="221" max="229" width="9.140625" style="108" customWidth="1"/>
    <col min="230" max="230" width="1" style="108" customWidth="1"/>
    <col min="231" max="234" width="3.28515625" style="108" customWidth="1"/>
    <col min="235" max="235" width="1.85546875" style="108" customWidth="1"/>
    <col min="236" max="236" width="17.85546875" style="108" customWidth="1"/>
    <col min="237" max="237" width="1.85546875" style="108" customWidth="1"/>
    <col min="238" max="241" width="3.28515625" style="108" customWidth="1"/>
    <col min="242" max="242" width="1.85546875" style="108" customWidth="1"/>
    <col min="243" max="243" width="12.42578125" style="108" customWidth="1"/>
    <col min="244" max="244" width="1.85546875" style="108" customWidth="1"/>
    <col min="245" max="247" width="3" style="108" customWidth="1"/>
    <col min="248" max="248" width="4.42578125" style="108" customWidth="1"/>
    <col min="249" max="250" width="3" style="108" customWidth="1"/>
    <col min="251" max="256" width="3.28515625" style="108" customWidth="1"/>
    <col min="257" max="258" width="9.140625" style="108" customWidth="1"/>
    <col min="259" max="262" width="3.28515625" style="108" customWidth="1"/>
    <col min="263" max="263" width="4.140625" style="108" customWidth="1"/>
    <col min="264" max="476" width="10.28515625" style="108"/>
    <col min="477" max="485" width="9.140625" style="108" customWidth="1"/>
    <col min="486" max="486" width="1" style="108" customWidth="1"/>
    <col min="487" max="490" width="3.28515625" style="108" customWidth="1"/>
    <col min="491" max="491" width="1.85546875" style="108" customWidth="1"/>
    <col min="492" max="492" width="17.85546875" style="108" customWidth="1"/>
    <col min="493" max="493" width="1.85546875" style="108" customWidth="1"/>
    <col min="494" max="497" width="3.28515625" style="108" customWidth="1"/>
    <col min="498" max="498" width="1.85546875" style="108" customWidth="1"/>
    <col min="499" max="499" width="12.42578125" style="108" customWidth="1"/>
    <col min="500" max="500" width="1.85546875" style="108" customWidth="1"/>
    <col min="501" max="503" width="3" style="108" customWidth="1"/>
    <col min="504" max="504" width="4.42578125" style="108" customWidth="1"/>
    <col min="505" max="506" width="3" style="108" customWidth="1"/>
    <col min="507" max="512" width="3.28515625" style="108" customWidth="1"/>
    <col min="513" max="514" width="9.140625" style="108" customWidth="1"/>
    <col min="515" max="518" width="3.28515625" style="108" customWidth="1"/>
    <col min="519" max="519" width="4.140625" style="108" customWidth="1"/>
    <col min="520" max="732" width="10.28515625" style="108"/>
    <col min="733" max="741" width="9.140625" style="108" customWidth="1"/>
    <col min="742" max="742" width="1" style="108" customWidth="1"/>
    <col min="743" max="746" width="3.28515625" style="108" customWidth="1"/>
    <col min="747" max="747" width="1.85546875" style="108" customWidth="1"/>
    <col min="748" max="748" width="17.85546875" style="108" customWidth="1"/>
    <col min="749" max="749" width="1.85546875" style="108" customWidth="1"/>
    <col min="750" max="753" width="3.28515625" style="108" customWidth="1"/>
    <col min="754" max="754" width="1.85546875" style="108" customWidth="1"/>
    <col min="755" max="755" width="12.42578125" style="108" customWidth="1"/>
    <col min="756" max="756" width="1.85546875" style="108" customWidth="1"/>
    <col min="757" max="759" width="3" style="108" customWidth="1"/>
    <col min="760" max="760" width="4.42578125" style="108" customWidth="1"/>
    <col min="761" max="762" width="3" style="108" customWidth="1"/>
    <col min="763" max="768" width="3.28515625" style="108" customWidth="1"/>
    <col min="769" max="770" width="9.140625" style="108" customWidth="1"/>
    <col min="771" max="774" width="3.28515625" style="108" customWidth="1"/>
    <col min="775" max="775" width="4.140625" style="108" customWidth="1"/>
    <col min="776" max="988" width="10.28515625" style="108"/>
    <col min="989" max="997" width="9.140625" style="108" customWidth="1"/>
    <col min="998" max="998" width="1" style="108" customWidth="1"/>
    <col min="999" max="1002" width="3.28515625" style="108" customWidth="1"/>
    <col min="1003" max="1003" width="1.85546875" style="108" customWidth="1"/>
    <col min="1004" max="1004" width="17.85546875" style="108" customWidth="1"/>
    <col min="1005" max="1005" width="1.85546875" style="108" customWidth="1"/>
    <col min="1006" max="1009" width="3.28515625" style="108" customWidth="1"/>
    <col min="1010" max="1010" width="1.85546875" style="108" customWidth="1"/>
    <col min="1011" max="1011" width="12.42578125" style="108" customWidth="1"/>
    <col min="1012" max="1012" width="1.85546875" style="108" customWidth="1"/>
    <col min="1013" max="1015" width="3" style="108" customWidth="1"/>
    <col min="1016" max="1016" width="4.42578125" style="108" customWidth="1"/>
    <col min="1017" max="1018" width="3" style="108" customWidth="1"/>
    <col min="1019" max="1024" width="3.28515625" style="108" customWidth="1"/>
    <col min="1025" max="1026" width="9.140625" style="108" customWidth="1"/>
    <col min="1027" max="1030" width="3.28515625" style="108" customWidth="1"/>
    <col min="1031" max="1031" width="4.140625" style="108" customWidth="1"/>
    <col min="1032" max="1244" width="10.28515625" style="108"/>
    <col min="1245" max="1253" width="9.140625" style="108" customWidth="1"/>
    <col min="1254" max="1254" width="1" style="108" customWidth="1"/>
    <col min="1255" max="1258" width="3.28515625" style="108" customWidth="1"/>
    <col min="1259" max="1259" width="1.85546875" style="108" customWidth="1"/>
    <col min="1260" max="1260" width="17.85546875" style="108" customWidth="1"/>
    <col min="1261" max="1261" width="1.85546875" style="108" customWidth="1"/>
    <col min="1262" max="1265" width="3.28515625" style="108" customWidth="1"/>
    <col min="1266" max="1266" width="1.85546875" style="108" customWidth="1"/>
    <col min="1267" max="1267" width="12.42578125" style="108" customWidth="1"/>
    <col min="1268" max="1268" width="1.85546875" style="108" customWidth="1"/>
    <col min="1269" max="1271" width="3" style="108" customWidth="1"/>
    <col min="1272" max="1272" width="4.42578125" style="108" customWidth="1"/>
    <col min="1273" max="1274" width="3" style="108" customWidth="1"/>
    <col min="1275" max="1280" width="3.28515625" style="108" customWidth="1"/>
    <col min="1281" max="1282" width="9.140625" style="108" customWidth="1"/>
    <col min="1283" max="1286" width="3.28515625" style="108" customWidth="1"/>
    <col min="1287" max="1287" width="4.140625" style="108" customWidth="1"/>
    <col min="1288" max="1500" width="10.28515625" style="108"/>
    <col min="1501" max="1509" width="9.140625" style="108" customWidth="1"/>
    <col min="1510" max="1510" width="1" style="108" customWidth="1"/>
    <col min="1511" max="1514" width="3.28515625" style="108" customWidth="1"/>
    <col min="1515" max="1515" width="1.85546875" style="108" customWidth="1"/>
    <col min="1516" max="1516" width="17.85546875" style="108" customWidth="1"/>
    <col min="1517" max="1517" width="1.85546875" style="108" customWidth="1"/>
    <col min="1518" max="1521" width="3.28515625" style="108" customWidth="1"/>
    <col min="1522" max="1522" width="1.85546875" style="108" customWidth="1"/>
    <col min="1523" max="1523" width="12.42578125" style="108" customWidth="1"/>
    <col min="1524" max="1524" width="1.85546875" style="108" customWidth="1"/>
    <col min="1525" max="1527" width="3" style="108" customWidth="1"/>
    <col min="1528" max="1528" width="4.42578125" style="108" customWidth="1"/>
    <col min="1529" max="1530" width="3" style="108" customWidth="1"/>
    <col min="1531" max="1536" width="3.28515625" style="108" customWidth="1"/>
    <col min="1537" max="1538" width="9.140625" style="108" customWidth="1"/>
    <col min="1539" max="1542" width="3.28515625" style="108" customWidth="1"/>
    <col min="1543" max="1543" width="4.140625" style="108" customWidth="1"/>
    <col min="1544" max="1756" width="10.28515625" style="108"/>
    <col min="1757" max="1765" width="9.140625" style="108" customWidth="1"/>
    <col min="1766" max="1766" width="1" style="108" customWidth="1"/>
    <col min="1767" max="1770" width="3.28515625" style="108" customWidth="1"/>
    <col min="1771" max="1771" width="1.85546875" style="108" customWidth="1"/>
    <col min="1772" max="1772" width="17.85546875" style="108" customWidth="1"/>
    <col min="1773" max="1773" width="1.85546875" style="108" customWidth="1"/>
    <col min="1774" max="1777" width="3.28515625" style="108" customWidth="1"/>
    <col min="1778" max="1778" width="1.85546875" style="108" customWidth="1"/>
    <col min="1779" max="1779" width="12.42578125" style="108" customWidth="1"/>
    <col min="1780" max="1780" width="1.85546875" style="108" customWidth="1"/>
    <col min="1781" max="1783" width="3" style="108" customWidth="1"/>
    <col min="1784" max="1784" width="4.42578125" style="108" customWidth="1"/>
    <col min="1785" max="1786" width="3" style="108" customWidth="1"/>
    <col min="1787" max="1792" width="3.28515625" style="108" customWidth="1"/>
    <col min="1793" max="1794" width="9.140625" style="108" customWidth="1"/>
    <col min="1795" max="1798" width="3.28515625" style="108" customWidth="1"/>
    <col min="1799" max="1799" width="4.140625" style="108" customWidth="1"/>
    <col min="1800" max="2012" width="10.28515625" style="108"/>
    <col min="2013" max="2021" width="9.140625" style="108" customWidth="1"/>
    <col min="2022" max="2022" width="1" style="108" customWidth="1"/>
    <col min="2023" max="2026" width="3.28515625" style="108" customWidth="1"/>
    <col min="2027" max="2027" width="1.85546875" style="108" customWidth="1"/>
    <col min="2028" max="2028" width="17.85546875" style="108" customWidth="1"/>
    <col min="2029" max="2029" width="1.85546875" style="108" customWidth="1"/>
    <col min="2030" max="2033" width="3.28515625" style="108" customWidth="1"/>
    <col min="2034" max="2034" width="1.85546875" style="108" customWidth="1"/>
    <col min="2035" max="2035" width="12.42578125" style="108" customWidth="1"/>
    <col min="2036" max="2036" width="1.85546875" style="108" customWidth="1"/>
    <col min="2037" max="2039" width="3" style="108" customWidth="1"/>
    <col min="2040" max="2040" width="4.42578125" style="108" customWidth="1"/>
    <col min="2041" max="2042" width="3" style="108" customWidth="1"/>
    <col min="2043" max="2048" width="3.28515625" style="108" customWidth="1"/>
    <col min="2049" max="2050" width="9.140625" style="108" customWidth="1"/>
    <col min="2051" max="2054" width="3.28515625" style="108" customWidth="1"/>
    <col min="2055" max="2055" width="4.140625" style="108" customWidth="1"/>
    <col min="2056" max="2268" width="10.28515625" style="108"/>
    <col min="2269" max="2277" width="9.140625" style="108" customWidth="1"/>
    <col min="2278" max="2278" width="1" style="108" customWidth="1"/>
    <col min="2279" max="2282" width="3.28515625" style="108" customWidth="1"/>
    <col min="2283" max="2283" width="1.85546875" style="108" customWidth="1"/>
    <col min="2284" max="2284" width="17.85546875" style="108" customWidth="1"/>
    <col min="2285" max="2285" width="1.85546875" style="108" customWidth="1"/>
    <col min="2286" max="2289" width="3.28515625" style="108" customWidth="1"/>
    <col min="2290" max="2290" width="1.85546875" style="108" customWidth="1"/>
    <col min="2291" max="2291" width="12.42578125" style="108" customWidth="1"/>
    <col min="2292" max="2292" width="1.85546875" style="108" customWidth="1"/>
    <col min="2293" max="2295" width="3" style="108" customWidth="1"/>
    <col min="2296" max="2296" width="4.42578125" style="108" customWidth="1"/>
    <col min="2297" max="2298" width="3" style="108" customWidth="1"/>
    <col min="2299" max="2304" width="3.28515625" style="108" customWidth="1"/>
    <col min="2305" max="2306" width="9.140625" style="108" customWidth="1"/>
    <col min="2307" max="2310" width="3.28515625" style="108" customWidth="1"/>
    <col min="2311" max="2311" width="4.140625" style="108" customWidth="1"/>
    <col min="2312" max="2524" width="10.28515625" style="108"/>
    <col min="2525" max="2533" width="9.140625" style="108" customWidth="1"/>
    <col min="2534" max="2534" width="1" style="108" customWidth="1"/>
    <col min="2535" max="2538" width="3.28515625" style="108" customWidth="1"/>
    <col min="2539" max="2539" width="1.85546875" style="108" customWidth="1"/>
    <col min="2540" max="2540" width="17.85546875" style="108" customWidth="1"/>
    <col min="2541" max="2541" width="1.85546875" style="108" customWidth="1"/>
    <col min="2542" max="2545" width="3.28515625" style="108" customWidth="1"/>
    <col min="2546" max="2546" width="1.85546875" style="108" customWidth="1"/>
    <col min="2547" max="2547" width="12.42578125" style="108" customWidth="1"/>
    <col min="2548" max="2548" width="1.85546875" style="108" customWidth="1"/>
    <col min="2549" max="2551" width="3" style="108" customWidth="1"/>
    <col min="2552" max="2552" width="4.42578125" style="108" customWidth="1"/>
    <col min="2553" max="2554" width="3" style="108" customWidth="1"/>
    <col min="2555" max="2560" width="3.28515625" style="108" customWidth="1"/>
    <col min="2561" max="2562" width="9.140625" style="108" customWidth="1"/>
    <col min="2563" max="2566" width="3.28515625" style="108" customWidth="1"/>
    <col min="2567" max="2567" width="4.140625" style="108" customWidth="1"/>
    <col min="2568" max="2780" width="10.28515625" style="108"/>
    <col min="2781" max="2789" width="9.140625" style="108" customWidth="1"/>
    <col min="2790" max="2790" width="1" style="108" customWidth="1"/>
    <col min="2791" max="2794" width="3.28515625" style="108" customWidth="1"/>
    <col min="2795" max="2795" width="1.85546875" style="108" customWidth="1"/>
    <col min="2796" max="2796" width="17.85546875" style="108" customWidth="1"/>
    <col min="2797" max="2797" width="1.85546875" style="108" customWidth="1"/>
    <col min="2798" max="2801" width="3.28515625" style="108" customWidth="1"/>
    <col min="2802" max="2802" width="1.85546875" style="108" customWidth="1"/>
    <col min="2803" max="2803" width="12.42578125" style="108" customWidth="1"/>
    <col min="2804" max="2804" width="1.85546875" style="108" customWidth="1"/>
    <col min="2805" max="2807" width="3" style="108" customWidth="1"/>
    <col min="2808" max="2808" width="4.42578125" style="108" customWidth="1"/>
    <col min="2809" max="2810" width="3" style="108" customWidth="1"/>
    <col min="2811" max="2816" width="3.28515625" style="108" customWidth="1"/>
    <col min="2817" max="2818" width="9.140625" style="108" customWidth="1"/>
    <col min="2819" max="2822" width="3.28515625" style="108" customWidth="1"/>
    <col min="2823" max="2823" width="4.140625" style="108" customWidth="1"/>
    <col min="2824" max="3036" width="10.28515625" style="108"/>
    <col min="3037" max="3045" width="9.140625" style="108" customWidth="1"/>
    <col min="3046" max="3046" width="1" style="108" customWidth="1"/>
    <col min="3047" max="3050" width="3.28515625" style="108" customWidth="1"/>
    <col min="3051" max="3051" width="1.85546875" style="108" customWidth="1"/>
    <col min="3052" max="3052" width="17.85546875" style="108" customWidth="1"/>
    <col min="3053" max="3053" width="1.85546875" style="108" customWidth="1"/>
    <col min="3054" max="3057" width="3.28515625" style="108" customWidth="1"/>
    <col min="3058" max="3058" width="1.85546875" style="108" customWidth="1"/>
    <col min="3059" max="3059" width="12.42578125" style="108" customWidth="1"/>
    <col min="3060" max="3060" width="1.85546875" style="108" customWidth="1"/>
    <col min="3061" max="3063" width="3" style="108" customWidth="1"/>
    <col min="3064" max="3064" width="4.42578125" style="108" customWidth="1"/>
    <col min="3065" max="3066" width="3" style="108" customWidth="1"/>
    <col min="3067" max="3072" width="3.28515625" style="108" customWidth="1"/>
    <col min="3073" max="3074" width="9.140625" style="108" customWidth="1"/>
    <col min="3075" max="3078" width="3.28515625" style="108" customWidth="1"/>
    <col min="3079" max="3079" width="4.140625" style="108" customWidth="1"/>
    <col min="3080" max="3292" width="10.28515625" style="108"/>
    <col min="3293" max="3301" width="9.140625" style="108" customWidth="1"/>
    <col min="3302" max="3302" width="1" style="108" customWidth="1"/>
    <col min="3303" max="3306" width="3.28515625" style="108" customWidth="1"/>
    <col min="3307" max="3307" width="1.85546875" style="108" customWidth="1"/>
    <col min="3308" max="3308" width="17.85546875" style="108" customWidth="1"/>
    <col min="3309" max="3309" width="1.85546875" style="108" customWidth="1"/>
    <col min="3310" max="3313" width="3.28515625" style="108" customWidth="1"/>
    <col min="3314" max="3314" width="1.85546875" style="108" customWidth="1"/>
    <col min="3315" max="3315" width="12.42578125" style="108" customWidth="1"/>
    <col min="3316" max="3316" width="1.85546875" style="108" customWidth="1"/>
    <col min="3317" max="3319" width="3" style="108" customWidth="1"/>
    <col min="3320" max="3320" width="4.42578125" style="108" customWidth="1"/>
    <col min="3321" max="3322" width="3" style="108" customWidth="1"/>
    <col min="3323" max="3328" width="3.28515625" style="108" customWidth="1"/>
    <col min="3329" max="3330" width="9.140625" style="108" customWidth="1"/>
    <col min="3331" max="3334" width="3.28515625" style="108" customWidth="1"/>
    <col min="3335" max="3335" width="4.140625" style="108" customWidth="1"/>
    <col min="3336" max="3548" width="10.28515625" style="108"/>
    <col min="3549" max="3557" width="9.140625" style="108" customWidth="1"/>
    <col min="3558" max="3558" width="1" style="108" customWidth="1"/>
    <col min="3559" max="3562" width="3.28515625" style="108" customWidth="1"/>
    <col min="3563" max="3563" width="1.85546875" style="108" customWidth="1"/>
    <col min="3564" max="3564" width="17.85546875" style="108" customWidth="1"/>
    <col min="3565" max="3565" width="1.85546875" style="108" customWidth="1"/>
    <col min="3566" max="3569" width="3.28515625" style="108" customWidth="1"/>
    <col min="3570" max="3570" width="1.85546875" style="108" customWidth="1"/>
    <col min="3571" max="3571" width="12.42578125" style="108" customWidth="1"/>
    <col min="3572" max="3572" width="1.85546875" style="108" customWidth="1"/>
    <col min="3573" max="3575" width="3" style="108" customWidth="1"/>
    <col min="3576" max="3576" width="4.42578125" style="108" customWidth="1"/>
    <col min="3577" max="3578" width="3" style="108" customWidth="1"/>
    <col min="3579" max="3584" width="3.28515625" style="108" customWidth="1"/>
    <col min="3585" max="3586" width="9.140625" style="108" customWidth="1"/>
    <col min="3587" max="3590" width="3.28515625" style="108" customWidth="1"/>
    <col min="3591" max="3591" width="4.140625" style="108" customWidth="1"/>
    <col min="3592" max="3804" width="10.28515625" style="108"/>
    <col min="3805" max="3813" width="9.140625" style="108" customWidth="1"/>
    <col min="3814" max="3814" width="1" style="108" customWidth="1"/>
    <col min="3815" max="3818" width="3.28515625" style="108" customWidth="1"/>
    <col min="3819" max="3819" width="1.85546875" style="108" customWidth="1"/>
    <col min="3820" max="3820" width="17.85546875" style="108" customWidth="1"/>
    <col min="3821" max="3821" width="1.85546875" style="108" customWidth="1"/>
    <col min="3822" max="3825" width="3.28515625" style="108" customWidth="1"/>
    <col min="3826" max="3826" width="1.85546875" style="108" customWidth="1"/>
    <col min="3827" max="3827" width="12.42578125" style="108" customWidth="1"/>
    <col min="3828" max="3828" width="1.85546875" style="108" customWidth="1"/>
    <col min="3829" max="3831" width="3" style="108" customWidth="1"/>
    <col min="3832" max="3832" width="4.42578125" style="108" customWidth="1"/>
    <col min="3833" max="3834" width="3" style="108" customWidth="1"/>
    <col min="3835" max="3840" width="3.28515625" style="108" customWidth="1"/>
    <col min="3841" max="3842" width="9.140625" style="108" customWidth="1"/>
    <col min="3843" max="3846" width="3.28515625" style="108" customWidth="1"/>
    <col min="3847" max="3847" width="4.140625" style="108" customWidth="1"/>
    <col min="3848" max="4060" width="10.28515625" style="108"/>
    <col min="4061" max="4069" width="9.140625" style="108" customWidth="1"/>
    <col min="4070" max="4070" width="1" style="108" customWidth="1"/>
    <col min="4071" max="4074" width="3.28515625" style="108" customWidth="1"/>
    <col min="4075" max="4075" width="1.85546875" style="108" customWidth="1"/>
    <col min="4076" max="4076" width="17.85546875" style="108" customWidth="1"/>
    <col min="4077" max="4077" width="1.85546875" style="108" customWidth="1"/>
    <col min="4078" max="4081" width="3.28515625" style="108" customWidth="1"/>
    <col min="4082" max="4082" width="1.85546875" style="108" customWidth="1"/>
    <col min="4083" max="4083" width="12.42578125" style="108" customWidth="1"/>
    <col min="4084" max="4084" width="1.85546875" style="108" customWidth="1"/>
    <col min="4085" max="4087" width="3" style="108" customWidth="1"/>
    <col min="4088" max="4088" width="4.42578125" style="108" customWidth="1"/>
    <col min="4089" max="4090" width="3" style="108" customWidth="1"/>
    <col min="4091" max="4096" width="3.28515625" style="108" customWidth="1"/>
    <col min="4097" max="4098" width="9.140625" style="108" customWidth="1"/>
    <col min="4099" max="4102" width="3.28515625" style="108" customWidth="1"/>
    <col min="4103" max="4103" width="4.140625" style="108" customWidth="1"/>
    <col min="4104" max="4316" width="10.28515625" style="108"/>
    <col min="4317" max="4325" width="9.140625" style="108" customWidth="1"/>
    <col min="4326" max="4326" width="1" style="108" customWidth="1"/>
    <col min="4327" max="4330" width="3.28515625" style="108" customWidth="1"/>
    <col min="4331" max="4331" width="1.85546875" style="108" customWidth="1"/>
    <col min="4332" max="4332" width="17.85546875" style="108" customWidth="1"/>
    <col min="4333" max="4333" width="1.85546875" style="108" customWidth="1"/>
    <col min="4334" max="4337" width="3.28515625" style="108" customWidth="1"/>
    <col min="4338" max="4338" width="1.85546875" style="108" customWidth="1"/>
    <col min="4339" max="4339" width="12.42578125" style="108" customWidth="1"/>
    <col min="4340" max="4340" width="1.85546875" style="108" customWidth="1"/>
    <col min="4341" max="4343" width="3" style="108" customWidth="1"/>
    <col min="4344" max="4344" width="4.42578125" style="108" customWidth="1"/>
    <col min="4345" max="4346" width="3" style="108" customWidth="1"/>
    <col min="4347" max="4352" width="3.28515625" style="108" customWidth="1"/>
    <col min="4353" max="4354" width="9.140625" style="108" customWidth="1"/>
    <col min="4355" max="4358" width="3.28515625" style="108" customWidth="1"/>
    <col min="4359" max="4359" width="4.140625" style="108" customWidth="1"/>
    <col min="4360" max="4572" width="10.28515625" style="108"/>
    <col min="4573" max="4581" width="9.140625" style="108" customWidth="1"/>
    <col min="4582" max="4582" width="1" style="108" customWidth="1"/>
    <col min="4583" max="4586" width="3.28515625" style="108" customWidth="1"/>
    <col min="4587" max="4587" width="1.85546875" style="108" customWidth="1"/>
    <col min="4588" max="4588" width="17.85546875" style="108" customWidth="1"/>
    <col min="4589" max="4589" width="1.85546875" style="108" customWidth="1"/>
    <col min="4590" max="4593" width="3.28515625" style="108" customWidth="1"/>
    <col min="4594" max="4594" width="1.85546875" style="108" customWidth="1"/>
    <col min="4595" max="4595" width="12.42578125" style="108" customWidth="1"/>
    <col min="4596" max="4596" width="1.85546875" style="108" customWidth="1"/>
    <col min="4597" max="4599" width="3" style="108" customWidth="1"/>
    <col min="4600" max="4600" width="4.42578125" style="108" customWidth="1"/>
    <col min="4601" max="4602" width="3" style="108" customWidth="1"/>
    <col min="4603" max="4608" width="3.28515625" style="108" customWidth="1"/>
    <col min="4609" max="4610" width="9.140625" style="108" customWidth="1"/>
    <col min="4611" max="4614" width="3.28515625" style="108" customWidth="1"/>
    <col min="4615" max="4615" width="4.140625" style="108" customWidth="1"/>
    <col min="4616" max="4828" width="10.28515625" style="108"/>
    <col min="4829" max="4837" width="9.140625" style="108" customWidth="1"/>
    <col min="4838" max="4838" width="1" style="108" customWidth="1"/>
    <col min="4839" max="4842" width="3.28515625" style="108" customWidth="1"/>
    <col min="4843" max="4843" width="1.85546875" style="108" customWidth="1"/>
    <col min="4844" max="4844" width="17.85546875" style="108" customWidth="1"/>
    <col min="4845" max="4845" width="1.85546875" style="108" customWidth="1"/>
    <col min="4846" max="4849" width="3.28515625" style="108" customWidth="1"/>
    <col min="4850" max="4850" width="1.85546875" style="108" customWidth="1"/>
    <col min="4851" max="4851" width="12.42578125" style="108" customWidth="1"/>
    <col min="4852" max="4852" width="1.85546875" style="108" customWidth="1"/>
    <col min="4853" max="4855" width="3" style="108" customWidth="1"/>
    <col min="4856" max="4856" width="4.42578125" style="108" customWidth="1"/>
    <col min="4857" max="4858" width="3" style="108" customWidth="1"/>
    <col min="4859" max="4864" width="3.28515625" style="108" customWidth="1"/>
    <col min="4865" max="4866" width="9.140625" style="108" customWidth="1"/>
    <col min="4867" max="4870" width="3.28515625" style="108" customWidth="1"/>
    <col min="4871" max="4871" width="4.140625" style="108" customWidth="1"/>
    <col min="4872" max="5084" width="10.28515625" style="108"/>
    <col min="5085" max="5093" width="9.140625" style="108" customWidth="1"/>
    <col min="5094" max="5094" width="1" style="108" customWidth="1"/>
    <col min="5095" max="5098" width="3.28515625" style="108" customWidth="1"/>
    <col min="5099" max="5099" width="1.85546875" style="108" customWidth="1"/>
    <col min="5100" max="5100" width="17.85546875" style="108" customWidth="1"/>
    <col min="5101" max="5101" width="1.85546875" style="108" customWidth="1"/>
    <col min="5102" max="5105" width="3.28515625" style="108" customWidth="1"/>
    <col min="5106" max="5106" width="1.85546875" style="108" customWidth="1"/>
    <col min="5107" max="5107" width="12.42578125" style="108" customWidth="1"/>
    <col min="5108" max="5108" width="1.85546875" style="108" customWidth="1"/>
    <col min="5109" max="5111" width="3" style="108" customWidth="1"/>
    <col min="5112" max="5112" width="4.42578125" style="108" customWidth="1"/>
    <col min="5113" max="5114" width="3" style="108" customWidth="1"/>
    <col min="5115" max="5120" width="3.28515625" style="108" customWidth="1"/>
    <col min="5121" max="5122" width="9.140625" style="108" customWidth="1"/>
    <col min="5123" max="5126" width="3.28515625" style="108" customWidth="1"/>
    <col min="5127" max="5127" width="4.140625" style="108" customWidth="1"/>
    <col min="5128" max="5340" width="10.28515625" style="108"/>
    <col min="5341" max="5349" width="9.140625" style="108" customWidth="1"/>
    <col min="5350" max="5350" width="1" style="108" customWidth="1"/>
    <col min="5351" max="5354" width="3.28515625" style="108" customWidth="1"/>
    <col min="5355" max="5355" width="1.85546875" style="108" customWidth="1"/>
    <col min="5356" max="5356" width="17.85546875" style="108" customWidth="1"/>
    <col min="5357" max="5357" width="1.85546875" style="108" customWidth="1"/>
    <col min="5358" max="5361" width="3.28515625" style="108" customWidth="1"/>
    <col min="5362" max="5362" width="1.85546875" style="108" customWidth="1"/>
    <col min="5363" max="5363" width="12.42578125" style="108" customWidth="1"/>
    <col min="5364" max="5364" width="1.85546875" style="108" customWidth="1"/>
    <col min="5365" max="5367" width="3" style="108" customWidth="1"/>
    <col min="5368" max="5368" width="4.42578125" style="108" customWidth="1"/>
    <col min="5369" max="5370" width="3" style="108" customWidth="1"/>
    <col min="5371" max="5376" width="3.28515625" style="108" customWidth="1"/>
    <col min="5377" max="5378" width="9.140625" style="108" customWidth="1"/>
    <col min="5379" max="5382" width="3.28515625" style="108" customWidth="1"/>
    <col min="5383" max="5383" width="4.140625" style="108" customWidth="1"/>
    <col min="5384" max="5596" width="10.28515625" style="108"/>
    <col min="5597" max="5605" width="9.140625" style="108" customWidth="1"/>
    <col min="5606" max="5606" width="1" style="108" customWidth="1"/>
    <col min="5607" max="5610" width="3.28515625" style="108" customWidth="1"/>
    <col min="5611" max="5611" width="1.85546875" style="108" customWidth="1"/>
    <col min="5612" max="5612" width="17.85546875" style="108" customWidth="1"/>
    <col min="5613" max="5613" width="1.85546875" style="108" customWidth="1"/>
    <col min="5614" max="5617" width="3.28515625" style="108" customWidth="1"/>
    <col min="5618" max="5618" width="1.85546875" style="108" customWidth="1"/>
    <col min="5619" max="5619" width="12.42578125" style="108" customWidth="1"/>
    <col min="5620" max="5620" width="1.85546875" style="108" customWidth="1"/>
    <col min="5621" max="5623" width="3" style="108" customWidth="1"/>
    <col min="5624" max="5624" width="4.42578125" style="108" customWidth="1"/>
    <col min="5625" max="5626" width="3" style="108" customWidth="1"/>
    <col min="5627" max="5632" width="3.28515625" style="108" customWidth="1"/>
    <col min="5633" max="5634" width="9.140625" style="108" customWidth="1"/>
    <col min="5635" max="5638" width="3.28515625" style="108" customWidth="1"/>
    <col min="5639" max="5639" width="4.140625" style="108" customWidth="1"/>
    <col min="5640" max="5852" width="10.28515625" style="108"/>
    <col min="5853" max="5861" width="9.140625" style="108" customWidth="1"/>
    <col min="5862" max="5862" width="1" style="108" customWidth="1"/>
    <col min="5863" max="5866" width="3.28515625" style="108" customWidth="1"/>
    <col min="5867" max="5867" width="1.85546875" style="108" customWidth="1"/>
    <col min="5868" max="5868" width="17.85546875" style="108" customWidth="1"/>
    <col min="5869" max="5869" width="1.85546875" style="108" customWidth="1"/>
    <col min="5870" max="5873" width="3.28515625" style="108" customWidth="1"/>
    <col min="5874" max="5874" width="1.85546875" style="108" customWidth="1"/>
    <col min="5875" max="5875" width="12.42578125" style="108" customWidth="1"/>
    <col min="5876" max="5876" width="1.85546875" style="108" customWidth="1"/>
    <col min="5877" max="5879" width="3" style="108" customWidth="1"/>
    <col min="5880" max="5880" width="4.42578125" style="108" customWidth="1"/>
    <col min="5881" max="5882" width="3" style="108" customWidth="1"/>
    <col min="5883" max="5888" width="3.28515625" style="108" customWidth="1"/>
    <col min="5889" max="5890" width="9.140625" style="108" customWidth="1"/>
    <col min="5891" max="5894" width="3.28515625" style="108" customWidth="1"/>
    <col min="5895" max="5895" width="4.140625" style="108" customWidth="1"/>
    <col min="5896" max="6108" width="10.28515625" style="108"/>
    <col min="6109" max="6117" width="9.140625" style="108" customWidth="1"/>
    <col min="6118" max="6118" width="1" style="108" customWidth="1"/>
    <col min="6119" max="6122" width="3.28515625" style="108" customWidth="1"/>
    <col min="6123" max="6123" width="1.85546875" style="108" customWidth="1"/>
    <col min="6124" max="6124" width="17.85546875" style="108" customWidth="1"/>
    <col min="6125" max="6125" width="1.85546875" style="108" customWidth="1"/>
    <col min="6126" max="6129" width="3.28515625" style="108" customWidth="1"/>
    <col min="6130" max="6130" width="1.85546875" style="108" customWidth="1"/>
    <col min="6131" max="6131" width="12.42578125" style="108" customWidth="1"/>
    <col min="6132" max="6132" width="1.85546875" style="108" customWidth="1"/>
    <col min="6133" max="6135" width="3" style="108" customWidth="1"/>
    <col min="6136" max="6136" width="4.42578125" style="108" customWidth="1"/>
    <col min="6137" max="6138" width="3" style="108" customWidth="1"/>
    <col min="6139" max="6144" width="3.28515625" style="108" customWidth="1"/>
    <col min="6145" max="6146" width="9.140625" style="108" customWidth="1"/>
    <col min="6147" max="6150" width="3.28515625" style="108" customWidth="1"/>
    <col min="6151" max="6151" width="4.140625" style="108" customWidth="1"/>
    <col min="6152" max="6364" width="10.28515625" style="108"/>
    <col min="6365" max="6373" width="9.140625" style="108" customWidth="1"/>
    <col min="6374" max="6374" width="1" style="108" customWidth="1"/>
    <col min="6375" max="6378" width="3.28515625" style="108" customWidth="1"/>
    <col min="6379" max="6379" width="1.85546875" style="108" customWidth="1"/>
    <col min="6380" max="6380" width="17.85546875" style="108" customWidth="1"/>
    <col min="6381" max="6381" width="1.85546875" style="108" customWidth="1"/>
    <col min="6382" max="6385" width="3.28515625" style="108" customWidth="1"/>
    <col min="6386" max="6386" width="1.85546875" style="108" customWidth="1"/>
    <col min="6387" max="6387" width="12.42578125" style="108" customWidth="1"/>
    <col min="6388" max="6388" width="1.85546875" style="108" customWidth="1"/>
    <col min="6389" max="6391" width="3" style="108" customWidth="1"/>
    <col min="6392" max="6392" width="4.42578125" style="108" customWidth="1"/>
    <col min="6393" max="6394" width="3" style="108" customWidth="1"/>
    <col min="6395" max="6400" width="3.28515625" style="108" customWidth="1"/>
    <col min="6401" max="6402" width="9.140625" style="108" customWidth="1"/>
    <col min="6403" max="6406" width="3.28515625" style="108" customWidth="1"/>
    <col min="6407" max="6407" width="4.140625" style="108" customWidth="1"/>
    <col min="6408" max="6620" width="10.28515625" style="108"/>
    <col min="6621" max="6629" width="9.140625" style="108" customWidth="1"/>
    <col min="6630" max="6630" width="1" style="108" customWidth="1"/>
    <col min="6631" max="6634" width="3.28515625" style="108" customWidth="1"/>
    <col min="6635" max="6635" width="1.85546875" style="108" customWidth="1"/>
    <col min="6636" max="6636" width="17.85546875" style="108" customWidth="1"/>
    <col min="6637" max="6637" width="1.85546875" style="108" customWidth="1"/>
    <col min="6638" max="6641" width="3.28515625" style="108" customWidth="1"/>
    <col min="6642" max="6642" width="1.85546875" style="108" customWidth="1"/>
    <col min="6643" max="6643" width="12.42578125" style="108" customWidth="1"/>
    <col min="6644" max="6644" width="1.85546875" style="108" customWidth="1"/>
    <col min="6645" max="6647" width="3" style="108" customWidth="1"/>
    <col min="6648" max="6648" width="4.42578125" style="108" customWidth="1"/>
    <col min="6649" max="6650" width="3" style="108" customWidth="1"/>
    <col min="6651" max="6656" width="3.28515625" style="108" customWidth="1"/>
    <col min="6657" max="6658" width="9.140625" style="108" customWidth="1"/>
    <col min="6659" max="6662" width="3.28515625" style="108" customWidth="1"/>
    <col min="6663" max="6663" width="4.140625" style="108" customWidth="1"/>
    <col min="6664" max="6876" width="10.28515625" style="108"/>
    <col min="6877" max="6885" width="9.140625" style="108" customWidth="1"/>
    <col min="6886" max="6886" width="1" style="108" customWidth="1"/>
    <col min="6887" max="6890" width="3.28515625" style="108" customWidth="1"/>
    <col min="6891" max="6891" width="1.85546875" style="108" customWidth="1"/>
    <col min="6892" max="6892" width="17.85546875" style="108" customWidth="1"/>
    <col min="6893" max="6893" width="1.85546875" style="108" customWidth="1"/>
    <col min="6894" max="6897" width="3.28515625" style="108" customWidth="1"/>
    <col min="6898" max="6898" width="1.85546875" style="108" customWidth="1"/>
    <col min="6899" max="6899" width="12.42578125" style="108" customWidth="1"/>
    <col min="6900" max="6900" width="1.85546875" style="108" customWidth="1"/>
    <col min="6901" max="6903" width="3" style="108" customWidth="1"/>
    <col min="6904" max="6904" width="4.42578125" style="108" customWidth="1"/>
    <col min="6905" max="6906" width="3" style="108" customWidth="1"/>
    <col min="6907" max="6912" width="3.28515625" style="108" customWidth="1"/>
    <col min="6913" max="6914" width="9.140625" style="108" customWidth="1"/>
    <col min="6915" max="6918" width="3.28515625" style="108" customWidth="1"/>
    <col min="6919" max="6919" width="4.140625" style="108" customWidth="1"/>
    <col min="6920" max="7132" width="10.28515625" style="108"/>
    <col min="7133" max="7141" width="9.140625" style="108" customWidth="1"/>
    <col min="7142" max="7142" width="1" style="108" customWidth="1"/>
    <col min="7143" max="7146" width="3.28515625" style="108" customWidth="1"/>
    <col min="7147" max="7147" width="1.85546875" style="108" customWidth="1"/>
    <col min="7148" max="7148" width="17.85546875" style="108" customWidth="1"/>
    <col min="7149" max="7149" width="1.85546875" style="108" customWidth="1"/>
    <col min="7150" max="7153" width="3.28515625" style="108" customWidth="1"/>
    <col min="7154" max="7154" width="1.85546875" style="108" customWidth="1"/>
    <col min="7155" max="7155" width="12.42578125" style="108" customWidth="1"/>
    <col min="7156" max="7156" width="1.85546875" style="108" customWidth="1"/>
    <col min="7157" max="7159" width="3" style="108" customWidth="1"/>
    <col min="7160" max="7160" width="4.42578125" style="108" customWidth="1"/>
    <col min="7161" max="7162" width="3" style="108" customWidth="1"/>
    <col min="7163" max="7168" width="3.28515625" style="108" customWidth="1"/>
    <col min="7169" max="7170" width="9.140625" style="108" customWidth="1"/>
    <col min="7171" max="7174" width="3.28515625" style="108" customWidth="1"/>
    <col min="7175" max="7175" width="4.140625" style="108" customWidth="1"/>
    <col min="7176" max="7388" width="10.28515625" style="108"/>
    <col min="7389" max="7397" width="9.140625" style="108" customWidth="1"/>
    <col min="7398" max="7398" width="1" style="108" customWidth="1"/>
    <col min="7399" max="7402" width="3.28515625" style="108" customWidth="1"/>
    <col min="7403" max="7403" width="1.85546875" style="108" customWidth="1"/>
    <col min="7404" max="7404" width="17.85546875" style="108" customWidth="1"/>
    <col min="7405" max="7405" width="1.85546875" style="108" customWidth="1"/>
    <col min="7406" max="7409" width="3.28515625" style="108" customWidth="1"/>
    <col min="7410" max="7410" width="1.85546875" style="108" customWidth="1"/>
    <col min="7411" max="7411" width="12.42578125" style="108" customWidth="1"/>
    <col min="7412" max="7412" width="1.85546875" style="108" customWidth="1"/>
    <col min="7413" max="7415" width="3" style="108" customWidth="1"/>
    <col min="7416" max="7416" width="4.42578125" style="108" customWidth="1"/>
    <col min="7417" max="7418" width="3" style="108" customWidth="1"/>
    <col min="7419" max="7424" width="3.28515625" style="108" customWidth="1"/>
    <col min="7425" max="7426" width="9.140625" style="108" customWidth="1"/>
    <col min="7427" max="7430" width="3.28515625" style="108" customWidth="1"/>
    <col min="7431" max="7431" width="4.140625" style="108" customWidth="1"/>
    <col min="7432" max="7644" width="10.28515625" style="108"/>
    <col min="7645" max="7653" width="9.140625" style="108" customWidth="1"/>
    <col min="7654" max="7654" width="1" style="108" customWidth="1"/>
    <col min="7655" max="7658" width="3.28515625" style="108" customWidth="1"/>
    <col min="7659" max="7659" width="1.85546875" style="108" customWidth="1"/>
    <col min="7660" max="7660" width="17.85546875" style="108" customWidth="1"/>
    <col min="7661" max="7661" width="1.85546875" style="108" customWidth="1"/>
    <col min="7662" max="7665" width="3.28515625" style="108" customWidth="1"/>
    <col min="7666" max="7666" width="1.85546875" style="108" customWidth="1"/>
    <col min="7667" max="7667" width="12.42578125" style="108" customWidth="1"/>
    <col min="7668" max="7668" width="1.85546875" style="108" customWidth="1"/>
    <col min="7669" max="7671" width="3" style="108" customWidth="1"/>
    <col min="7672" max="7672" width="4.42578125" style="108" customWidth="1"/>
    <col min="7673" max="7674" width="3" style="108" customWidth="1"/>
    <col min="7675" max="7680" width="3.28515625" style="108" customWidth="1"/>
    <col min="7681" max="7682" width="9.140625" style="108" customWidth="1"/>
    <col min="7683" max="7686" width="3.28515625" style="108" customWidth="1"/>
    <col min="7687" max="7687" width="4.140625" style="108" customWidth="1"/>
    <col min="7688" max="7900" width="10.28515625" style="108"/>
    <col min="7901" max="7909" width="9.140625" style="108" customWidth="1"/>
    <col min="7910" max="7910" width="1" style="108" customWidth="1"/>
    <col min="7911" max="7914" width="3.28515625" style="108" customWidth="1"/>
    <col min="7915" max="7915" width="1.85546875" style="108" customWidth="1"/>
    <col min="7916" max="7916" width="17.85546875" style="108" customWidth="1"/>
    <col min="7917" max="7917" width="1.85546875" style="108" customWidth="1"/>
    <col min="7918" max="7921" width="3.28515625" style="108" customWidth="1"/>
    <col min="7922" max="7922" width="1.85546875" style="108" customWidth="1"/>
    <col min="7923" max="7923" width="12.42578125" style="108" customWidth="1"/>
    <col min="7924" max="7924" width="1.85546875" style="108" customWidth="1"/>
    <col min="7925" max="7927" width="3" style="108" customWidth="1"/>
    <col min="7928" max="7928" width="4.42578125" style="108" customWidth="1"/>
    <col min="7929" max="7930" width="3" style="108" customWidth="1"/>
    <col min="7931" max="7936" width="3.28515625" style="108" customWidth="1"/>
    <col min="7937" max="7938" width="9.140625" style="108" customWidth="1"/>
    <col min="7939" max="7942" width="3.28515625" style="108" customWidth="1"/>
    <col min="7943" max="7943" width="4.140625" style="108" customWidth="1"/>
    <col min="7944" max="8156" width="10.28515625" style="108"/>
    <col min="8157" max="8165" width="9.140625" style="108" customWidth="1"/>
    <col min="8166" max="8166" width="1" style="108" customWidth="1"/>
    <col min="8167" max="8170" width="3.28515625" style="108" customWidth="1"/>
    <col min="8171" max="8171" width="1.85546875" style="108" customWidth="1"/>
    <col min="8172" max="8172" width="17.85546875" style="108" customWidth="1"/>
    <col min="8173" max="8173" width="1.85546875" style="108" customWidth="1"/>
    <col min="8174" max="8177" width="3.28515625" style="108" customWidth="1"/>
    <col min="8178" max="8178" width="1.85546875" style="108" customWidth="1"/>
    <col min="8179" max="8179" width="12.42578125" style="108" customWidth="1"/>
    <col min="8180" max="8180" width="1.85546875" style="108" customWidth="1"/>
    <col min="8181" max="8183" width="3" style="108" customWidth="1"/>
    <col min="8184" max="8184" width="4.42578125" style="108" customWidth="1"/>
    <col min="8185" max="8186" width="3" style="108" customWidth="1"/>
    <col min="8187" max="8192" width="3.28515625" style="108" customWidth="1"/>
    <col min="8193" max="8194" width="9.140625" style="108" customWidth="1"/>
    <col min="8195" max="8198" width="3.28515625" style="108" customWidth="1"/>
    <col min="8199" max="8199" width="4.140625" style="108" customWidth="1"/>
    <col min="8200" max="8412" width="10.28515625" style="108"/>
    <col min="8413" max="8421" width="9.140625" style="108" customWidth="1"/>
    <col min="8422" max="8422" width="1" style="108" customWidth="1"/>
    <col min="8423" max="8426" width="3.28515625" style="108" customWidth="1"/>
    <col min="8427" max="8427" width="1.85546875" style="108" customWidth="1"/>
    <col min="8428" max="8428" width="17.85546875" style="108" customWidth="1"/>
    <col min="8429" max="8429" width="1.85546875" style="108" customWidth="1"/>
    <col min="8430" max="8433" width="3.28515625" style="108" customWidth="1"/>
    <col min="8434" max="8434" width="1.85546875" style="108" customWidth="1"/>
    <col min="8435" max="8435" width="12.42578125" style="108" customWidth="1"/>
    <col min="8436" max="8436" width="1.85546875" style="108" customWidth="1"/>
    <col min="8437" max="8439" width="3" style="108" customWidth="1"/>
    <col min="8440" max="8440" width="4.42578125" style="108" customWidth="1"/>
    <col min="8441" max="8442" width="3" style="108" customWidth="1"/>
    <col min="8443" max="8448" width="3.28515625" style="108" customWidth="1"/>
    <col min="8449" max="8450" width="9.140625" style="108" customWidth="1"/>
    <col min="8451" max="8454" width="3.28515625" style="108" customWidth="1"/>
    <col min="8455" max="8455" width="4.140625" style="108" customWidth="1"/>
    <col min="8456" max="8668" width="10.28515625" style="108"/>
    <col min="8669" max="8677" width="9.140625" style="108" customWidth="1"/>
    <col min="8678" max="8678" width="1" style="108" customWidth="1"/>
    <col min="8679" max="8682" width="3.28515625" style="108" customWidth="1"/>
    <col min="8683" max="8683" width="1.85546875" style="108" customWidth="1"/>
    <col min="8684" max="8684" width="17.85546875" style="108" customWidth="1"/>
    <col min="8685" max="8685" width="1.85546875" style="108" customWidth="1"/>
    <col min="8686" max="8689" width="3.28515625" style="108" customWidth="1"/>
    <col min="8690" max="8690" width="1.85546875" style="108" customWidth="1"/>
    <col min="8691" max="8691" width="12.42578125" style="108" customWidth="1"/>
    <col min="8692" max="8692" width="1.85546875" style="108" customWidth="1"/>
    <col min="8693" max="8695" width="3" style="108" customWidth="1"/>
    <col min="8696" max="8696" width="4.42578125" style="108" customWidth="1"/>
    <col min="8697" max="8698" width="3" style="108" customWidth="1"/>
    <col min="8699" max="8704" width="3.28515625" style="108" customWidth="1"/>
    <col min="8705" max="8706" width="9.140625" style="108" customWidth="1"/>
    <col min="8707" max="8710" width="3.28515625" style="108" customWidth="1"/>
    <col min="8711" max="8711" width="4.140625" style="108" customWidth="1"/>
    <col min="8712" max="8924" width="10.28515625" style="108"/>
    <col min="8925" max="8933" width="9.140625" style="108" customWidth="1"/>
    <col min="8934" max="8934" width="1" style="108" customWidth="1"/>
    <col min="8935" max="8938" width="3.28515625" style="108" customWidth="1"/>
    <col min="8939" max="8939" width="1.85546875" style="108" customWidth="1"/>
    <col min="8940" max="8940" width="17.85546875" style="108" customWidth="1"/>
    <col min="8941" max="8941" width="1.85546875" style="108" customWidth="1"/>
    <col min="8942" max="8945" width="3.28515625" style="108" customWidth="1"/>
    <col min="8946" max="8946" width="1.85546875" style="108" customWidth="1"/>
    <col min="8947" max="8947" width="12.42578125" style="108" customWidth="1"/>
    <col min="8948" max="8948" width="1.85546875" style="108" customWidth="1"/>
    <col min="8949" max="8951" width="3" style="108" customWidth="1"/>
    <col min="8952" max="8952" width="4.42578125" style="108" customWidth="1"/>
    <col min="8953" max="8954" width="3" style="108" customWidth="1"/>
    <col min="8955" max="8960" width="3.28515625" style="108" customWidth="1"/>
    <col min="8961" max="8962" width="9.140625" style="108" customWidth="1"/>
    <col min="8963" max="8966" width="3.28515625" style="108" customWidth="1"/>
    <col min="8967" max="8967" width="4.140625" style="108" customWidth="1"/>
    <col min="8968" max="9180" width="10.28515625" style="108"/>
    <col min="9181" max="9189" width="9.140625" style="108" customWidth="1"/>
    <col min="9190" max="9190" width="1" style="108" customWidth="1"/>
    <col min="9191" max="9194" width="3.28515625" style="108" customWidth="1"/>
    <col min="9195" max="9195" width="1.85546875" style="108" customWidth="1"/>
    <col min="9196" max="9196" width="17.85546875" style="108" customWidth="1"/>
    <col min="9197" max="9197" width="1.85546875" style="108" customWidth="1"/>
    <col min="9198" max="9201" width="3.28515625" style="108" customWidth="1"/>
    <col min="9202" max="9202" width="1.85546875" style="108" customWidth="1"/>
    <col min="9203" max="9203" width="12.42578125" style="108" customWidth="1"/>
    <col min="9204" max="9204" width="1.85546875" style="108" customWidth="1"/>
    <col min="9205" max="9207" width="3" style="108" customWidth="1"/>
    <col min="9208" max="9208" width="4.42578125" style="108" customWidth="1"/>
    <col min="9209" max="9210" width="3" style="108" customWidth="1"/>
    <col min="9211" max="9216" width="3.28515625" style="108" customWidth="1"/>
    <col min="9217" max="9218" width="9.140625" style="108" customWidth="1"/>
    <col min="9219" max="9222" width="3.28515625" style="108" customWidth="1"/>
    <col min="9223" max="9223" width="4.140625" style="108" customWidth="1"/>
    <col min="9224" max="9436" width="10.28515625" style="108"/>
    <col min="9437" max="9445" width="9.140625" style="108" customWidth="1"/>
    <col min="9446" max="9446" width="1" style="108" customWidth="1"/>
    <col min="9447" max="9450" width="3.28515625" style="108" customWidth="1"/>
    <col min="9451" max="9451" width="1.85546875" style="108" customWidth="1"/>
    <col min="9452" max="9452" width="17.85546875" style="108" customWidth="1"/>
    <col min="9453" max="9453" width="1.85546875" style="108" customWidth="1"/>
    <col min="9454" max="9457" width="3.28515625" style="108" customWidth="1"/>
    <col min="9458" max="9458" width="1.85546875" style="108" customWidth="1"/>
    <col min="9459" max="9459" width="12.42578125" style="108" customWidth="1"/>
    <col min="9460" max="9460" width="1.85546875" style="108" customWidth="1"/>
    <col min="9461" max="9463" width="3" style="108" customWidth="1"/>
    <col min="9464" max="9464" width="4.42578125" style="108" customWidth="1"/>
    <col min="9465" max="9466" width="3" style="108" customWidth="1"/>
    <col min="9467" max="9472" width="3.28515625" style="108" customWidth="1"/>
    <col min="9473" max="9474" width="9.140625" style="108" customWidth="1"/>
    <col min="9475" max="9478" width="3.28515625" style="108" customWidth="1"/>
    <col min="9479" max="9479" width="4.140625" style="108" customWidth="1"/>
    <col min="9480" max="9692" width="10.28515625" style="108"/>
    <col min="9693" max="9701" width="9.140625" style="108" customWidth="1"/>
    <col min="9702" max="9702" width="1" style="108" customWidth="1"/>
    <col min="9703" max="9706" width="3.28515625" style="108" customWidth="1"/>
    <col min="9707" max="9707" width="1.85546875" style="108" customWidth="1"/>
    <col min="9708" max="9708" width="17.85546875" style="108" customWidth="1"/>
    <col min="9709" max="9709" width="1.85546875" style="108" customWidth="1"/>
    <col min="9710" max="9713" width="3.28515625" style="108" customWidth="1"/>
    <col min="9714" max="9714" width="1.85546875" style="108" customWidth="1"/>
    <col min="9715" max="9715" width="12.42578125" style="108" customWidth="1"/>
    <col min="9716" max="9716" width="1.85546875" style="108" customWidth="1"/>
    <col min="9717" max="9719" width="3" style="108" customWidth="1"/>
    <col min="9720" max="9720" width="4.42578125" style="108" customWidth="1"/>
    <col min="9721" max="9722" width="3" style="108" customWidth="1"/>
    <col min="9723" max="9728" width="3.28515625" style="108" customWidth="1"/>
    <col min="9729" max="9730" width="9.140625" style="108" customWidth="1"/>
    <col min="9731" max="9734" width="3.28515625" style="108" customWidth="1"/>
    <col min="9735" max="9735" width="4.140625" style="108" customWidth="1"/>
    <col min="9736" max="9948" width="10.28515625" style="108"/>
    <col min="9949" max="9957" width="9.140625" style="108" customWidth="1"/>
    <col min="9958" max="9958" width="1" style="108" customWidth="1"/>
    <col min="9959" max="9962" width="3.28515625" style="108" customWidth="1"/>
    <col min="9963" max="9963" width="1.85546875" style="108" customWidth="1"/>
    <col min="9964" max="9964" width="17.85546875" style="108" customWidth="1"/>
    <col min="9965" max="9965" width="1.85546875" style="108" customWidth="1"/>
    <col min="9966" max="9969" width="3.28515625" style="108" customWidth="1"/>
    <col min="9970" max="9970" width="1.85546875" style="108" customWidth="1"/>
    <col min="9971" max="9971" width="12.42578125" style="108" customWidth="1"/>
    <col min="9972" max="9972" width="1.85546875" style="108" customWidth="1"/>
    <col min="9973" max="9975" width="3" style="108" customWidth="1"/>
    <col min="9976" max="9976" width="4.42578125" style="108" customWidth="1"/>
    <col min="9977" max="9978" width="3" style="108" customWidth="1"/>
    <col min="9979" max="9984" width="3.28515625" style="108" customWidth="1"/>
    <col min="9985" max="9986" width="9.140625" style="108" customWidth="1"/>
    <col min="9987" max="9990" width="3.28515625" style="108" customWidth="1"/>
    <col min="9991" max="9991" width="4.140625" style="108" customWidth="1"/>
    <col min="9992" max="10204" width="10.28515625" style="108"/>
    <col min="10205" max="10213" width="9.140625" style="108" customWidth="1"/>
    <col min="10214" max="10214" width="1" style="108" customWidth="1"/>
    <col min="10215" max="10218" width="3.28515625" style="108" customWidth="1"/>
    <col min="10219" max="10219" width="1.85546875" style="108" customWidth="1"/>
    <col min="10220" max="10220" width="17.85546875" style="108" customWidth="1"/>
    <col min="10221" max="10221" width="1.85546875" style="108" customWidth="1"/>
    <col min="10222" max="10225" width="3.28515625" style="108" customWidth="1"/>
    <col min="10226" max="10226" width="1.85546875" style="108" customWidth="1"/>
    <col min="10227" max="10227" width="12.42578125" style="108" customWidth="1"/>
    <col min="10228" max="10228" width="1.85546875" style="108" customWidth="1"/>
    <col min="10229" max="10231" width="3" style="108" customWidth="1"/>
    <col min="10232" max="10232" width="4.42578125" style="108" customWidth="1"/>
    <col min="10233" max="10234" width="3" style="108" customWidth="1"/>
    <col min="10235" max="10240" width="3.28515625" style="108" customWidth="1"/>
    <col min="10241" max="10242" width="9.140625" style="108" customWidth="1"/>
    <col min="10243" max="10246" width="3.28515625" style="108" customWidth="1"/>
    <col min="10247" max="10247" width="4.140625" style="108" customWidth="1"/>
    <col min="10248" max="10460" width="10.28515625" style="108"/>
    <col min="10461" max="10469" width="9.140625" style="108" customWidth="1"/>
    <col min="10470" max="10470" width="1" style="108" customWidth="1"/>
    <col min="10471" max="10474" width="3.28515625" style="108" customWidth="1"/>
    <col min="10475" max="10475" width="1.85546875" style="108" customWidth="1"/>
    <col min="10476" max="10476" width="17.85546875" style="108" customWidth="1"/>
    <col min="10477" max="10477" width="1.85546875" style="108" customWidth="1"/>
    <col min="10478" max="10481" width="3.28515625" style="108" customWidth="1"/>
    <col min="10482" max="10482" width="1.85546875" style="108" customWidth="1"/>
    <col min="10483" max="10483" width="12.42578125" style="108" customWidth="1"/>
    <col min="10484" max="10484" width="1.85546875" style="108" customWidth="1"/>
    <col min="10485" max="10487" width="3" style="108" customWidth="1"/>
    <col min="10488" max="10488" width="4.42578125" style="108" customWidth="1"/>
    <col min="10489" max="10490" width="3" style="108" customWidth="1"/>
    <col min="10491" max="10496" width="3.28515625" style="108" customWidth="1"/>
    <col min="10497" max="10498" width="9.140625" style="108" customWidth="1"/>
    <col min="10499" max="10502" width="3.28515625" style="108" customWidth="1"/>
    <col min="10503" max="10503" width="4.140625" style="108" customWidth="1"/>
    <col min="10504" max="10716" width="10.28515625" style="108"/>
    <col min="10717" max="10725" width="9.140625" style="108" customWidth="1"/>
    <col min="10726" max="10726" width="1" style="108" customWidth="1"/>
    <col min="10727" max="10730" width="3.28515625" style="108" customWidth="1"/>
    <col min="10731" max="10731" width="1.85546875" style="108" customWidth="1"/>
    <col min="10732" max="10732" width="17.85546875" style="108" customWidth="1"/>
    <col min="10733" max="10733" width="1.85546875" style="108" customWidth="1"/>
    <col min="10734" max="10737" width="3.28515625" style="108" customWidth="1"/>
    <col min="10738" max="10738" width="1.85546875" style="108" customWidth="1"/>
    <col min="10739" max="10739" width="12.42578125" style="108" customWidth="1"/>
    <col min="10740" max="10740" width="1.85546875" style="108" customWidth="1"/>
    <col min="10741" max="10743" width="3" style="108" customWidth="1"/>
    <col min="10744" max="10744" width="4.42578125" style="108" customWidth="1"/>
    <col min="10745" max="10746" width="3" style="108" customWidth="1"/>
    <col min="10747" max="10752" width="3.28515625" style="108" customWidth="1"/>
    <col min="10753" max="10754" width="9.140625" style="108" customWidth="1"/>
    <col min="10755" max="10758" width="3.28515625" style="108" customWidth="1"/>
    <col min="10759" max="10759" width="4.140625" style="108" customWidth="1"/>
    <col min="10760" max="10972" width="10.28515625" style="108"/>
    <col min="10973" max="10981" width="9.140625" style="108" customWidth="1"/>
    <col min="10982" max="10982" width="1" style="108" customWidth="1"/>
    <col min="10983" max="10986" width="3.28515625" style="108" customWidth="1"/>
    <col min="10987" max="10987" width="1.85546875" style="108" customWidth="1"/>
    <col min="10988" max="10988" width="17.85546875" style="108" customWidth="1"/>
    <col min="10989" max="10989" width="1.85546875" style="108" customWidth="1"/>
    <col min="10990" max="10993" width="3.28515625" style="108" customWidth="1"/>
    <col min="10994" max="10994" width="1.85546875" style="108" customWidth="1"/>
    <col min="10995" max="10995" width="12.42578125" style="108" customWidth="1"/>
    <col min="10996" max="10996" width="1.85546875" style="108" customWidth="1"/>
    <col min="10997" max="10999" width="3" style="108" customWidth="1"/>
    <col min="11000" max="11000" width="4.42578125" style="108" customWidth="1"/>
    <col min="11001" max="11002" width="3" style="108" customWidth="1"/>
    <col min="11003" max="11008" width="3.28515625" style="108" customWidth="1"/>
    <col min="11009" max="11010" width="9.140625" style="108" customWidth="1"/>
    <col min="11011" max="11014" width="3.28515625" style="108" customWidth="1"/>
    <col min="11015" max="11015" width="4.140625" style="108" customWidth="1"/>
    <col min="11016" max="11228" width="10.28515625" style="108"/>
    <col min="11229" max="11237" width="9.140625" style="108" customWidth="1"/>
    <col min="11238" max="11238" width="1" style="108" customWidth="1"/>
    <col min="11239" max="11242" width="3.28515625" style="108" customWidth="1"/>
    <col min="11243" max="11243" width="1.85546875" style="108" customWidth="1"/>
    <col min="11244" max="11244" width="17.85546875" style="108" customWidth="1"/>
    <col min="11245" max="11245" width="1.85546875" style="108" customWidth="1"/>
    <col min="11246" max="11249" width="3.28515625" style="108" customWidth="1"/>
    <col min="11250" max="11250" width="1.85546875" style="108" customWidth="1"/>
    <col min="11251" max="11251" width="12.42578125" style="108" customWidth="1"/>
    <col min="11252" max="11252" width="1.85546875" style="108" customWidth="1"/>
    <col min="11253" max="11255" width="3" style="108" customWidth="1"/>
    <col min="11256" max="11256" width="4.42578125" style="108" customWidth="1"/>
    <col min="11257" max="11258" width="3" style="108" customWidth="1"/>
    <col min="11259" max="11264" width="3.28515625" style="108" customWidth="1"/>
    <col min="11265" max="11266" width="9.140625" style="108" customWidth="1"/>
    <col min="11267" max="11270" width="3.28515625" style="108" customWidth="1"/>
    <col min="11271" max="11271" width="4.140625" style="108" customWidth="1"/>
    <col min="11272" max="11484" width="10.28515625" style="108"/>
    <col min="11485" max="11493" width="9.140625" style="108" customWidth="1"/>
    <col min="11494" max="11494" width="1" style="108" customWidth="1"/>
    <col min="11495" max="11498" width="3.28515625" style="108" customWidth="1"/>
    <col min="11499" max="11499" width="1.85546875" style="108" customWidth="1"/>
    <col min="11500" max="11500" width="17.85546875" style="108" customWidth="1"/>
    <col min="11501" max="11501" width="1.85546875" style="108" customWidth="1"/>
    <col min="11502" max="11505" width="3.28515625" style="108" customWidth="1"/>
    <col min="11506" max="11506" width="1.85546875" style="108" customWidth="1"/>
    <col min="11507" max="11507" width="12.42578125" style="108" customWidth="1"/>
    <col min="11508" max="11508" width="1.85546875" style="108" customWidth="1"/>
    <col min="11509" max="11511" width="3" style="108" customWidth="1"/>
    <col min="11512" max="11512" width="4.42578125" style="108" customWidth="1"/>
    <col min="11513" max="11514" width="3" style="108" customWidth="1"/>
    <col min="11515" max="11520" width="3.28515625" style="108" customWidth="1"/>
    <col min="11521" max="11522" width="9.140625" style="108" customWidth="1"/>
    <col min="11523" max="11526" width="3.28515625" style="108" customWidth="1"/>
    <col min="11527" max="11527" width="4.140625" style="108" customWidth="1"/>
    <col min="11528" max="11740" width="10.28515625" style="108"/>
    <col min="11741" max="11749" width="9.140625" style="108" customWidth="1"/>
    <col min="11750" max="11750" width="1" style="108" customWidth="1"/>
    <col min="11751" max="11754" width="3.28515625" style="108" customWidth="1"/>
    <col min="11755" max="11755" width="1.85546875" style="108" customWidth="1"/>
    <col min="11756" max="11756" width="17.85546875" style="108" customWidth="1"/>
    <col min="11757" max="11757" width="1.85546875" style="108" customWidth="1"/>
    <col min="11758" max="11761" width="3.28515625" style="108" customWidth="1"/>
    <col min="11762" max="11762" width="1.85546875" style="108" customWidth="1"/>
    <col min="11763" max="11763" width="12.42578125" style="108" customWidth="1"/>
    <col min="11764" max="11764" width="1.85546875" style="108" customWidth="1"/>
    <col min="11765" max="11767" width="3" style="108" customWidth="1"/>
    <col min="11768" max="11768" width="4.42578125" style="108" customWidth="1"/>
    <col min="11769" max="11770" width="3" style="108" customWidth="1"/>
    <col min="11771" max="11776" width="3.28515625" style="108" customWidth="1"/>
    <col min="11777" max="11778" width="9.140625" style="108" customWidth="1"/>
    <col min="11779" max="11782" width="3.28515625" style="108" customWidth="1"/>
    <col min="11783" max="11783" width="4.140625" style="108" customWidth="1"/>
    <col min="11784" max="11996" width="10.28515625" style="108"/>
    <col min="11997" max="12005" width="9.140625" style="108" customWidth="1"/>
    <col min="12006" max="12006" width="1" style="108" customWidth="1"/>
    <col min="12007" max="12010" width="3.28515625" style="108" customWidth="1"/>
    <col min="12011" max="12011" width="1.85546875" style="108" customWidth="1"/>
    <col min="12012" max="12012" width="17.85546875" style="108" customWidth="1"/>
    <col min="12013" max="12013" width="1.85546875" style="108" customWidth="1"/>
    <col min="12014" max="12017" width="3.28515625" style="108" customWidth="1"/>
    <col min="12018" max="12018" width="1.85546875" style="108" customWidth="1"/>
    <col min="12019" max="12019" width="12.42578125" style="108" customWidth="1"/>
    <col min="12020" max="12020" width="1.85546875" style="108" customWidth="1"/>
    <col min="12021" max="12023" width="3" style="108" customWidth="1"/>
    <col min="12024" max="12024" width="4.42578125" style="108" customWidth="1"/>
    <col min="12025" max="12026" width="3" style="108" customWidth="1"/>
    <col min="12027" max="12032" width="3.28515625" style="108" customWidth="1"/>
    <col min="12033" max="12034" width="9.140625" style="108" customWidth="1"/>
    <col min="12035" max="12038" width="3.28515625" style="108" customWidth="1"/>
    <col min="12039" max="12039" width="4.140625" style="108" customWidth="1"/>
    <col min="12040" max="12252" width="10.28515625" style="108"/>
    <col min="12253" max="12261" width="9.140625" style="108" customWidth="1"/>
    <col min="12262" max="12262" width="1" style="108" customWidth="1"/>
    <col min="12263" max="12266" width="3.28515625" style="108" customWidth="1"/>
    <col min="12267" max="12267" width="1.85546875" style="108" customWidth="1"/>
    <col min="12268" max="12268" width="17.85546875" style="108" customWidth="1"/>
    <col min="12269" max="12269" width="1.85546875" style="108" customWidth="1"/>
    <col min="12270" max="12273" width="3.28515625" style="108" customWidth="1"/>
    <col min="12274" max="12274" width="1.85546875" style="108" customWidth="1"/>
    <col min="12275" max="12275" width="12.42578125" style="108" customWidth="1"/>
    <col min="12276" max="12276" width="1.85546875" style="108" customWidth="1"/>
    <col min="12277" max="12279" width="3" style="108" customWidth="1"/>
    <col min="12280" max="12280" width="4.42578125" style="108" customWidth="1"/>
    <col min="12281" max="12282" width="3" style="108" customWidth="1"/>
    <col min="12283" max="12288" width="3.28515625" style="108" customWidth="1"/>
    <col min="12289" max="12290" width="9.140625" style="108" customWidth="1"/>
    <col min="12291" max="12294" width="3.28515625" style="108" customWidth="1"/>
    <col min="12295" max="12295" width="4.140625" style="108" customWidth="1"/>
    <col min="12296" max="12508" width="10.28515625" style="108"/>
    <col min="12509" max="12517" width="9.140625" style="108" customWidth="1"/>
    <col min="12518" max="12518" width="1" style="108" customWidth="1"/>
    <col min="12519" max="12522" width="3.28515625" style="108" customWidth="1"/>
    <col min="12523" max="12523" width="1.85546875" style="108" customWidth="1"/>
    <col min="12524" max="12524" width="17.85546875" style="108" customWidth="1"/>
    <col min="12525" max="12525" width="1.85546875" style="108" customWidth="1"/>
    <col min="12526" max="12529" width="3.28515625" style="108" customWidth="1"/>
    <col min="12530" max="12530" width="1.85546875" style="108" customWidth="1"/>
    <col min="12531" max="12531" width="12.42578125" style="108" customWidth="1"/>
    <col min="12532" max="12532" width="1.85546875" style="108" customWidth="1"/>
    <col min="12533" max="12535" width="3" style="108" customWidth="1"/>
    <col min="12536" max="12536" width="4.42578125" style="108" customWidth="1"/>
    <col min="12537" max="12538" width="3" style="108" customWidth="1"/>
    <col min="12539" max="12544" width="3.28515625" style="108" customWidth="1"/>
    <col min="12545" max="12546" width="9.140625" style="108" customWidth="1"/>
    <col min="12547" max="12550" width="3.28515625" style="108" customWidth="1"/>
    <col min="12551" max="12551" width="4.140625" style="108" customWidth="1"/>
    <col min="12552" max="12764" width="10.28515625" style="108"/>
    <col min="12765" max="12773" width="9.140625" style="108" customWidth="1"/>
    <col min="12774" max="12774" width="1" style="108" customWidth="1"/>
    <col min="12775" max="12778" width="3.28515625" style="108" customWidth="1"/>
    <col min="12779" max="12779" width="1.85546875" style="108" customWidth="1"/>
    <col min="12780" max="12780" width="17.85546875" style="108" customWidth="1"/>
    <col min="12781" max="12781" width="1.85546875" style="108" customWidth="1"/>
    <col min="12782" max="12785" width="3.28515625" style="108" customWidth="1"/>
    <col min="12786" max="12786" width="1.85546875" style="108" customWidth="1"/>
    <col min="12787" max="12787" width="12.42578125" style="108" customWidth="1"/>
    <col min="12788" max="12788" width="1.85546875" style="108" customWidth="1"/>
    <col min="12789" max="12791" width="3" style="108" customWidth="1"/>
    <col min="12792" max="12792" width="4.42578125" style="108" customWidth="1"/>
    <col min="12793" max="12794" width="3" style="108" customWidth="1"/>
    <col min="12795" max="12800" width="3.28515625" style="108" customWidth="1"/>
    <col min="12801" max="12802" width="9.140625" style="108" customWidth="1"/>
    <col min="12803" max="12806" width="3.28515625" style="108" customWidth="1"/>
    <col min="12807" max="12807" width="4.140625" style="108" customWidth="1"/>
    <col min="12808" max="13020" width="10.28515625" style="108"/>
    <col min="13021" max="13029" width="9.140625" style="108" customWidth="1"/>
    <col min="13030" max="13030" width="1" style="108" customWidth="1"/>
    <col min="13031" max="13034" width="3.28515625" style="108" customWidth="1"/>
    <col min="13035" max="13035" width="1.85546875" style="108" customWidth="1"/>
    <col min="13036" max="13036" width="17.85546875" style="108" customWidth="1"/>
    <col min="13037" max="13037" width="1.85546875" style="108" customWidth="1"/>
    <col min="13038" max="13041" width="3.28515625" style="108" customWidth="1"/>
    <col min="13042" max="13042" width="1.85546875" style="108" customWidth="1"/>
    <col min="13043" max="13043" width="12.42578125" style="108" customWidth="1"/>
    <col min="13044" max="13044" width="1.85546875" style="108" customWidth="1"/>
    <col min="13045" max="13047" width="3" style="108" customWidth="1"/>
    <col min="13048" max="13048" width="4.42578125" style="108" customWidth="1"/>
    <col min="13049" max="13050" width="3" style="108" customWidth="1"/>
    <col min="13051" max="13056" width="3.28515625" style="108" customWidth="1"/>
    <col min="13057" max="13058" width="9.140625" style="108" customWidth="1"/>
    <col min="13059" max="13062" width="3.28515625" style="108" customWidth="1"/>
    <col min="13063" max="13063" width="4.140625" style="108" customWidth="1"/>
    <col min="13064" max="13276" width="10.28515625" style="108"/>
    <col min="13277" max="13285" width="9.140625" style="108" customWidth="1"/>
    <col min="13286" max="13286" width="1" style="108" customWidth="1"/>
    <col min="13287" max="13290" width="3.28515625" style="108" customWidth="1"/>
    <col min="13291" max="13291" width="1.85546875" style="108" customWidth="1"/>
    <col min="13292" max="13292" width="17.85546875" style="108" customWidth="1"/>
    <col min="13293" max="13293" width="1.85546875" style="108" customWidth="1"/>
    <col min="13294" max="13297" width="3.28515625" style="108" customWidth="1"/>
    <col min="13298" max="13298" width="1.85546875" style="108" customWidth="1"/>
    <col min="13299" max="13299" width="12.42578125" style="108" customWidth="1"/>
    <col min="13300" max="13300" width="1.85546875" style="108" customWidth="1"/>
    <col min="13301" max="13303" width="3" style="108" customWidth="1"/>
    <col min="13304" max="13304" width="4.42578125" style="108" customWidth="1"/>
    <col min="13305" max="13306" width="3" style="108" customWidth="1"/>
    <col min="13307" max="13312" width="3.28515625" style="108" customWidth="1"/>
    <col min="13313" max="13314" width="9.140625" style="108" customWidth="1"/>
    <col min="13315" max="13318" width="3.28515625" style="108" customWidth="1"/>
    <col min="13319" max="13319" width="4.140625" style="108" customWidth="1"/>
    <col min="13320" max="13532" width="10.28515625" style="108"/>
    <col min="13533" max="13541" width="9.140625" style="108" customWidth="1"/>
    <col min="13542" max="13542" width="1" style="108" customWidth="1"/>
    <col min="13543" max="13546" width="3.28515625" style="108" customWidth="1"/>
    <col min="13547" max="13547" width="1.85546875" style="108" customWidth="1"/>
    <col min="13548" max="13548" width="17.85546875" style="108" customWidth="1"/>
    <col min="13549" max="13549" width="1.85546875" style="108" customWidth="1"/>
    <col min="13550" max="13553" width="3.28515625" style="108" customWidth="1"/>
    <col min="13554" max="13554" width="1.85546875" style="108" customWidth="1"/>
    <col min="13555" max="13555" width="12.42578125" style="108" customWidth="1"/>
    <col min="13556" max="13556" width="1.85546875" style="108" customWidth="1"/>
    <col min="13557" max="13559" width="3" style="108" customWidth="1"/>
    <col min="13560" max="13560" width="4.42578125" style="108" customWidth="1"/>
    <col min="13561" max="13562" width="3" style="108" customWidth="1"/>
    <col min="13563" max="13568" width="3.28515625" style="108" customWidth="1"/>
    <col min="13569" max="13570" width="9.140625" style="108" customWidth="1"/>
    <col min="13571" max="13574" width="3.28515625" style="108" customWidth="1"/>
    <col min="13575" max="13575" width="4.140625" style="108" customWidth="1"/>
    <col min="13576" max="13788" width="10.28515625" style="108"/>
    <col min="13789" max="13797" width="9.140625" style="108" customWidth="1"/>
    <col min="13798" max="13798" width="1" style="108" customWidth="1"/>
    <col min="13799" max="13802" width="3.28515625" style="108" customWidth="1"/>
    <col min="13803" max="13803" width="1.85546875" style="108" customWidth="1"/>
    <col min="13804" max="13804" width="17.85546875" style="108" customWidth="1"/>
    <col min="13805" max="13805" width="1.85546875" style="108" customWidth="1"/>
    <col min="13806" max="13809" width="3.28515625" style="108" customWidth="1"/>
    <col min="13810" max="13810" width="1.85546875" style="108" customWidth="1"/>
    <col min="13811" max="13811" width="12.42578125" style="108" customWidth="1"/>
    <col min="13812" max="13812" width="1.85546875" style="108" customWidth="1"/>
    <col min="13813" max="13815" width="3" style="108" customWidth="1"/>
    <col min="13816" max="13816" width="4.42578125" style="108" customWidth="1"/>
    <col min="13817" max="13818" width="3" style="108" customWidth="1"/>
    <col min="13819" max="13824" width="3.28515625" style="108" customWidth="1"/>
    <col min="13825" max="13826" width="9.140625" style="108" customWidth="1"/>
    <col min="13827" max="13830" width="3.28515625" style="108" customWidth="1"/>
    <col min="13831" max="13831" width="4.140625" style="108" customWidth="1"/>
    <col min="13832" max="14044" width="10.28515625" style="108"/>
    <col min="14045" max="14053" width="9.140625" style="108" customWidth="1"/>
    <col min="14054" max="14054" width="1" style="108" customWidth="1"/>
    <col min="14055" max="14058" width="3.28515625" style="108" customWidth="1"/>
    <col min="14059" max="14059" width="1.85546875" style="108" customWidth="1"/>
    <col min="14060" max="14060" width="17.85546875" style="108" customWidth="1"/>
    <col min="14061" max="14061" width="1.85546875" style="108" customWidth="1"/>
    <col min="14062" max="14065" width="3.28515625" style="108" customWidth="1"/>
    <col min="14066" max="14066" width="1.85546875" style="108" customWidth="1"/>
    <col min="14067" max="14067" width="12.42578125" style="108" customWidth="1"/>
    <col min="14068" max="14068" width="1.85546875" style="108" customWidth="1"/>
    <col min="14069" max="14071" width="3" style="108" customWidth="1"/>
    <col min="14072" max="14072" width="4.42578125" style="108" customWidth="1"/>
    <col min="14073" max="14074" width="3" style="108" customWidth="1"/>
    <col min="14075" max="14080" width="3.28515625" style="108" customWidth="1"/>
    <col min="14081" max="14082" width="9.140625" style="108" customWidth="1"/>
    <col min="14083" max="14086" width="3.28515625" style="108" customWidth="1"/>
    <col min="14087" max="14087" width="4.140625" style="108" customWidth="1"/>
    <col min="14088" max="14300" width="10.28515625" style="108"/>
    <col min="14301" max="14309" width="9.140625" style="108" customWidth="1"/>
    <col min="14310" max="14310" width="1" style="108" customWidth="1"/>
    <col min="14311" max="14314" width="3.28515625" style="108" customWidth="1"/>
    <col min="14315" max="14315" width="1.85546875" style="108" customWidth="1"/>
    <col min="14316" max="14316" width="17.85546875" style="108" customWidth="1"/>
    <col min="14317" max="14317" width="1.85546875" style="108" customWidth="1"/>
    <col min="14318" max="14321" width="3.28515625" style="108" customWidth="1"/>
    <col min="14322" max="14322" width="1.85546875" style="108" customWidth="1"/>
    <col min="14323" max="14323" width="12.42578125" style="108" customWidth="1"/>
    <col min="14324" max="14324" width="1.85546875" style="108" customWidth="1"/>
    <col min="14325" max="14327" width="3" style="108" customWidth="1"/>
    <col min="14328" max="14328" width="4.42578125" style="108" customWidth="1"/>
    <col min="14329" max="14330" width="3" style="108" customWidth="1"/>
    <col min="14331" max="14336" width="3.28515625" style="108" customWidth="1"/>
    <col min="14337" max="14338" width="9.140625" style="108" customWidth="1"/>
    <col min="14339" max="14342" width="3.28515625" style="108" customWidth="1"/>
    <col min="14343" max="14343" width="4.140625" style="108" customWidth="1"/>
    <col min="14344" max="14556" width="10.28515625" style="108"/>
    <col min="14557" max="14565" width="9.140625" style="108" customWidth="1"/>
    <col min="14566" max="14566" width="1" style="108" customWidth="1"/>
    <col min="14567" max="14570" width="3.28515625" style="108" customWidth="1"/>
    <col min="14571" max="14571" width="1.85546875" style="108" customWidth="1"/>
    <col min="14572" max="14572" width="17.85546875" style="108" customWidth="1"/>
    <col min="14573" max="14573" width="1.85546875" style="108" customWidth="1"/>
    <col min="14574" max="14577" width="3.28515625" style="108" customWidth="1"/>
    <col min="14578" max="14578" width="1.85546875" style="108" customWidth="1"/>
    <col min="14579" max="14579" width="12.42578125" style="108" customWidth="1"/>
    <col min="14580" max="14580" width="1.85546875" style="108" customWidth="1"/>
    <col min="14581" max="14583" width="3" style="108" customWidth="1"/>
    <col min="14584" max="14584" width="4.42578125" style="108" customWidth="1"/>
    <col min="14585" max="14586" width="3" style="108" customWidth="1"/>
    <col min="14587" max="14592" width="3.28515625" style="108" customWidth="1"/>
    <col min="14593" max="14594" width="9.140625" style="108" customWidth="1"/>
    <col min="14595" max="14598" width="3.28515625" style="108" customWidth="1"/>
    <col min="14599" max="14599" width="4.140625" style="108" customWidth="1"/>
    <col min="14600" max="14812" width="10.28515625" style="108"/>
    <col min="14813" max="14821" width="9.140625" style="108" customWidth="1"/>
    <col min="14822" max="14822" width="1" style="108" customWidth="1"/>
    <col min="14823" max="14826" width="3.28515625" style="108" customWidth="1"/>
    <col min="14827" max="14827" width="1.85546875" style="108" customWidth="1"/>
    <col min="14828" max="14828" width="17.85546875" style="108" customWidth="1"/>
    <col min="14829" max="14829" width="1.85546875" style="108" customWidth="1"/>
    <col min="14830" max="14833" width="3.28515625" style="108" customWidth="1"/>
    <col min="14834" max="14834" width="1.85546875" style="108" customWidth="1"/>
    <col min="14835" max="14835" width="12.42578125" style="108" customWidth="1"/>
    <col min="14836" max="14836" width="1.85546875" style="108" customWidth="1"/>
    <col min="14837" max="14839" width="3" style="108" customWidth="1"/>
    <col min="14840" max="14840" width="4.42578125" style="108" customWidth="1"/>
    <col min="14841" max="14842" width="3" style="108" customWidth="1"/>
    <col min="14843" max="14848" width="3.28515625" style="108" customWidth="1"/>
    <col min="14849" max="14850" width="9.140625" style="108" customWidth="1"/>
    <col min="14851" max="14854" width="3.28515625" style="108" customWidth="1"/>
    <col min="14855" max="14855" width="4.140625" style="108" customWidth="1"/>
    <col min="14856" max="15068" width="10.28515625" style="108"/>
    <col min="15069" max="15077" width="9.140625" style="108" customWidth="1"/>
    <col min="15078" max="15078" width="1" style="108" customWidth="1"/>
    <col min="15079" max="15082" width="3.28515625" style="108" customWidth="1"/>
    <col min="15083" max="15083" width="1.85546875" style="108" customWidth="1"/>
    <col min="15084" max="15084" width="17.85546875" style="108" customWidth="1"/>
    <col min="15085" max="15085" width="1.85546875" style="108" customWidth="1"/>
    <col min="15086" max="15089" width="3.28515625" style="108" customWidth="1"/>
    <col min="15090" max="15090" width="1.85546875" style="108" customWidth="1"/>
    <col min="15091" max="15091" width="12.42578125" style="108" customWidth="1"/>
    <col min="15092" max="15092" width="1.85546875" style="108" customWidth="1"/>
    <col min="15093" max="15095" width="3" style="108" customWidth="1"/>
    <col min="15096" max="15096" width="4.42578125" style="108" customWidth="1"/>
    <col min="15097" max="15098" width="3" style="108" customWidth="1"/>
    <col min="15099" max="15104" width="3.28515625" style="108" customWidth="1"/>
    <col min="15105" max="15106" width="9.140625" style="108" customWidth="1"/>
    <col min="15107" max="15110" width="3.28515625" style="108" customWidth="1"/>
    <col min="15111" max="15111" width="4.140625" style="108" customWidth="1"/>
    <col min="15112" max="15324" width="10.28515625" style="108"/>
    <col min="15325" max="15333" width="9.140625" style="108" customWidth="1"/>
    <col min="15334" max="15334" width="1" style="108" customWidth="1"/>
    <col min="15335" max="15338" width="3.28515625" style="108" customWidth="1"/>
    <col min="15339" max="15339" width="1.85546875" style="108" customWidth="1"/>
    <col min="15340" max="15340" width="17.85546875" style="108" customWidth="1"/>
    <col min="15341" max="15341" width="1.85546875" style="108" customWidth="1"/>
    <col min="15342" max="15345" width="3.28515625" style="108" customWidth="1"/>
    <col min="15346" max="15346" width="1.85546875" style="108" customWidth="1"/>
    <col min="15347" max="15347" width="12.42578125" style="108" customWidth="1"/>
    <col min="15348" max="15348" width="1.85546875" style="108" customWidth="1"/>
    <col min="15349" max="15351" width="3" style="108" customWidth="1"/>
    <col min="15352" max="15352" width="4.42578125" style="108" customWidth="1"/>
    <col min="15353" max="15354" width="3" style="108" customWidth="1"/>
    <col min="15355" max="15360" width="3.28515625" style="108" customWidth="1"/>
    <col min="15361" max="15362" width="9.140625" style="108" customWidth="1"/>
    <col min="15363" max="15366" width="3.28515625" style="108" customWidth="1"/>
    <col min="15367" max="15367" width="4.140625" style="108" customWidth="1"/>
    <col min="15368" max="15580" width="10.28515625" style="108"/>
    <col min="15581" max="15589" width="9.140625" style="108" customWidth="1"/>
    <col min="15590" max="15590" width="1" style="108" customWidth="1"/>
    <col min="15591" max="15594" width="3.28515625" style="108" customWidth="1"/>
    <col min="15595" max="15595" width="1.85546875" style="108" customWidth="1"/>
    <col min="15596" max="15596" width="17.85546875" style="108" customWidth="1"/>
    <col min="15597" max="15597" width="1.85546875" style="108" customWidth="1"/>
    <col min="15598" max="15601" width="3.28515625" style="108" customWidth="1"/>
    <col min="15602" max="15602" width="1.85546875" style="108" customWidth="1"/>
    <col min="15603" max="15603" width="12.42578125" style="108" customWidth="1"/>
    <col min="15604" max="15604" width="1.85546875" style="108" customWidth="1"/>
    <col min="15605" max="15607" width="3" style="108" customWidth="1"/>
    <col min="15608" max="15608" width="4.42578125" style="108" customWidth="1"/>
    <col min="15609" max="15610" width="3" style="108" customWidth="1"/>
    <col min="15611" max="15616" width="3.28515625" style="108" customWidth="1"/>
    <col min="15617" max="15618" width="9.140625" style="108" customWidth="1"/>
    <col min="15619" max="15622" width="3.28515625" style="108" customWidth="1"/>
    <col min="15623" max="15623" width="4.140625" style="108" customWidth="1"/>
    <col min="15624" max="15836" width="10.28515625" style="108"/>
    <col min="15837" max="15845" width="9.140625" style="108" customWidth="1"/>
    <col min="15846" max="15846" width="1" style="108" customWidth="1"/>
    <col min="15847" max="15850" width="3.28515625" style="108" customWidth="1"/>
    <col min="15851" max="15851" width="1.85546875" style="108" customWidth="1"/>
    <col min="15852" max="15852" width="17.85546875" style="108" customWidth="1"/>
    <col min="15853" max="15853" width="1.85546875" style="108" customWidth="1"/>
    <col min="15854" max="15857" width="3.28515625" style="108" customWidth="1"/>
    <col min="15858" max="15858" width="1.85546875" style="108" customWidth="1"/>
    <col min="15859" max="15859" width="12.42578125" style="108" customWidth="1"/>
    <col min="15860" max="15860" width="1.85546875" style="108" customWidth="1"/>
    <col min="15861" max="15863" width="3" style="108" customWidth="1"/>
    <col min="15864" max="15864" width="4.42578125" style="108" customWidth="1"/>
    <col min="15865" max="15866" width="3" style="108" customWidth="1"/>
    <col min="15867" max="15872" width="3.28515625" style="108" customWidth="1"/>
    <col min="15873" max="15874" width="9.140625" style="108" customWidth="1"/>
    <col min="15875" max="15878" width="3.28515625" style="108" customWidth="1"/>
    <col min="15879" max="15879" width="4.140625" style="108" customWidth="1"/>
    <col min="15880" max="16092" width="10.28515625" style="108"/>
    <col min="16093" max="16101" width="9.140625" style="108" customWidth="1"/>
    <col min="16102" max="16102" width="1" style="108" customWidth="1"/>
    <col min="16103" max="16106" width="3.28515625" style="108" customWidth="1"/>
    <col min="16107" max="16107" width="1.85546875" style="108" customWidth="1"/>
    <col min="16108" max="16108" width="17.85546875" style="108" customWidth="1"/>
    <col min="16109" max="16109" width="1.85546875" style="108" customWidth="1"/>
    <col min="16110" max="16113" width="3.28515625" style="108" customWidth="1"/>
    <col min="16114" max="16114" width="1.85546875" style="108" customWidth="1"/>
    <col min="16115" max="16115" width="12.42578125" style="108" customWidth="1"/>
    <col min="16116" max="16116" width="1.85546875" style="108" customWidth="1"/>
    <col min="16117" max="16119" width="3" style="108" customWidth="1"/>
    <col min="16120" max="16120" width="4.42578125" style="108" customWidth="1"/>
    <col min="16121" max="16122" width="3" style="108" customWidth="1"/>
    <col min="16123" max="16128" width="3.28515625" style="108" customWidth="1"/>
    <col min="16129" max="16130" width="9.140625" style="108" customWidth="1"/>
    <col min="16131" max="16134" width="3.28515625" style="108" customWidth="1"/>
    <col min="16135" max="16135" width="4.140625" style="108" customWidth="1"/>
    <col min="16136" max="16384" width="10.28515625" style="108"/>
  </cols>
  <sheetData>
    <row r="1" spans="1:20" ht="15" customHeight="1">
      <c r="A1" s="104" t="s">
        <v>1512</v>
      </c>
      <c r="C1" s="106"/>
      <c r="D1" s="107"/>
      <c r="E1" s="107"/>
      <c r="F1" s="108"/>
      <c r="G1" s="108"/>
      <c r="H1" s="108"/>
      <c r="I1" s="108"/>
      <c r="N1" s="108"/>
      <c r="O1" s="974" t="s">
        <v>1513</v>
      </c>
      <c r="P1" s="975"/>
      <c r="Q1" s="975"/>
      <c r="R1" s="976"/>
      <c r="T1" s="108"/>
    </row>
    <row r="2" spans="1:20" ht="15.95" customHeight="1" thickBot="1">
      <c r="A2" s="105"/>
      <c r="C2" s="106"/>
      <c r="D2" s="107"/>
      <c r="E2" s="107"/>
      <c r="F2" s="108"/>
      <c r="G2" s="108"/>
      <c r="H2" s="108"/>
      <c r="I2" s="108"/>
      <c r="N2" s="108"/>
      <c r="O2" s="977"/>
      <c r="P2" s="978"/>
      <c r="Q2" s="978"/>
      <c r="R2" s="979"/>
      <c r="T2" s="108"/>
    </row>
    <row r="3" spans="1:20">
      <c r="A3" s="110" t="s">
        <v>1514</v>
      </c>
      <c r="C3" s="106"/>
      <c r="D3" s="107"/>
      <c r="E3" s="10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T3" s="108"/>
    </row>
    <row r="4" spans="1:20">
      <c r="A4" s="110" t="s">
        <v>1515</v>
      </c>
      <c r="C4" s="106"/>
      <c r="D4" s="107"/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T4" s="108"/>
    </row>
    <row r="5" spans="1:20">
      <c r="A5" s="105"/>
      <c r="C5" s="106"/>
      <c r="D5" s="107"/>
      <c r="E5" s="107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T5" s="108"/>
    </row>
    <row r="6" spans="1:20" ht="18.75" customHeight="1">
      <c r="A6" s="111" t="s">
        <v>1516</v>
      </c>
      <c r="C6" s="112"/>
      <c r="D6" s="113"/>
      <c r="E6" s="11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  <c r="T6" s="116"/>
    </row>
    <row r="7" spans="1:20" ht="21" customHeight="1" thickBot="1">
      <c r="A7" s="117"/>
      <c r="B7" s="118"/>
      <c r="C7" s="118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15"/>
      <c r="T7" s="116"/>
    </row>
    <row r="8" spans="1:20" ht="18.75" thickBot="1">
      <c r="A8" s="121" t="s">
        <v>1517</v>
      </c>
      <c r="B8" s="122"/>
      <c r="C8" s="123"/>
      <c r="D8" s="918"/>
      <c r="E8" s="919"/>
      <c r="F8" s="923"/>
      <c r="G8" s="923"/>
      <c r="H8" s="923"/>
      <c r="I8" s="124" t="s">
        <v>1518</v>
      </c>
      <c r="J8" s="918"/>
      <c r="K8" s="918"/>
      <c r="L8" s="918"/>
      <c r="M8" s="918"/>
      <c r="N8" s="918"/>
      <c r="O8" s="918"/>
      <c r="P8" s="918"/>
      <c r="Q8" s="918"/>
      <c r="R8" s="919"/>
      <c r="S8" s="115"/>
      <c r="T8" s="116"/>
    </row>
    <row r="9" spans="1:20">
      <c r="A9" s="125"/>
      <c r="B9" s="126"/>
      <c r="C9" s="127"/>
      <c r="D9" s="128"/>
      <c r="E9" s="129"/>
      <c r="F9" s="136"/>
      <c r="G9" s="136"/>
      <c r="H9" s="136"/>
      <c r="I9" s="130"/>
      <c r="J9" s="128"/>
      <c r="K9" s="128"/>
      <c r="L9" s="128"/>
      <c r="M9" s="128"/>
      <c r="N9" s="128"/>
      <c r="O9" s="128"/>
      <c r="P9" s="128"/>
      <c r="Q9" s="128"/>
      <c r="R9" s="129"/>
      <c r="S9" s="115"/>
      <c r="T9" s="116"/>
    </row>
    <row r="10" spans="1:20" ht="15">
      <c r="A10" s="131" t="s">
        <v>1519</v>
      </c>
      <c r="B10" s="921"/>
      <c r="C10" s="926" t="s">
        <v>1520</v>
      </c>
      <c r="D10" s="922"/>
      <c r="E10" s="925"/>
      <c r="F10" s="136"/>
      <c r="G10" s="136"/>
      <c r="H10" s="924"/>
      <c r="I10" s="134" t="s">
        <v>1521</v>
      </c>
      <c r="J10" s="132">
        <v>2</v>
      </c>
      <c r="K10" s="132">
        <v>0</v>
      </c>
      <c r="L10" s="132">
        <v>2</v>
      </c>
      <c r="M10" s="132">
        <v>0</v>
      </c>
      <c r="N10" s="920"/>
      <c r="O10" s="920"/>
      <c r="P10" s="920"/>
      <c r="Q10" s="920"/>
      <c r="R10" s="927"/>
      <c r="S10" s="115"/>
      <c r="T10" s="116"/>
    </row>
    <row r="11" spans="1:20">
      <c r="A11" s="131"/>
      <c r="B11" s="136"/>
      <c r="C11" s="137"/>
      <c r="D11" s="117"/>
      <c r="E11" s="133"/>
      <c r="F11" s="136"/>
      <c r="G11" s="136"/>
      <c r="H11" s="136"/>
      <c r="I11" s="138"/>
      <c r="J11" s="117"/>
      <c r="K11" s="117"/>
      <c r="L11" s="117"/>
      <c r="M11" s="117"/>
      <c r="N11" s="117"/>
      <c r="O11" s="117"/>
      <c r="P11" s="117"/>
      <c r="Q11" s="117"/>
      <c r="R11" s="133"/>
      <c r="S11" s="115"/>
      <c r="T11" s="116"/>
    </row>
    <row r="12" spans="1:20">
      <c r="A12" s="131"/>
      <c r="B12" s="136"/>
      <c r="C12" s="137"/>
      <c r="D12" s="117"/>
      <c r="E12" s="133"/>
      <c r="F12" s="136"/>
      <c r="G12" s="136"/>
      <c r="H12" s="136"/>
      <c r="I12" s="134" t="s">
        <v>1522</v>
      </c>
      <c r="J12" s="117">
        <v>1</v>
      </c>
      <c r="K12" s="132"/>
      <c r="L12" s="117">
        <v>2</v>
      </c>
      <c r="M12" s="132"/>
      <c r="N12" s="117">
        <v>3</v>
      </c>
      <c r="O12" s="132"/>
      <c r="P12" s="117">
        <v>4</v>
      </c>
      <c r="Q12" s="132"/>
      <c r="R12" s="927"/>
      <c r="S12" s="115"/>
      <c r="T12" s="116"/>
    </row>
    <row r="13" spans="1:20">
      <c r="A13" s="131"/>
      <c r="B13" s="136"/>
      <c r="C13" s="137"/>
      <c r="D13" s="117"/>
      <c r="E13" s="133"/>
      <c r="F13" s="136"/>
      <c r="G13" s="136"/>
      <c r="H13" s="136"/>
      <c r="I13" s="138"/>
      <c r="J13" s="117"/>
      <c r="K13" s="117"/>
      <c r="L13" s="117"/>
      <c r="M13" s="117"/>
      <c r="N13" s="117"/>
      <c r="O13" s="117"/>
      <c r="P13" s="117"/>
      <c r="Q13" s="117"/>
      <c r="R13" s="133"/>
      <c r="S13" s="115"/>
      <c r="T13" s="116"/>
    </row>
    <row r="14" spans="1:20">
      <c r="A14" s="131"/>
      <c r="B14" s="136"/>
      <c r="C14" s="137"/>
      <c r="D14" s="117"/>
      <c r="E14" s="133"/>
      <c r="F14" s="136"/>
      <c r="G14" s="136"/>
      <c r="H14" s="136"/>
      <c r="I14" s="134" t="s">
        <v>1523</v>
      </c>
      <c r="J14" s="132"/>
      <c r="K14" s="135"/>
      <c r="L14" s="135" t="s">
        <v>1524</v>
      </c>
      <c r="M14" s="920"/>
      <c r="N14" s="117"/>
      <c r="O14" s="117"/>
      <c r="P14" s="132" t="s">
        <v>3478</v>
      </c>
      <c r="Q14" s="920"/>
      <c r="R14" s="927"/>
      <c r="S14" s="115"/>
      <c r="T14" s="116"/>
    </row>
    <row r="15" spans="1:20" ht="18.75" thickBot="1">
      <c r="A15" s="140"/>
      <c r="B15" s="141"/>
      <c r="C15" s="142"/>
      <c r="D15" s="143"/>
      <c r="E15" s="144"/>
      <c r="F15" s="136"/>
      <c r="G15" s="136"/>
      <c r="H15" s="136"/>
      <c r="I15" s="145"/>
      <c r="J15" s="143"/>
      <c r="K15" s="143"/>
      <c r="L15" s="143"/>
      <c r="M15" s="143"/>
      <c r="N15" s="143"/>
      <c r="O15" s="143"/>
      <c r="P15" s="143"/>
      <c r="Q15" s="143"/>
      <c r="R15" s="144"/>
      <c r="S15" s="115"/>
      <c r="T15" s="116"/>
    </row>
    <row r="16" spans="1:20" ht="18.75" thickBot="1">
      <c r="B16" s="136"/>
      <c r="C16" s="136"/>
      <c r="D16" s="137"/>
      <c r="E16" s="13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5"/>
      <c r="T16" s="116"/>
    </row>
    <row r="17" spans="1:20" ht="15.95" customHeight="1" thickBot="1">
      <c r="A17" s="970" t="s">
        <v>1525</v>
      </c>
      <c r="B17" s="971"/>
      <c r="C17" s="971"/>
      <c r="D17" s="971"/>
      <c r="E17" s="971"/>
      <c r="F17" s="971"/>
      <c r="G17" s="971"/>
      <c r="H17" s="971"/>
      <c r="I17" s="971"/>
      <c r="J17" s="971"/>
      <c r="K17" s="971"/>
      <c r="L17" s="971"/>
      <c r="M17" s="971"/>
      <c r="N17" s="971"/>
      <c r="O17" s="971"/>
      <c r="P17" s="971"/>
      <c r="Q17" s="971"/>
      <c r="R17" s="972"/>
      <c r="S17" s="115"/>
      <c r="T17" s="116"/>
    </row>
    <row r="18" spans="1:20" ht="7.5" customHeight="1">
      <c r="A18" s="146"/>
      <c r="B18" s="147"/>
      <c r="C18" s="147"/>
      <c r="D18" s="148"/>
      <c r="E18" s="148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  <c r="S18" s="115"/>
      <c r="T18" s="116"/>
    </row>
    <row r="19" spans="1:20">
      <c r="A19" s="151"/>
      <c r="B19" s="136"/>
      <c r="C19" s="136"/>
      <c r="D19" s="137"/>
      <c r="F19" s="139" t="s">
        <v>1526</v>
      </c>
      <c r="G19" s="132"/>
      <c r="H19" s="139"/>
      <c r="I19" s="920"/>
      <c r="J19" s="920"/>
      <c r="K19" s="920"/>
      <c r="L19" s="139" t="s">
        <v>1527</v>
      </c>
      <c r="M19" s="132"/>
      <c r="N19" s="152"/>
      <c r="O19" s="117"/>
      <c r="P19" s="117"/>
      <c r="Q19" s="117"/>
      <c r="R19" s="133"/>
      <c r="S19" s="115"/>
      <c r="T19" s="116"/>
    </row>
    <row r="20" spans="1:20" ht="6.75" customHeight="1" thickBot="1">
      <c r="A20" s="153"/>
      <c r="B20" s="141"/>
      <c r="C20" s="141"/>
      <c r="D20" s="142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4"/>
      <c r="S20" s="115"/>
      <c r="T20" s="116"/>
    </row>
    <row r="21" spans="1:20">
      <c r="B21" s="136"/>
      <c r="C21" s="136"/>
      <c r="D21" s="137"/>
      <c r="E21" s="13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5"/>
      <c r="T21" s="116"/>
    </row>
    <row r="22" spans="1:20" s="156" customFormat="1" ht="22.5" customHeight="1" thickBot="1">
      <c r="A22" s="154"/>
      <c r="B22" s="155"/>
      <c r="C22" s="155"/>
      <c r="D22" s="142" t="s">
        <v>2132</v>
      </c>
      <c r="E22" s="137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7"/>
      <c r="T22" s="158"/>
    </row>
    <row r="23" spans="1:20" s="156" customFormat="1" ht="45" customHeight="1" thickBot="1">
      <c r="A23" s="865" t="s">
        <v>1528</v>
      </c>
      <c r="B23" s="159" t="s">
        <v>1529</v>
      </c>
      <c r="C23" s="160" t="s">
        <v>1530</v>
      </c>
      <c r="D23" s="360" t="s">
        <v>3479</v>
      </c>
      <c r="E23" s="360" t="s">
        <v>2131</v>
      </c>
      <c r="F23" s="109"/>
      <c r="G23" s="161"/>
      <c r="H23" s="161"/>
      <c r="I23" s="360" t="s">
        <v>3480</v>
      </c>
      <c r="J23" s="161"/>
      <c r="K23" s="161"/>
      <c r="L23" s="161"/>
      <c r="M23" s="161"/>
      <c r="N23" s="161"/>
      <c r="O23" s="161"/>
      <c r="P23" s="161"/>
      <c r="Q23" s="161"/>
      <c r="R23" s="161"/>
      <c r="T23" s="158"/>
    </row>
    <row r="24" spans="1:20" s="164" customFormat="1" ht="24.95" customHeight="1">
      <c r="A24" s="866"/>
      <c r="B24" s="223"/>
      <c r="C24" s="224" t="str">
        <f>IFERROR('[1]Raccordo CE old new'!F5,"")</f>
        <v>A)  Valore della produzione</v>
      </c>
      <c r="D24" s="225"/>
      <c r="E24" s="225"/>
      <c r="F24" s="162"/>
      <c r="G24" s="163"/>
      <c r="I24" s="225"/>
    </row>
    <row r="25" spans="1:20" s="170" customFormat="1" ht="24.95" customHeight="1">
      <c r="A25" s="867"/>
      <c r="B25" s="226" t="s">
        <v>1531</v>
      </c>
      <c r="C25" s="227" t="s">
        <v>1532</v>
      </c>
      <c r="D25" s="228">
        <f>(D26+D35+D50+D55)</f>
        <v>809024426.85000002</v>
      </c>
      <c r="E25" s="228">
        <f>(E26+E35+E50+E55)</f>
        <v>0</v>
      </c>
      <c r="F25" s="238" t="s">
        <v>2123</v>
      </c>
      <c r="G25" s="169"/>
      <c r="I25" s="228">
        <f>(I26+I35+I50+I55)</f>
        <v>104049251.69000001</v>
      </c>
      <c r="K25" s="164"/>
    </row>
    <row r="26" spans="1:20" s="173" customFormat="1" ht="24.95" customHeight="1">
      <c r="A26" s="868"/>
      <c r="B26" s="221" t="s">
        <v>1533</v>
      </c>
      <c r="C26" s="222" t="s">
        <v>1534</v>
      </c>
      <c r="D26" s="220">
        <f>+D27+D34</f>
        <v>786490522.87</v>
      </c>
      <c r="E26" s="220">
        <f>+E27+E34</f>
        <v>0</v>
      </c>
      <c r="F26" s="238" t="s">
        <v>2123</v>
      </c>
      <c r="G26" s="169"/>
      <c r="H26" s="170"/>
      <c r="I26" s="220">
        <f>+I27+I34</f>
        <v>103064374.23</v>
      </c>
      <c r="K26" s="164"/>
      <c r="M26" s="170"/>
    </row>
    <row r="27" spans="1:20" s="176" customFormat="1" ht="18.75">
      <c r="A27" s="867"/>
      <c r="B27" s="232" t="s">
        <v>132</v>
      </c>
      <c r="C27" s="233" t="s">
        <v>1535</v>
      </c>
      <c r="D27" s="234">
        <f>+D28+D29+D30+D33</f>
        <v>786490522.87</v>
      </c>
      <c r="E27" s="234">
        <f>+E28+E29+E30+E33</f>
        <v>0</v>
      </c>
      <c r="F27" s="238" t="s">
        <v>2123</v>
      </c>
      <c r="G27" s="169"/>
      <c r="H27" s="170"/>
      <c r="I27" s="234">
        <f>+I28+I29+I30+I33</f>
        <v>103064374.23</v>
      </c>
      <c r="K27" s="164"/>
      <c r="M27" s="170"/>
    </row>
    <row r="28" spans="1:20" s="176" customFormat="1" ht="24.95" customHeight="1">
      <c r="A28" s="867"/>
      <c r="B28" s="177" t="s">
        <v>133</v>
      </c>
      <c r="C28" s="178" t="s">
        <v>1536</v>
      </c>
      <c r="D28" s="168">
        <f>'Alimentazione CE Ricavi'!H6</f>
        <v>665179675.16999996</v>
      </c>
      <c r="E28" s="168">
        <f>'Alimentazione CE Ricavi'!I6</f>
        <v>0</v>
      </c>
      <c r="F28" s="157"/>
      <c r="G28" s="158"/>
      <c r="H28" s="170"/>
      <c r="I28" s="168">
        <f>'Alimentazione CE Ricavi'!L6</f>
        <v>0</v>
      </c>
      <c r="K28" s="164"/>
      <c r="M28" s="170"/>
    </row>
    <row r="29" spans="1:20" s="176" customFormat="1" ht="24.95" customHeight="1">
      <c r="A29" s="867"/>
      <c r="B29" s="177" t="s">
        <v>135</v>
      </c>
      <c r="C29" s="178" t="s">
        <v>1537</v>
      </c>
      <c r="D29" s="168">
        <f>'Alimentazione CE Ricavi'!H7</f>
        <v>63022621.700000003</v>
      </c>
      <c r="E29" s="168">
        <f>'Alimentazione CE Ricavi'!I7</f>
        <v>0</v>
      </c>
      <c r="F29" s="157"/>
      <c r="G29" s="158"/>
      <c r="H29" s="170"/>
      <c r="I29" s="168">
        <f>'Alimentazione CE Ricavi'!L7</f>
        <v>44776148.230000004</v>
      </c>
      <c r="K29" s="164"/>
      <c r="M29" s="170"/>
    </row>
    <row r="30" spans="1:20" s="176" customFormat="1" ht="24.95" customHeight="1">
      <c r="A30" s="867"/>
      <c r="B30" s="235" t="s">
        <v>136</v>
      </c>
      <c r="C30" s="236" t="s">
        <v>1538</v>
      </c>
      <c r="D30" s="237">
        <f>+D31+D32</f>
        <v>58288226</v>
      </c>
      <c r="E30" s="237">
        <f>+E31+E32</f>
        <v>0</v>
      </c>
      <c r="F30" s="238" t="s">
        <v>2123</v>
      </c>
      <c r="G30" s="158"/>
      <c r="H30" s="170"/>
      <c r="I30" s="237">
        <f>+I31+I32</f>
        <v>58288226</v>
      </c>
      <c r="K30" s="164"/>
      <c r="M30" s="170"/>
    </row>
    <row r="31" spans="1:20" s="176" customFormat="1" ht="24.95" customHeight="1">
      <c r="A31" s="867"/>
      <c r="B31" s="179" t="s">
        <v>138</v>
      </c>
      <c r="C31" s="180" t="s">
        <v>1539</v>
      </c>
      <c r="D31" s="168">
        <f>+'Alimentazione CE Ricavi'!H9</f>
        <v>16390504</v>
      </c>
      <c r="E31" s="168">
        <f>+'Alimentazione CE Ricavi'!I9</f>
        <v>0</v>
      </c>
      <c r="F31" s="157"/>
      <c r="G31" s="158"/>
      <c r="H31" s="170"/>
      <c r="I31" s="168">
        <f>+'Alimentazione CE Ricavi'!L9</f>
        <v>16390504</v>
      </c>
      <c r="K31" s="164"/>
      <c r="M31" s="170"/>
    </row>
    <row r="32" spans="1:20" s="176" customFormat="1" ht="24.95" customHeight="1">
      <c r="A32" s="867"/>
      <c r="B32" s="179" t="s">
        <v>140</v>
      </c>
      <c r="C32" s="180" t="s">
        <v>1540</v>
      </c>
      <c r="D32" s="168">
        <f>ROUND(+'Alimentazione CE Ricavi'!H10,2)</f>
        <v>41897722</v>
      </c>
      <c r="E32" s="168">
        <f>ROUND(+'Alimentazione CE Ricavi'!I10,2)</f>
        <v>0</v>
      </c>
      <c r="F32" s="157"/>
      <c r="G32" s="158"/>
      <c r="H32" s="170"/>
      <c r="I32" s="168">
        <f>ROUND(+'Alimentazione CE Ricavi'!L10,2)</f>
        <v>41897722</v>
      </c>
      <c r="K32" s="164"/>
      <c r="M32" s="170"/>
    </row>
    <row r="33" spans="1:13" s="176" customFormat="1" ht="24.95" customHeight="1">
      <c r="A33" s="867"/>
      <c r="B33" s="177" t="s">
        <v>142</v>
      </c>
      <c r="C33" s="178" t="s">
        <v>1541</v>
      </c>
      <c r="D33" s="168">
        <f>ROUND(+'Alimentazione CE Ricavi'!H11,2)</f>
        <v>0</v>
      </c>
      <c r="E33" s="168">
        <f>ROUND(+'Alimentazione CE Ricavi'!I11,2)</f>
        <v>0</v>
      </c>
      <c r="F33" s="157"/>
      <c r="G33" s="158"/>
      <c r="H33" s="170"/>
      <c r="I33" s="168">
        <f>ROUND(+'Alimentazione CE Ricavi'!L11,2)</f>
        <v>0</v>
      </c>
      <c r="K33" s="164"/>
      <c r="M33" s="170"/>
    </row>
    <row r="34" spans="1:13" s="176" customFormat="1" ht="24.95" customHeight="1">
      <c r="A34" s="867"/>
      <c r="B34" s="232" t="s">
        <v>144</v>
      </c>
      <c r="C34" s="233" t="s">
        <v>1542</v>
      </c>
      <c r="D34" s="234">
        <f>+'Alimentazione CE Ricavi'!H13+'Alimentazione CE Ricavi'!H14+'Alimentazione CE Ricavi'!H15</f>
        <v>0</v>
      </c>
      <c r="E34" s="234">
        <f>+'Alimentazione CE Ricavi'!I13+'Alimentazione CE Ricavi'!I14+'Alimentazione CE Ricavi'!I15</f>
        <v>0</v>
      </c>
      <c r="F34" s="157"/>
      <c r="G34" s="158"/>
      <c r="H34" s="170"/>
      <c r="I34" s="234">
        <f>+'Alimentazione CE Ricavi'!L13+'Alimentazione CE Ricavi'!L14+'Alimentazione CE Ricavi'!L15</f>
        <v>0</v>
      </c>
      <c r="K34" s="164"/>
      <c r="M34" s="170"/>
    </row>
    <row r="35" spans="1:13" s="176" customFormat="1" ht="24.95" customHeight="1">
      <c r="A35" s="867"/>
      <c r="B35" s="221" t="s">
        <v>149</v>
      </c>
      <c r="C35" s="222" t="s">
        <v>1543</v>
      </c>
      <c r="D35" s="220">
        <f>+D36+D41+D44</f>
        <v>22441026.390000001</v>
      </c>
      <c r="E35" s="220">
        <f>+E36+E41+E44</f>
        <v>0</v>
      </c>
      <c r="F35" s="238" t="s">
        <v>2123</v>
      </c>
      <c r="G35" s="169"/>
      <c r="H35" s="170"/>
      <c r="I35" s="220">
        <f>+I36+I41+I44</f>
        <v>951999.87000000011</v>
      </c>
      <c r="K35" s="164"/>
      <c r="M35" s="170"/>
    </row>
    <row r="36" spans="1:13" s="176" customFormat="1" ht="24.95" customHeight="1">
      <c r="A36" s="867"/>
      <c r="B36" s="232" t="s">
        <v>151</v>
      </c>
      <c r="C36" s="233" t="s">
        <v>1544</v>
      </c>
      <c r="D36" s="234">
        <f>+D37+D38+D39+D40</f>
        <v>19659016.420000002</v>
      </c>
      <c r="E36" s="234">
        <f>+E37+E38+E39+E40</f>
        <v>0</v>
      </c>
      <c r="F36" s="238" t="s">
        <v>2123</v>
      </c>
      <c r="G36" s="169"/>
      <c r="H36" s="170"/>
      <c r="I36" s="234">
        <f>+I37+I38+I39+I40</f>
        <v>891748.68</v>
      </c>
      <c r="K36" s="164"/>
      <c r="M36" s="170"/>
    </row>
    <row r="37" spans="1:13" s="176" customFormat="1" ht="24.95" customHeight="1">
      <c r="A37" s="867"/>
      <c r="B37" s="177" t="s">
        <v>153</v>
      </c>
      <c r="C37" s="178" t="s">
        <v>1545</v>
      </c>
      <c r="D37" s="168">
        <f>+'Alimentazione CE Ricavi'!H19+'Alimentazione CE Ricavi'!H20+'Alimentazione CE Ricavi'!H21+'Alimentazione CE Ricavi'!H22+'Alimentazione CE Ricavi'!H23+'Alimentazione CE Ricavi'!H24</f>
        <v>19473460.98</v>
      </c>
      <c r="E37" s="168">
        <f>+'Alimentazione CE Ricavi'!I19+'Alimentazione CE Ricavi'!I20+'Alimentazione CE Ricavi'!I21+'Alimentazione CE Ricavi'!I22+'Alimentazione CE Ricavi'!I23+'Alimentazione CE Ricavi'!I24</f>
        <v>0</v>
      </c>
      <c r="F37" s="157"/>
      <c r="G37" s="158"/>
      <c r="H37" s="170"/>
      <c r="I37" s="168">
        <f>+'Alimentazione CE Ricavi'!L19+'Alimentazione CE Ricavi'!L20+'Alimentazione CE Ricavi'!L21+'Alimentazione CE Ricavi'!L22+'Alimentazione CE Ricavi'!L23+'Alimentazione CE Ricavi'!L24</f>
        <v>833788.05</v>
      </c>
      <c r="K37" s="164"/>
      <c r="M37" s="170"/>
    </row>
    <row r="38" spans="1:13" s="176" customFormat="1" ht="36" customHeight="1">
      <c r="A38" s="867"/>
      <c r="B38" s="177" t="s">
        <v>161</v>
      </c>
      <c r="C38" s="178" t="s">
        <v>1546</v>
      </c>
      <c r="D38" s="168">
        <f>+'Alimentazione CE Ricavi'!H25</f>
        <v>0</v>
      </c>
      <c r="E38" s="168">
        <f>+'Alimentazione CE Ricavi'!I25</f>
        <v>0</v>
      </c>
      <c r="F38" s="157"/>
      <c r="G38" s="158"/>
      <c r="H38" s="170"/>
      <c r="I38" s="168">
        <f>+'Alimentazione CE Ricavi'!L25</f>
        <v>0</v>
      </c>
      <c r="K38" s="164"/>
      <c r="M38" s="170"/>
    </row>
    <row r="39" spans="1:13" s="176" customFormat="1" ht="36" customHeight="1">
      <c r="A39" s="867"/>
      <c r="B39" s="177" t="s">
        <v>163</v>
      </c>
      <c r="C39" s="178" t="s">
        <v>1547</v>
      </c>
      <c r="D39" s="168">
        <f>+'Alimentazione CE Ricavi'!H26</f>
        <v>0</v>
      </c>
      <c r="E39" s="168">
        <f>+'Alimentazione CE Ricavi'!I26</f>
        <v>0</v>
      </c>
      <c r="F39" s="157"/>
      <c r="G39" s="158"/>
      <c r="H39" s="170"/>
      <c r="I39" s="168">
        <f>+'Alimentazione CE Ricavi'!L26</f>
        <v>0</v>
      </c>
      <c r="K39" s="164"/>
      <c r="M39" s="170"/>
    </row>
    <row r="40" spans="1:13" s="176" customFormat="1" ht="36" customHeight="1">
      <c r="A40" s="867"/>
      <c r="B40" s="177" t="s">
        <v>165</v>
      </c>
      <c r="C40" s="178" t="s">
        <v>1548</v>
      </c>
      <c r="D40" s="168">
        <f>+'Alimentazione CE Ricavi'!H27</f>
        <v>185555.44</v>
      </c>
      <c r="E40" s="168">
        <f>+'Alimentazione CE Ricavi'!I27</f>
        <v>0</v>
      </c>
      <c r="F40" s="157"/>
      <c r="G40" s="158"/>
      <c r="H40" s="170"/>
      <c r="I40" s="168">
        <f>+'Alimentazione CE Ricavi'!L27</f>
        <v>57960.63</v>
      </c>
      <c r="K40" s="164"/>
      <c r="M40" s="170"/>
    </row>
    <row r="41" spans="1:13" s="176" customFormat="1" ht="36" customHeight="1">
      <c r="A41" s="867"/>
      <c r="B41" s="232" t="s">
        <v>167</v>
      </c>
      <c r="C41" s="233" t="s">
        <v>1549</v>
      </c>
      <c r="D41" s="234">
        <f>+D42+D43</f>
        <v>1200000</v>
      </c>
      <c r="E41" s="234">
        <f>+E42+E43</f>
        <v>0</v>
      </c>
      <c r="F41" s="238" t="s">
        <v>2123</v>
      </c>
      <c r="G41" s="169"/>
      <c r="H41" s="170"/>
      <c r="I41" s="234">
        <f>+I42+I43</f>
        <v>0</v>
      </c>
      <c r="K41" s="164"/>
      <c r="M41" s="170"/>
    </row>
    <row r="42" spans="1:13" s="176" customFormat="1" ht="36" customHeight="1">
      <c r="A42" s="867" t="s">
        <v>1550</v>
      </c>
      <c r="B42" s="177" t="s">
        <v>169</v>
      </c>
      <c r="C42" s="178" t="s">
        <v>1551</v>
      </c>
      <c r="D42" s="168">
        <f>+'Alimentazione CE Ricavi'!H29</f>
        <v>1200000</v>
      </c>
      <c r="E42" s="168">
        <f>+'Alimentazione CE Ricavi'!I29</f>
        <v>0</v>
      </c>
      <c r="F42" s="157"/>
      <c r="G42" s="158"/>
      <c r="H42" s="170"/>
      <c r="I42" s="168">
        <f>+'Alimentazione CE Ricavi'!L29</f>
        <v>0</v>
      </c>
      <c r="K42" s="164"/>
      <c r="M42" s="170"/>
    </row>
    <row r="43" spans="1:13" s="176" customFormat="1" ht="36" customHeight="1">
      <c r="A43" s="867" t="s">
        <v>1550</v>
      </c>
      <c r="B43" s="177" t="s">
        <v>171</v>
      </c>
      <c r="C43" s="178" t="s">
        <v>1552</v>
      </c>
      <c r="D43" s="168">
        <f>+'Alimentazione CE Ricavi'!H30</f>
        <v>0</v>
      </c>
      <c r="E43" s="168">
        <f>+'Alimentazione CE Ricavi'!I30</f>
        <v>0</v>
      </c>
      <c r="F43" s="157"/>
      <c r="G43" s="158"/>
      <c r="H43" s="170"/>
      <c r="I43" s="168">
        <f>+'Alimentazione CE Ricavi'!L30</f>
        <v>0</v>
      </c>
      <c r="K43" s="164"/>
      <c r="M43" s="170"/>
    </row>
    <row r="44" spans="1:13" s="158" customFormat="1" ht="36" customHeight="1">
      <c r="A44" s="869"/>
      <c r="B44" s="232" t="s">
        <v>173</v>
      </c>
      <c r="C44" s="233" t="s">
        <v>1553</v>
      </c>
      <c r="D44" s="234">
        <f>+D45+D46+D47+D48+D49</f>
        <v>1582009.97</v>
      </c>
      <c r="E44" s="234">
        <f>+E45+E46+E47+E48+E49</f>
        <v>0</v>
      </c>
      <c r="F44" s="238" t="s">
        <v>2123</v>
      </c>
      <c r="G44" s="169"/>
      <c r="H44" s="170"/>
      <c r="I44" s="234">
        <f>+I45+I46+I47+I48+I49</f>
        <v>60251.19</v>
      </c>
      <c r="K44" s="164"/>
      <c r="M44" s="170"/>
    </row>
    <row r="45" spans="1:13" s="158" customFormat="1" ht="24.95" customHeight="1">
      <c r="A45" s="869"/>
      <c r="B45" s="177" t="s">
        <v>175</v>
      </c>
      <c r="C45" s="178" t="s">
        <v>1554</v>
      </c>
      <c r="D45" s="168">
        <f>+'Alimentazione CE Ricavi'!H32</f>
        <v>0</v>
      </c>
      <c r="E45" s="168">
        <f>+'Alimentazione CE Ricavi'!I32</f>
        <v>0</v>
      </c>
      <c r="F45" s="157"/>
      <c r="H45" s="170"/>
      <c r="I45" s="168">
        <f>+'Alimentazione CE Ricavi'!L32</f>
        <v>0</v>
      </c>
      <c r="K45" s="164"/>
      <c r="M45" s="170"/>
    </row>
    <row r="46" spans="1:13" s="158" customFormat="1" ht="24.95" customHeight="1">
      <c r="A46" s="869"/>
      <c r="B46" s="177" t="s">
        <v>177</v>
      </c>
      <c r="C46" s="178" t="s">
        <v>1555</v>
      </c>
      <c r="D46" s="168">
        <f>+'Alimentazione CE Ricavi'!H34+'Alimentazione CE Ricavi'!H35+'Alimentazione CE Ricavi'!H36+'Alimentazione CE Ricavi'!H37+'Alimentazione CE Ricavi'!H38+'Alimentazione CE Ricavi'!H39</f>
        <v>1224964.3999999999</v>
      </c>
      <c r="E46" s="168">
        <f>+'Alimentazione CE Ricavi'!I34+'Alimentazione CE Ricavi'!I35+'Alimentazione CE Ricavi'!I36+'Alimentazione CE Ricavi'!I37+'Alimentazione CE Ricavi'!I38+'Alimentazione CE Ricavi'!I39</f>
        <v>0</v>
      </c>
      <c r="F46" s="157"/>
      <c r="H46" s="170"/>
      <c r="I46" s="168">
        <f>+'Alimentazione CE Ricavi'!L34+'Alimentazione CE Ricavi'!L35+'Alimentazione CE Ricavi'!L36+'Alimentazione CE Ricavi'!L37+'Alimentazione CE Ricavi'!L38+'Alimentazione CE Ricavi'!L39</f>
        <v>0</v>
      </c>
      <c r="K46" s="164"/>
      <c r="M46" s="170"/>
    </row>
    <row r="47" spans="1:13" s="158" customFormat="1" ht="24.95" customHeight="1">
      <c r="A47" s="869"/>
      <c r="B47" s="177" t="s">
        <v>185</v>
      </c>
      <c r="C47" s="178" t="s">
        <v>1556</v>
      </c>
      <c r="D47" s="168">
        <f>+'Alimentazione CE Ricavi'!H40</f>
        <v>0</v>
      </c>
      <c r="E47" s="168">
        <f>+'Alimentazione CE Ricavi'!I40</f>
        <v>0</v>
      </c>
      <c r="F47" s="157"/>
      <c r="H47" s="170"/>
      <c r="I47" s="168">
        <f>+'Alimentazione CE Ricavi'!L40</f>
        <v>0</v>
      </c>
      <c r="K47" s="164"/>
      <c r="M47" s="170"/>
    </row>
    <row r="48" spans="1:13" s="158" customFormat="1" ht="24.95" customHeight="1">
      <c r="A48" s="869"/>
      <c r="B48" s="177" t="s">
        <v>187</v>
      </c>
      <c r="C48" s="178" t="s">
        <v>1557</v>
      </c>
      <c r="D48" s="168">
        <f>+'Alimentazione CE Ricavi'!H41</f>
        <v>357045.57</v>
      </c>
      <c r="E48" s="168">
        <f>+'Alimentazione CE Ricavi'!I41</f>
        <v>0</v>
      </c>
      <c r="F48" s="157"/>
      <c r="H48" s="170"/>
      <c r="I48" s="168">
        <f>+'Alimentazione CE Ricavi'!L41</f>
        <v>60251.19</v>
      </c>
      <c r="K48" s="164"/>
      <c r="M48" s="170"/>
    </row>
    <row r="49" spans="1:13" s="158" customFormat="1" ht="38.25">
      <c r="A49" s="869"/>
      <c r="B49" s="177" t="s">
        <v>189</v>
      </c>
      <c r="C49" s="178" t="s">
        <v>1558</v>
      </c>
      <c r="D49" s="168">
        <f>+'Alimentazione CE Ricavi'!H42</f>
        <v>0</v>
      </c>
      <c r="E49" s="168">
        <f>+'Alimentazione CE Ricavi'!I42</f>
        <v>0</v>
      </c>
      <c r="F49" s="157"/>
      <c r="H49" s="170"/>
      <c r="I49" s="168">
        <f>+'Alimentazione CE Ricavi'!L42</f>
        <v>0</v>
      </c>
      <c r="K49" s="164"/>
      <c r="M49" s="170"/>
    </row>
    <row r="50" spans="1:13" s="176" customFormat="1" ht="24.95" customHeight="1">
      <c r="A50" s="867"/>
      <c r="B50" s="221" t="s">
        <v>191</v>
      </c>
      <c r="C50" s="222" t="s">
        <v>1559</v>
      </c>
      <c r="D50" s="220">
        <f>+D51+D52+D53+D54</f>
        <v>0</v>
      </c>
      <c r="E50" s="220">
        <f>+E51+E52+E53+E54</f>
        <v>0</v>
      </c>
      <c r="F50" s="238" t="s">
        <v>2123</v>
      </c>
      <c r="G50" s="169"/>
      <c r="H50" s="170"/>
      <c r="I50" s="220">
        <f>+I51+I52+I53+I54</f>
        <v>0</v>
      </c>
      <c r="K50" s="164"/>
      <c r="M50" s="170"/>
    </row>
    <row r="51" spans="1:13" s="176" customFormat="1" ht="24.95" customHeight="1">
      <c r="A51" s="867"/>
      <c r="B51" s="174" t="s">
        <v>193</v>
      </c>
      <c r="C51" s="175" t="s">
        <v>1560</v>
      </c>
      <c r="D51" s="168">
        <f>+'Alimentazione CE Ricavi'!H44</f>
        <v>0</v>
      </c>
      <c r="E51" s="168">
        <f>+'Alimentazione CE Ricavi'!I44</f>
        <v>0</v>
      </c>
      <c r="F51" s="157"/>
      <c r="G51" s="158"/>
      <c r="H51" s="170"/>
      <c r="I51" s="168">
        <f>+'Alimentazione CE Ricavi'!L44</f>
        <v>0</v>
      </c>
      <c r="K51" s="164"/>
      <c r="M51" s="170"/>
    </row>
    <row r="52" spans="1:13" s="176" customFormat="1" ht="24.95" customHeight="1">
      <c r="A52" s="867"/>
      <c r="B52" s="174" t="s">
        <v>195</v>
      </c>
      <c r="C52" s="175" t="s">
        <v>1561</v>
      </c>
      <c r="D52" s="168">
        <f>+'Alimentazione CE Ricavi'!H45</f>
        <v>0</v>
      </c>
      <c r="E52" s="168">
        <f>+'Alimentazione CE Ricavi'!I45</f>
        <v>0</v>
      </c>
      <c r="F52" s="157"/>
      <c r="G52" s="158"/>
      <c r="H52" s="170"/>
      <c r="I52" s="168">
        <f>+'Alimentazione CE Ricavi'!L45</f>
        <v>0</v>
      </c>
      <c r="K52" s="164"/>
      <c r="M52" s="170"/>
    </row>
    <row r="53" spans="1:13" s="176" customFormat="1" ht="24.95" customHeight="1">
      <c r="A53" s="867"/>
      <c r="B53" s="174" t="s">
        <v>197</v>
      </c>
      <c r="C53" s="175" t="s">
        <v>1562</v>
      </c>
      <c r="D53" s="168">
        <f>+'Alimentazione CE Ricavi'!H47+'Alimentazione CE Ricavi'!H48</f>
        <v>0</v>
      </c>
      <c r="E53" s="168">
        <f>+'Alimentazione CE Ricavi'!I47+'Alimentazione CE Ricavi'!I48</f>
        <v>0</v>
      </c>
      <c r="F53" s="157"/>
      <c r="G53" s="158"/>
      <c r="H53" s="170"/>
      <c r="I53" s="168">
        <f>+'Alimentazione CE Ricavi'!L47+'Alimentazione CE Ricavi'!L48</f>
        <v>0</v>
      </c>
      <c r="K53" s="164"/>
      <c r="M53" s="170"/>
    </row>
    <row r="54" spans="1:13" s="176" customFormat="1" ht="24.95" customHeight="1">
      <c r="A54" s="867"/>
      <c r="B54" s="174" t="s">
        <v>201</v>
      </c>
      <c r="C54" s="175" t="s">
        <v>1563</v>
      </c>
      <c r="D54" s="168">
        <f>+'Alimentazione CE Ricavi'!H49</f>
        <v>0</v>
      </c>
      <c r="E54" s="168">
        <f>+'Alimentazione CE Ricavi'!I49</f>
        <v>0</v>
      </c>
      <c r="F54" s="157"/>
      <c r="G54" s="158"/>
      <c r="H54" s="170"/>
      <c r="I54" s="168">
        <f>+'Alimentazione CE Ricavi'!L49</f>
        <v>0</v>
      </c>
      <c r="K54" s="164"/>
      <c r="M54" s="170"/>
    </row>
    <row r="55" spans="1:13" s="176" customFormat="1" ht="24.95" customHeight="1">
      <c r="A55" s="867"/>
      <c r="B55" s="221" t="s">
        <v>203</v>
      </c>
      <c r="C55" s="222" t="s">
        <v>1564</v>
      </c>
      <c r="D55" s="220">
        <f>+'Alimentazione CE Ricavi'!H50</f>
        <v>92877.59</v>
      </c>
      <c r="E55" s="220">
        <f>+'Alimentazione CE Ricavi'!I50</f>
        <v>0</v>
      </c>
      <c r="F55" s="157"/>
      <c r="G55" s="158"/>
      <c r="H55" s="170"/>
      <c r="I55" s="220">
        <f>+'Alimentazione CE Ricavi'!L50</f>
        <v>32877.589999999997</v>
      </c>
      <c r="K55" s="164"/>
      <c r="M55" s="170"/>
    </row>
    <row r="56" spans="1:13" s="176" customFormat="1" ht="24.95" customHeight="1">
      <c r="A56" s="867"/>
      <c r="B56" s="226" t="s">
        <v>205</v>
      </c>
      <c r="C56" s="227" t="s">
        <v>1565</v>
      </c>
      <c r="D56" s="228">
        <f>+D57+D58</f>
        <v>-64542.270000000004</v>
      </c>
      <c r="E56" s="228">
        <f>+E57+E58</f>
        <v>0</v>
      </c>
      <c r="F56" s="238" t="s">
        <v>2123</v>
      </c>
      <c r="G56" s="169"/>
      <c r="H56" s="170"/>
      <c r="I56" s="228">
        <f>+I57+I58</f>
        <v>0</v>
      </c>
      <c r="K56" s="164"/>
      <c r="M56" s="170"/>
    </row>
    <row r="57" spans="1:13" s="176" customFormat="1" ht="25.5">
      <c r="A57" s="867"/>
      <c r="B57" s="171" t="s">
        <v>207</v>
      </c>
      <c r="C57" s="172" t="s">
        <v>1566</v>
      </c>
      <c r="D57" s="168">
        <f>+'Alimentazione CE Ricavi'!H52</f>
        <v>-29162.27</v>
      </c>
      <c r="E57" s="168">
        <f>+'Alimentazione CE Ricavi'!I52</f>
        <v>0</v>
      </c>
      <c r="F57" s="157"/>
      <c r="G57" s="158"/>
      <c r="H57" s="170"/>
      <c r="I57" s="168">
        <f>+'Alimentazione CE Ricavi'!L52</f>
        <v>0</v>
      </c>
      <c r="K57" s="164"/>
      <c r="M57" s="170"/>
    </row>
    <row r="58" spans="1:13" s="176" customFormat="1" ht="25.5">
      <c r="A58" s="867"/>
      <c r="B58" s="171" t="s">
        <v>209</v>
      </c>
      <c r="C58" s="172" t="s">
        <v>1567</v>
      </c>
      <c r="D58" s="168">
        <f>+'Alimentazione CE Ricavi'!H53</f>
        <v>-35380</v>
      </c>
      <c r="E58" s="168">
        <f>+'Alimentazione CE Ricavi'!I53</f>
        <v>0</v>
      </c>
      <c r="F58" s="157"/>
      <c r="G58" s="158"/>
      <c r="H58" s="170"/>
      <c r="I58" s="168">
        <f>+'Alimentazione CE Ricavi'!L53</f>
        <v>0</v>
      </c>
      <c r="K58" s="164"/>
      <c r="M58" s="170"/>
    </row>
    <row r="59" spans="1:13" s="158" customFormat="1" ht="24.95" customHeight="1">
      <c r="A59" s="869"/>
      <c r="B59" s="226" t="s">
        <v>211</v>
      </c>
      <c r="C59" s="227" t="s">
        <v>1568</v>
      </c>
      <c r="D59" s="228">
        <f>+D60+D61+D62+D63+D64</f>
        <v>3700678.9799999995</v>
      </c>
      <c r="E59" s="228">
        <f>+E60+E61+E62+E63+E64</f>
        <v>0</v>
      </c>
      <c r="F59" s="238" t="s">
        <v>2123</v>
      </c>
      <c r="G59" s="169"/>
      <c r="H59" s="170"/>
      <c r="I59" s="228">
        <f>+I60+I61+I62+I63+I64</f>
        <v>0</v>
      </c>
      <c r="K59" s="164"/>
      <c r="M59" s="170"/>
    </row>
    <row r="60" spans="1:13" s="157" customFormat="1" ht="25.5">
      <c r="A60" s="869"/>
      <c r="B60" s="171" t="s">
        <v>213</v>
      </c>
      <c r="C60" s="172" t="s">
        <v>1569</v>
      </c>
      <c r="D60" s="168">
        <f>+'Alimentazione CE Ricavi'!H55</f>
        <v>0</v>
      </c>
      <c r="E60" s="168">
        <f>+'Alimentazione CE Ricavi'!I55</f>
        <v>0</v>
      </c>
      <c r="H60" s="170"/>
      <c r="I60" s="168">
        <f>+'Alimentazione CE Ricavi'!L55</f>
        <v>0</v>
      </c>
      <c r="K60" s="164"/>
      <c r="M60" s="170"/>
    </row>
    <row r="61" spans="1:13" s="158" customFormat="1" ht="25.5">
      <c r="A61" s="869"/>
      <c r="B61" s="171" t="s">
        <v>215</v>
      </c>
      <c r="C61" s="172" t="s">
        <v>1570</v>
      </c>
      <c r="D61" s="168">
        <f>+'Alimentazione CE Ricavi'!H56</f>
        <v>2189944.3199999998</v>
      </c>
      <c r="E61" s="168">
        <f>+'Alimentazione CE Ricavi'!I56</f>
        <v>0</v>
      </c>
      <c r="F61" s="157"/>
      <c r="H61" s="170"/>
      <c r="I61" s="168">
        <f>+'Alimentazione CE Ricavi'!L56</f>
        <v>0</v>
      </c>
      <c r="K61" s="164"/>
      <c r="M61" s="170"/>
    </row>
    <row r="62" spans="1:13" s="158" customFormat="1" ht="25.5">
      <c r="A62" s="869"/>
      <c r="B62" s="171" t="s">
        <v>217</v>
      </c>
      <c r="C62" s="172" t="s">
        <v>1571</v>
      </c>
      <c r="D62" s="168">
        <f>+'Alimentazione CE Ricavi'!H57</f>
        <v>965376.34</v>
      </c>
      <c r="E62" s="168">
        <f>+'Alimentazione CE Ricavi'!I57</f>
        <v>0</v>
      </c>
      <c r="F62" s="157"/>
      <c r="H62" s="170"/>
      <c r="I62" s="168">
        <f>+'Alimentazione CE Ricavi'!L57</f>
        <v>0</v>
      </c>
      <c r="K62" s="164"/>
      <c r="M62" s="170"/>
    </row>
    <row r="63" spans="1:13" s="158" customFormat="1" ht="25.5">
      <c r="A63" s="869"/>
      <c r="B63" s="171" t="s">
        <v>219</v>
      </c>
      <c r="C63" s="172" t="s">
        <v>1572</v>
      </c>
      <c r="D63" s="168">
        <f>+'Alimentazione CE Ricavi'!H58</f>
        <v>0</v>
      </c>
      <c r="E63" s="168">
        <f>+'Alimentazione CE Ricavi'!I58</f>
        <v>0</v>
      </c>
      <c r="F63" s="157"/>
      <c r="H63" s="170"/>
      <c r="I63" s="168">
        <f>+'Alimentazione CE Ricavi'!L58</f>
        <v>0</v>
      </c>
      <c r="K63" s="164"/>
      <c r="M63" s="170"/>
    </row>
    <row r="64" spans="1:13" s="158" customFormat="1" ht="25.5">
      <c r="A64" s="869"/>
      <c r="B64" s="171" t="s">
        <v>221</v>
      </c>
      <c r="C64" s="172" t="s">
        <v>1573</v>
      </c>
      <c r="D64" s="168">
        <f>+'Alimentazione CE Ricavi'!H59</f>
        <v>545358.31999999995</v>
      </c>
      <c r="E64" s="168">
        <f>+'Alimentazione CE Ricavi'!I59</f>
        <v>0</v>
      </c>
      <c r="F64" s="157"/>
      <c r="H64" s="170"/>
      <c r="I64" s="168">
        <f>+'Alimentazione CE Ricavi'!L59</f>
        <v>0</v>
      </c>
      <c r="K64" s="164"/>
      <c r="M64" s="170"/>
    </row>
    <row r="65" spans="1:13" s="176" customFormat="1" ht="24.95" customHeight="1">
      <c r="A65" s="867"/>
      <c r="B65" s="226" t="s">
        <v>1574</v>
      </c>
      <c r="C65" s="227" t="s">
        <v>1575</v>
      </c>
      <c r="D65" s="228">
        <f>+D66+D105+D111+D112</f>
        <v>38786791.880000003</v>
      </c>
      <c r="E65" s="228">
        <f>+E66+E105+E111+E112</f>
        <v>0</v>
      </c>
      <c r="F65" s="238" t="s">
        <v>2123</v>
      </c>
      <c r="G65" s="169"/>
      <c r="H65" s="170"/>
      <c r="I65" s="228">
        <f>+I66+I105+I111+I112</f>
        <v>258247316.73613808</v>
      </c>
      <c r="K65" s="164"/>
      <c r="M65" s="170"/>
    </row>
    <row r="66" spans="1:13" s="176" customFormat="1" ht="24.95" customHeight="1">
      <c r="A66" s="867"/>
      <c r="B66" s="221" t="s">
        <v>224</v>
      </c>
      <c r="C66" s="222" t="s">
        <v>1576</v>
      </c>
      <c r="D66" s="220">
        <f>+D67+D83+D84</f>
        <v>27970985.600000001</v>
      </c>
      <c r="E66" s="220">
        <f>+E67+E83+E84</f>
        <v>0</v>
      </c>
      <c r="F66" s="238" t="s">
        <v>2123</v>
      </c>
      <c r="G66" s="169"/>
      <c r="H66" s="170"/>
      <c r="I66" s="220">
        <f>+I67+I83+I84</f>
        <v>251883820.19213808</v>
      </c>
      <c r="K66" s="164"/>
      <c r="M66" s="170"/>
    </row>
    <row r="67" spans="1:13" s="176" customFormat="1" ht="24.95" customHeight="1">
      <c r="A67" s="867" t="s">
        <v>1550</v>
      </c>
      <c r="B67" s="232" t="s">
        <v>226</v>
      </c>
      <c r="C67" s="233" t="s">
        <v>1577</v>
      </c>
      <c r="D67" s="234">
        <f>SUM(D68:D82)</f>
        <v>19293307.640000001</v>
      </c>
      <c r="E67" s="234">
        <f>SUM(E68:E82)</f>
        <v>0</v>
      </c>
      <c r="F67" s="238" t="s">
        <v>2123</v>
      </c>
      <c r="G67" s="169"/>
      <c r="H67" s="170"/>
      <c r="I67" s="234">
        <f>SUM(I68:I82)</f>
        <v>243283428.30559134</v>
      </c>
      <c r="K67" s="164"/>
      <c r="M67" s="170"/>
    </row>
    <row r="68" spans="1:13" s="176" customFormat="1" ht="24.95" customHeight="1">
      <c r="A68" s="867" t="s">
        <v>1550</v>
      </c>
      <c r="B68" s="177" t="s">
        <v>228</v>
      </c>
      <c r="C68" s="178" t="s">
        <v>1578</v>
      </c>
      <c r="D68" s="168">
        <f>+'Alimentazione CE Ricavi'!H64+'Alimentazione CE Ricavi'!H65</f>
        <v>14717725.09</v>
      </c>
      <c r="E68" s="168">
        <f>+'Alimentazione CE Ricavi'!I64+'Alimentazione CE Ricavi'!I65</f>
        <v>0</v>
      </c>
      <c r="F68" s="157"/>
      <c r="G68" s="158"/>
      <c r="H68" s="170"/>
      <c r="I68" s="168">
        <f>+'Alimentazione CE Ricavi'!L64+'Alimentazione CE Ricavi'!L65</f>
        <v>163023229.88</v>
      </c>
      <c r="K68" s="164"/>
      <c r="M68" s="170"/>
    </row>
    <row r="69" spans="1:13" s="158" customFormat="1" ht="24.95" customHeight="1">
      <c r="A69" s="869" t="s">
        <v>1550</v>
      </c>
      <c r="B69" s="177" t="s">
        <v>232</v>
      </c>
      <c r="C69" s="178" t="s">
        <v>1579</v>
      </c>
      <c r="D69" s="168">
        <f>+'Alimentazione CE Ricavi'!H67+'Alimentazione CE Ricavi'!H68</f>
        <v>3596677.04</v>
      </c>
      <c r="E69" s="168">
        <f>+'Alimentazione CE Ricavi'!I67+'Alimentazione CE Ricavi'!I68</f>
        <v>0</v>
      </c>
      <c r="F69" s="157"/>
      <c r="H69" s="170"/>
      <c r="I69" s="168">
        <f>+'Alimentazione CE Ricavi'!L67+'Alimentazione CE Ricavi'!L68</f>
        <v>50309027.425591335</v>
      </c>
      <c r="K69" s="164"/>
      <c r="M69" s="170"/>
    </row>
    <row r="70" spans="1:13" s="158" customFormat="1" ht="24.95" customHeight="1">
      <c r="A70" s="869" t="s">
        <v>1550</v>
      </c>
      <c r="B70" s="177" t="s">
        <v>235</v>
      </c>
      <c r="C70" s="178" t="s">
        <v>1580</v>
      </c>
      <c r="D70" s="168">
        <f>+'Alimentazione CE Ricavi'!H69</f>
        <v>0</v>
      </c>
      <c r="E70" s="168">
        <f>+'Alimentazione CE Ricavi'!I69</f>
        <v>0</v>
      </c>
      <c r="F70" s="157"/>
      <c r="H70" s="170"/>
      <c r="I70" s="168">
        <f>+'Alimentazione CE Ricavi'!L69</f>
        <v>0</v>
      </c>
      <c r="K70" s="164"/>
      <c r="M70" s="170"/>
    </row>
    <row r="71" spans="1:13" s="158" customFormat="1" ht="24.95" customHeight="1">
      <c r="A71" s="869" t="s">
        <v>1550</v>
      </c>
      <c r="B71" s="177" t="s">
        <v>237</v>
      </c>
      <c r="C71" s="178" t="s">
        <v>1581</v>
      </c>
      <c r="D71" s="168">
        <f>+'Alimentazione CE Ricavi'!H70</f>
        <v>0</v>
      </c>
      <c r="E71" s="168">
        <f>+'Alimentazione CE Ricavi'!I70</f>
        <v>0</v>
      </c>
      <c r="F71" s="157"/>
      <c r="H71" s="170"/>
      <c r="I71" s="168">
        <f>+'Alimentazione CE Ricavi'!L70</f>
        <v>0</v>
      </c>
      <c r="K71" s="164"/>
      <c r="M71" s="170"/>
    </row>
    <row r="72" spans="1:13" s="158" customFormat="1" ht="24.95" customHeight="1">
      <c r="A72" s="869" t="s">
        <v>1550</v>
      </c>
      <c r="B72" s="177" t="s">
        <v>239</v>
      </c>
      <c r="C72" s="178" t="s">
        <v>1582</v>
      </c>
      <c r="D72" s="168">
        <f>+'Alimentazione CE Ricavi'!H71</f>
        <v>912334.5</v>
      </c>
      <c r="E72" s="168">
        <f>+'Alimentazione CE Ricavi'!I71</f>
        <v>0</v>
      </c>
      <c r="F72" s="157"/>
      <c r="H72" s="170"/>
      <c r="I72" s="168">
        <f>+'Alimentazione CE Ricavi'!L71</f>
        <v>29931978</v>
      </c>
      <c r="K72" s="164"/>
      <c r="M72" s="170"/>
    </row>
    <row r="73" spans="1:13" s="158" customFormat="1" ht="24.95" customHeight="1">
      <c r="A73" s="869" t="s">
        <v>1550</v>
      </c>
      <c r="B73" s="177" t="s">
        <v>241</v>
      </c>
      <c r="C73" s="178" t="s">
        <v>1583</v>
      </c>
      <c r="D73" s="168">
        <f>+'Alimentazione CE Ricavi'!H72</f>
        <v>0</v>
      </c>
      <c r="E73" s="168">
        <f>+'Alimentazione CE Ricavi'!I72</f>
        <v>0</v>
      </c>
      <c r="F73" s="157"/>
      <c r="H73" s="170"/>
      <c r="I73" s="168">
        <f>+'Alimentazione CE Ricavi'!L72</f>
        <v>0</v>
      </c>
      <c r="K73" s="164"/>
      <c r="M73" s="170"/>
    </row>
    <row r="74" spans="1:13" s="158" customFormat="1" ht="24.95" customHeight="1">
      <c r="A74" s="869" t="s">
        <v>1550</v>
      </c>
      <c r="B74" s="177" t="s">
        <v>243</v>
      </c>
      <c r="C74" s="178" t="s">
        <v>1584</v>
      </c>
      <c r="D74" s="168">
        <f>+'Alimentazione CE Ricavi'!H73</f>
        <v>0</v>
      </c>
      <c r="E74" s="168">
        <f>+'Alimentazione CE Ricavi'!I73</f>
        <v>0</v>
      </c>
      <c r="F74" s="157"/>
      <c r="H74" s="170"/>
      <c r="I74" s="168">
        <f>+'Alimentazione CE Ricavi'!L73</f>
        <v>0</v>
      </c>
      <c r="K74" s="164"/>
      <c r="M74" s="170"/>
    </row>
    <row r="75" spans="1:13" s="158" customFormat="1" ht="24.95" customHeight="1">
      <c r="A75" s="869" t="s">
        <v>1550</v>
      </c>
      <c r="B75" s="177" t="s">
        <v>245</v>
      </c>
      <c r="C75" s="178" t="s">
        <v>1585</v>
      </c>
      <c r="D75" s="168">
        <f>+'Alimentazione CE Ricavi'!H74</f>
        <v>0</v>
      </c>
      <c r="E75" s="168">
        <f>+'Alimentazione CE Ricavi'!I74</f>
        <v>0</v>
      </c>
      <c r="F75" s="157"/>
      <c r="H75" s="170"/>
      <c r="I75" s="168">
        <f>+'Alimentazione CE Ricavi'!L74</f>
        <v>0</v>
      </c>
      <c r="K75" s="164"/>
      <c r="M75" s="170"/>
    </row>
    <row r="76" spans="1:13" s="158" customFormat="1" ht="24.95" customHeight="1">
      <c r="A76" s="869" t="s">
        <v>1550</v>
      </c>
      <c r="B76" s="177" t="s">
        <v>247</v>
      </c>
      <c r="C76" s="178" t="s">
        <v>1586</v>
      </c>
      <c r="D76" s="168">
        <f>+'Alimentazione CE Ricavi'!H75</f>
        <v>0</v>
      </c>
      <c r="E76" s="168">
        <f>+'Alimentazione CE Ricavi'!I75</f>
        <v>0</v>
      </c>
      <c r="F76" s="157"/>
      <c r="H76" s="170"/>
      <c r="I76" s="168">
        <f>+'Alimentazione CE Ricavi'!L75</f>
        <v>0</v>
      </c>
      <c r="K76" s="164"/>
      <c r="M76" s="170"/>
    </row>
    <row r="77" spans="1:13" s="158" customFormat="1" ht="24.95" customHeight="1">
      <c r="A77" s="869" t="s">
        <v>1550</v>
      </c>
      <c r="B77" s="177" t="s">
        <v>249</v>
      </c>
      <c r="C77" s="178" t="s">
        <v>1587</v>
      </c>
      <c r="D77" s="168">
        <f>+'Alimentazione CE Ricavi'!H76</f>
        <v>0</v>
      </c>
      <c r="E77" s="168">
        <f>+'Alimentazione CE Ricavi'!I76</f>
        <v>0</v>
      </c>
      <c r="F77" s="157"/>
      <c r="H77" s="170"/>
      <c r="I77" s="168">
        <f>+'Alimentazione CE Ricavi'!L76</f>
        <v>0</v>
      </c>
      <c r="K77" s="164"/>
      <c r="M77" s="170"/>
    </row>
    <row r="78" spans="1:13" s="158" customFormat="1" ht="24.95" customHeight="1">
      <c r="A78" s="869" t="s">
        <v>1550</v>
      </c>
      <c r="B78" s="177" t="s">
        <v>251</v>
      </c>
      <c r="C78" s="178" t="s">
        <v>1588</v>
      </c>
      <c r="D78" s="168">
        <f>+'Alimentazione CE Ricavi'!H77</f>
        <v>0</v>
      </c>
      <c r="E78" s="168">
        <f>+'Alimentazione CE Ricavi'!I77</f>
        <v>0</v>
      </c>
      <c r="F78" s="157"/>
      <c r="G78" s="973"/>
      <c r="H78" s="170"/>
      <c r="I78" s="168">
        <f>+'Alimentazione CE Ricavi'!L77</f>
        <v>0</v>
      </c>
      <c r="K78" s="164"/>
      <c r="M78" s="170"/>
    </row>
    <row r="79" spans="1:13" s="158" customFormat="1" ht="24.95" customHeight="1">
      <c r="A79" s="867" t="s">
        <v>1550</v>
      </c>
      <c r="B79" s="177" t="s">
        <v>253</v>
      </c>
      <c r="C79" s="178" t="s">
        <v>1589</v>
      </c>
      <c r="D79" s="168">
        <f>+'Alimentazione CE Ricavi'!H78</f>
        <v>0</v>
      </c>
      <c r="E79" s="168">
        <f>+'Alimentazione CE Ricavi'!I78</f>
        <v>0</v>
      </c>
      <c r="F79" s="157"/>
      <c r="G79" s="973"/>
      <c r="H79" s="170"/>
      <c r="I79" s="168">
        <f>+'Alimentazione CE Ricavi'!L78</f>
        <v>0</v>
      </c>
      <c r="K79" s="164"/>
      <c r="M79" s="170"/>
    </row>
    <row r="80" spans="1:13" s="176" customFormat="1" ht="24.95" customHeight="1">
      <c r="A80" s="867" t="s">
        <v>1550</v>
      </c>
      <c r="B80" s="177" t="s">
        <v>255</v>
      </c>
      <c r="C80" s="178" t="s">
        <v>1590</v>
      </c>
      <c r="D80" s="168">
        <f>+'Alimentazione CE Ricavi'!H79</f>
        <v>0</v>
      </c>
      <c r="E80" s="168">
        <f>+'Alimentazione CE Ricavi'!I79</f>
        <v>0</v>
      </c>
      <c r="F80" s="157"/>
      <c r="G80" s="973"/>
      <c r="H80" s="170"/>
      <c r="I80" s="168">
        <f>+'Alimentazione CE Ricavi'!L79</f>
        <v>0</v>
      </c>
      <c r="K80" s="164"/>
      <c r="M80" s="170"/>
    </row>
    <row r="81" spans="1:13" s="158" customFormat="1" ht="24.95" customHeight="1">
      <c r="A81" s="867" t="s">
        <v>1550</v>
      </c>
      <c r="B81" s="177" t="s">
        <v>257</v>
      </c>
      <c r="C81" s="178" t="s">
        <v>1591</v>
      </c>
      <c r="D81" s="168">
        <f>+'Alimentazione CE Ricavi'!H80</f>
        <v>0</v>
      </c>
      <c r="E81" s="168">
        <f>+'Alimentazione CE Ricavi'!I80</f>
        <v>0</v>
      </c>
      <c r="F81" s="157"/>
      <c r="G81" s="973"/>
      <c r="H81" s="170"/>
      <c r="I81" s="168">
        <f>+'Alimentazione CE Ricavi'!L80</f>
        <v>0</v>
      </c>
      <c r="K81" s="164"/>
      <c r="M81" s="170"/>
    </row>
    <row r="82" spans="1:13" s="158" customFormat="1" ht="24.95" customHeight="1">
      <c r="A82" s="867" t="s">
        <v>1550</v>
      </c>
      <c r="B82" s="177" t="s">
        <v>259</v>
      </c>
      <c r="C82" s="178" t="s">
        <v>1592</v>
      </c>
      <c r="D82" s="168">
        <f>+'Alimentazione CE Ricavi'!H82+'Alimentazione CE Ricavi'!H83</f>
        <v>66571.010000000009</v>
      </c>
      <c r="E82" s="168">
        <f>+'Alimentazione CE Ricavi'!I82+'Alimentazione CE Ricavi'!I83</f>
        <v>0</v>
      </c>
      <c r="F82" s="157"/>
      <c r="G82" s="973"/>
      <c r="H82" s="170"/>
      <c r="I82" s="168">
        <f>+'Alimentazione CE Ricavi'!L82+'Alimentazione CE Ricavi'!L83</f>
        <v>19193</v>
      </c>
      <c r="K82" s="164"/>
      <c r="M82" s="170"/>
    </row>
    <row r="83" spans="1:13" s="176" customFormat="1" ht="42.75" customHeight="1">
      <c r="A83" s="867"/>
      <c r="B83" s="174" t="s">
        <v>262</v>
      </c>
      <c r="C83" s="175" t="s">
        <v>1593</v>
      </c>
      <c r="D83" s="168">
        <f>+'Alimentazione CE Ricavi'!H84</f>
        <v>44685.32</v>
      </c>
      <c r="E83" s="168">
        <f>+'Alimentazione CE Ricavi'!I84</f>
        <v>0</v>
      </c>
      <c r="F83" s="157"/>
      <c r="G83" s="158"/>
      <c r="H83" s="170"/>
      <c r="I83" s="168">
        <f>+'Alimentazione CE Ricavi'!L84</f>
        <v>43055.32</v>
      </c>
      <c r="K83" s="164"/>
      <c r="M83" s="170"/>
    </row>
    <row r="84" spans="1:13" s="176" customFormat="1" ht="24.95" customHeight="1">
      <c r="A84" s="867"/>
      <c r="B84" s="232" t="s">
        <v>264</v>
      </c>
      <c r="C84" s="233" t="s">
        <v>1594</v>
      </c>
      <c r="D84" s="234">
        <f>SUM(D85:D99,D102,D103,D104)</f>
        <v>8632992.6400000006</v>
      </c>
      <c r="E84" s="234">
        <f>SUM(E85:E99,E102,E103,E104)</f>
        <v>0</v>
      </c>
      <c r="F84" s="238" t="s">
        <v>2123</v>
      </c>
      <c r="G84" s="169"/>
      <c r="H84" s="170"/>
      <c r="I84" s="234">
        <f>SUM(I85:I99,I102,I103,I104)</f>
        <v>8557336.5665467307</v>
      </c>
      <c r="K84" s="164"/>
      <c r="M84" s="170"/>
    </row>
    <row r="85" spans="1:13" s="176" customFormat="1" ht="24.95" customHeight="1">
      <c r="A85" s="867" t="s">
        <v>1595</v>
      </c>
      <c r="B85" s="177" t="s">
        <v>265</v>
      </c>
      <c r="C85" s="178" t="s">
        <v>1596</v>
      </c>
      <c r="D85" s="168">
        <f>+'Alimentazione CE Ricavi'!H87+'Alimentazione CE Ricavi'!H88</f>
        <v>4341266</v>
      </c>
      <c r="E85" s="168">
        <f>+'Alimentazione CE Ricavi'!I87+'Alimentazione CE Ricavi'!I88</f>
        <v>0</v>
      </c>
      <c r="F85" s="157"/>
      <c r="G85" s="158"/>
      <c r="H85" s="170"/>
      <c r="I85" s="168">
        <f>+'Alimentazione CE Ricavi'!L87+'Alimentazione CE Ricavi'!L88</f>
        <v>4341266</v>
      </c>
      <c r="K85" s="164"/>
      <c r="M85" s="170"/>
    </row>
    <row r="86" spans="1:13" s="176" customFormat="1" ht="24.95" customHeight="1">
      <c r="A86" s="867" t="s">
        <v>1595</v>
      </c>
      <c r="B86" s="177" t="s">
        <v>268</v>
      </c>
      <c r="C86" s="178" t="s">
        <v>1597</v>
      </c>
      <c r="D86" s="168">
        <f>+'Alimentazione CE Ricavi'!H90+'Alimentazione CE Ricavi'!H91</f>
        <v>926198</v>
      </c>
      <c r="E86" s="168">
        <f>+'Alimentazione CE Ricavi'!I90+'Alimentazione CE Ricavi'!I91</f>
        <v>0</v>
      </c>
      <c r="F86" s="157"/>
      <c r="G86" s="158"/>
      <c r="H86" s="170"/>
      <c r="I86" s="168">
        <f>+'Alimentazione CE Ricavi'!L90+'Alimentazione CE Ricavi'!L91</f>
        <v>892925.58654673107</v>
      </c>
      <c r="K86" s="164"/>
      <c r="M86" s="170"/>
    </row>
    <row r="87" spans="1:13" s="158" customFormat="1" ht="24.95" customHeight="1">
      <c r="A87" s="867" t="s">
        <v>1595</v>
      </c>
      <c r="B87" s="177" t="s">
        <v>271</v>
      </c>
      <c r="C87" s="178" t="s">
        <v>1598</v>
      </c>
      <c r="D87" s="168">
        <f>+'Alimentazione CE Ricavi'!H92</f>
        <v>0</v>
      </c>
      <c r="E87" s="168">
        <f>+'Alimentazione CE Ricavi'!I92</f>
        <v>0</v>
      </c>
      <c r="F87" s="157"/>
      <c r="H87" s="170"/>
      <c r="I87" s="168">
        <f>+'Alimentazione CE Ricavi'!L92</f>
        <v>0</v>
      </c>
      <c r="K87" s="164"/>
      <c r="M87" s="170"/>
    </row>
    <row r="88" spans="1:13" s="158" customFormat="1" ht="24.95" customHeight="1">
      <c r="A88" s="869" t="s">
        <v>1599</v>
      </c>
      <c r="B88" s="177" t="s">
        <v>273</v>
      </c>
      <c r="C88" s="178" t="s">
        <v>1600</v>
      </c>
      <c r="D88" s="168">
        <f>+'Alimentazione CE Ricavi'!H93</f>
        <v>0</v>
      </c>
      <c r="E88" s="168">
        <f>+'Alimentazione CE Ricavi'!I93</f>
        <v>0</v>
      </c>
      <c r="F88" s="157"/>
      <c r="H88" s="170"/>
      <c r="I88" s="168">
        <f>+'Alimentazione CE Ricavi'!L93</f>
        <v>0</v>
      </c>
      <c r="K88" s="164"/>
      <c r="M88" s="170"/>
    </row>
    <row r="89" spans="1:13" s="176" customFormat="1" ht="24.95" customHeight="1">
      <c r="A89" s="869" t="s">
        <v>1595</v>
      </c>
      <c r="B89" s="177" t="s">
        <v>274</v>
      </c>
      <c r="C89" s="178" t="s">
        <v>1601</v>
      </c>
      <c r="D89" s="168">
        <f>+'Alimentazione CE Ricavi'!H94</f>
        <v>728298</v>
      </c>
      <c r="E89" s="168">
        <f>+'Alimentazione CE Ricavi'!I94</f>
        <v>0</v>
      </c>
      <c r="F89" s="157"/>
      <c r="G89" s="158"/>
      <c r="H89" s="170"/>
      <c r="I89" s="168">
        <f>+'Alimentazione CE Ricavi'!L94</f>
        <v>728298</v>
      </c>
      <c r="K89" s="164"/>
      <c r="M89" s="170"/>
    </row>
    <row r="90" spans="1:13" s="158" customFormat="1" ht="24.95" customHeight="1">
      <c r="A90" s="869" t="s">
        <v>1595</v>
      </c>
      <c r="B90" s="177" t="s">
        <v>276</v>
      </c>
      <c r="C90" s="178" t="s">
        <v>1602</v>
      </c>
      <c r="D90" s="168">
        <f>+'Alimentazione CE Ricavi'!H95</f>
        <v>171492</v>
      </c>
      <c r="E90" s="168">
        <f>+'Alimentazione CE Ricavi'!I95</f>
        <v>0</v>
      </c>
      <c r="F90" s="157"/>
      <c r="H90" s="170"/>
      <c r="I90" s="168">
        <f>+'Alimentazione CE Ricavi'!L95</f>
        <v>171492</v>
      </c>
      <c r="K90" s="164"/>
      <c r="M90" s="170"/>
    </row>
    <row r="91" spans="1:13" s="158" customFormat="1" ht="24.95" customHeight="1">
      <c r="A91" s="869" t="s">
        <v>1595</v>
      </c>
      <c r="B91" s="177" t="s">
        <v>278</v>
      </c>
      <c r="C91" s="178" t="s">
        <v>1603</v>
      </c>
      <c r="D91" s="168">
        <f>+'Alimentazione CE Ricavi'!H96</f>
        <v>451543</v>
      </c>
      <c r="E91" s="168">
        <f>+'Alimentazione CE Ricavi'!I96</f>
        <v>0</v>
      </c>
      <c r="F91" s="157"/>
      <c r="H91" s="170"/>
      <c r="I91" s="168">
        <f>+'Alimentazione CE Ricavi'!L96</f>
        <v>451543</v>
      </c>
      <c r="K91" s="164"/>
      <c r="M91" s="170"/>
    </row>
    <row r="92" spans="1:13" s="158" customFormat="1" ht="24.95" customHeight="1">
      <c r="A92" s="869" t="s">
        <v>1595</v>
      </c>
      <c r="B92" s="177" t="s">
        <v>280</v>
      </c>
      <c r="C92" s="178" t="s">
        <v>1604</v>
      </c>
      <c r="D92" s="168">
        <f>+'Alimentazione CE Ricavi'!H97</f>
        <v>22112</v>
      </c>
      <c r="E92" s="168">
        <f>+'Alimentazione CE Ricavi'!I97</f>
        <v>0</v>
      </c>
      <c r="F92" s="157"/>
      <c r="H92" s="170"/>
      <c r="I92" s="168">
        <f>+'Alimentazione CE Ricavi'!L97</f>
        <v>22112</v>
      </c>
      <c r="K92" s="164"/>
      <c r="M92" s="170"/>
    </row>
    <row r="93" spans="1:13" s="158" customFormat="1" ht="24.95" customHeight="1">
      <c r="A93" s="869" t="s">
        <v>1595</v>
      </c>
      <c r="B93" s="177" t="s">
        <v>282</v>
      </c>
      <c r="C93" s="178" t="s">
        <v>1605</v>
      </c>
      <c r="D93" s="168">
        <f>+'Alimentazione CE Ricavi'!H98</f>
        <v>0</v>
      </c>
      <c r="E93" s="168">
        <f>+'Alimentazione CE Ricavi'!I98</f>
        <v>0</v>
      </c>
      <c r="F93" s="157"/>
      <c r="H93" s="170"/>
      <c r="I93" s="168">
        <f>+'Alimentazione CE Ricavi'!L98</f>
        <v>0</v>
      </c>
      <c r="K93" s="164"/>
      <c r="M93" s="170"/>
    </row>
    <row r="94" spans="1:13" s="158" customFormat="1" ht="24.95" customHeight="1">
      <c r="A94" s="869" t="s">
        <v>1599</v>
      </c>
      <c r="B94" s="177" t="s">
        <v>284</v>
      </c>
      <c r="C94" s="178" t="s">
        <v>1606</v>
      </c>
      <c r="D94" s="168">
        <f>+'Alimentazione CE Ricavi'!H99</f>
        <v>0</v>
      </c>
      <c r="E94" s="168">
        <f>+'Alimentazione CE Ricavi'!I99</f>
        <v>0</v>
      </c>
      <c r="F94" s="157"/>
      <c r="H94" s="170"/>
      <c r="I94" s="168">
        <f>+'Alimentazione CE Ricavi'!L99</f>
        <v>0</v>
      </c>
      <c r="K94" s="164"/>
      <c r="M94" s="170"/>
    </row>
    <row r="95" spans="1:13" s="158" customFormat="1" ht="24.95" customHeight="1">
      <c r="A95" s="869" t="s">
        <v>1599</v>
      </c>
      <c r="B95" s="177" t="s">
        <v>286</v>
      </c>
      <c r="C95" s="178" t="s">
        <v>1607</v>
      </c>
      <c r="D95" s="168">
        <f>+'Alimentazione CE Ricavi'!H100</f>
        <v>0</v>
      </c>
      <c r="E95" s="168">
        <f>+'Alimentazione CE Ricavi'!I100</f>
        <v>0</v>
      </c>
      <c r="F95" s="157"/>
      <c r="H95" s="170"/>
      <c r="I95" s="168">
        <f>+'Alimentazione CE Ricavi'!L100</f>
        <v>0</v>
      </c>
      <c r="K95" s="164"/>
      <c r="M95" s="170"/>
    </row>
    <row r="96" spans="1:13" s="158" customFormat="1" ht="24.95" customHeight="1">
      <c r="A96" s="869" t="s">
        <v>1595</v>
      </c>
      <c r="B96" s="177" t="s">
        <v>288</v>
      </c>
      <c r="C96" s="178" t="s">
        <v>1608</v>
      </c>
      <c r="D96" s="168">
        <f>+'Alimentazione CE Ricavi'!H101</f>
        <v>799749</v>
      </c>
      <c r="E96" s="168">
        <f>+'Alimentazione CE Ricavi'!I101</f>
        <v>0</v>
      </c>
      <c r="F96" s="157"/>
      <c r="H96" s="170"/>
      <c r="I96" s="168">
        <f>+'Alimentazione CE Ricavi'!L101</f>
        <v>799749</v>
      </c>
      <c r="K96" s="164"/>
      <c r="M96" s="170"/>
    </row>
    <row r="97" spans="1:13" s="158" customFormat="1" ht="24.95" customHeight="1">
      <c r="A97" s="869" t="s">
        <v>1595</v>
      </c>
      <c r="B97" s="177" t="s">
        <v>289</v>
      </c>
      <c r="C97" s="178" t="s">
        <v>1609</v>
      </c>
      <c r="D97" s="168">
        <f>+'Alimentazione CE Ricavi'!H102</f>
        <v>0</v>
      </c>
      <c r="E97" s="168">
        <f>+'Alimentazione CE Ricavi'!I102</f>
        <v>0</v>
      </c>
      <c r="F97" s="157"/>
      <c r="H97" s="170"/>
      <c r="I97" s="168">
        <f>+'Alimentazione CE Ricavi'!L102</f>
        <v>0</v>
      </c>
      <c r="K97" s="164"/>
      <c r="M97" s="170"/>
    </row>
    <row r="98" spans="1:13" s="158" customFormat="1" ht="24.95" customHeight="1">
      <c r="A98" s="869" t="s">
        <v>1595</v>
      </c>
      <c r="B98" s="177" t="s">
        <v>292</v>
      </c>
      <c r="C98" s="178" t="s">
        <v>1610</v>
      </c>
      <c r="D98" s="168">
        <f>+'Alimentazione CE Ricavi'!H103</f>
        <v>0</v>
      </c>
      <c r="E98" s="168">
        <f>+'Alimentazione CE Ricavi'!I103</f>
        <v>0</v>
      </c>
      <c r="F98" s="157"/>
      <c r="H98" s="170"/>
      <c r="I98" s="168">
        <f>+'Alimentazione CE Ricavi'!L103</f>
        <v>0</v>
      </c>
      <c r="K98" s="164"/>
      <c r="M98" s="170"/>
    </row>
    <row r="99" spans="1:13" s="183" customFormat="1" ht="24.95" customHeight="1">
      <c r="A99" s="869" t="s">
        <v>1599</v>
      </c>
      <c r="B99" s="235" t="s">
        <v>294</v>
      </c>
      <c r="C99" s="236" t="s">
        <v>1611</v>
      </c>
      <c r="D99" s="237">
        <f>+D100+D101</f>
        <v>222945.34</v>
      </c>
      <c r="E99" s="237">
        <f>+E100+E101</f>
        <v>0</v>
      </c>
      <c r="F99" s="238" t="s">
        <v>2123</v>
      </c>
      <c r="G99" s="169"/>
      <c r="H99" s="170"/>
      <c r="I99" s="237">
        <f>+I100+I101</f>
        <v>198702.98</v>
      </c>
      <c r="K99" s="164"/>
      <c r="M99" s="170"/>
    </row>
    <row r="100" spans="1:13" s="183" customFormat="1" ht="24.95" customHeight="1">
      <c r="A100" s="869" t="s">
        <v>1599</v>
      </c>
      <c r="B100" s="174" t="s">
        <v>296</v>
      </c>
      <c r="C100" s="175" t="s">
        <v>1612</v>
      </c>
      <c r="D100" s="168">
        <f>+'Alimentazione CE Ricavi'!H105</f>
        <v>0</v>
      </c>
      <c r="E100" s="168">
        <f>+'Alimentazione CE Ricavi'!I105</f>
        <v>0</v>
      </c>
      <c r="F100" s="182"/>
      <c r="H100" s="170"/>
      <c r="I100" s="168">
        <f>+'Alimentazione CE Ricavi'!L105</f>
        <v>0</v>
      </c>
      <c r="K100" s="164"/>
      <c r="M100" s="170"/>
    </row>
    <row r="101" spans="1:13" s="158" customFormat="1" ht="24.95" customHeight="1">
      <c r="A101" s="869" t="s">
        <v>1599</v>
      </c>
      <c r="B101" s="174" t="s">
        <v>298</v>
      </c>
      <c r="C101" s="175" t="s">
        <v>1613</v>
      </c>
      <c r="D101" s="168">
        <f>+'Alimentazione CE Ricavi'!H107+'Alimentazione CE Ricavi'!H108</f>
        <v>222945.34</v>
      </c>
      <c r="E101" s="168">
        <f>+'Alimentazione CE Ricavi'!I107+'Alimentazione CE Ricavi'!I108</f>
        <v>0</v>
      </c>
      <c r="F101" s="157"/>
      <c r="H101" s="170"/>
      <c r="I101" s="168">
        <f>+'Alimentazione CE Ricavi'!L107+'Alimentazione CE Ricavi'!L108</f>
        <v>198702.98</v>
      </c>
      <c r="K101" s="164"/>
      <c r="M101" s="170"/>
    </row>
    <row r="102" spans="1:13" s="157" customFormat="1" ht="24.95" customHeight="1">
      <c r="A102" s="869"/>
      <c r="B102" s="177" t="s">
        <v>300</v>
      </c>
      <c r="C102" s="178" t="s">
        <v>1614</v>
      </c>
      <c r="D102" s="168">
        <f>+'Alimentazione CE Ricavi'!H109</f>
        <v>969389.3</v>
      </c>
      <c r="E102" s="168">
        <f>+'Alimentazione CE Ricavi'!I109</f>
        <v>0</v>
      </c>
      <c r="H102" s="170"/>
      <c r="I102" s="168">
        <f>+'Alimentazione CE Ricavi'!L109</f>
        <v>951248</v>
      </c>
      <c r="K102" s="164"/>
      <c r="M102" s="170"/>
    </row>
    <row r="103" spans="1:13" s="157" customFormat="1" ht="24.95" customHeight="1">
      <c r="A103" s="867" t="s">
        <v>1550</v>
      </c>
      <c r="B103" s="177" t="s">
        <v>302</v>
      </c>
      <c r="C103" s="178" t="s">
        <v>1615</v>
      </c>
      <c r="D103" s="168">
        <f>+'Alimentazione CE Ricavi'!H110</f>
        <v>0</v>
      </c>
      <c r="E103" s="168">
        <f>+'Alimentazione CE Ricavi'!I110</f>
        <v>0</v>
      </c>
      <c r="H103" s="170"/>
      <c r="I103" s="168">
        <f>+'Alimentazione CE Ricavi'!L110</f>
        <v>0</v>
      </c>
      <c r="K103" s="164"/>
      <c r="M103" s="170"/>
    </row>
    <row r="104" spans="1:13" s="157" customFormat="1" ht="24.95" customHeight="1">
      <c r="A104" s="867" t="s">
        <v>1599</v>
      </c>
      <c r="B104" s="177" t="s">
        <v>304</v>
      </c>
      <c r="C104" s="178" t="s">
        <v>1616</v>
      </c>
      <c r="D104" s="168">
        <f>+'Alimentazione CE Ricavi'!H111</f>
        <v>0</v>
      </c>
      <c r="E104" s="168">
        <f>+'Alimentazione CE Ricavi'!I111</f>
        <v>0</v>
      </c>
      <c r="H104" s="170"/>
      <c r="I104" s="168">
        <f>+'Alimentazione CE Ricavi'!L111</f>
        <v>0</v>
      </c>
      <c r="K104" s="164"/>
      <c r="M104" s="170"/>
    </row>
    <row r="105" spans="1:13" s="176" customFormat="1" ht="24.95" customHeight="1">
      <c r="A105" s="870" t="s">
        <v>1595</v>
      </c>
      <c r="B105" s="221" t="s">
        <v>306</v>
      </c>
      <c r="C105" s="222" t="s">
        <v>1617</v>
      </c>
      <c r="D105" s="220">
        <f>SUM(D106:D110)</f>
        <v>1195761</v>
      </c>
      <c r="E105" s="220">
        <f>SUM(E106:E110)</f>
        <v>0</v>
      </c>
      <c r="F105" s="238" t="s">
        <v>2123</v>
      </c>
      <c r="G105" s="169"/>
      <c r="H105" s="170"/>
      <c r="I105" s="220">
        <f>SUM(I106:I110)</f>
        <v>0</v>
      </c>
      <c r="K105" s="164"/>
      <c r="M105" s="170"/>
    </row>
    <row r="106" spans="1:13" s="158" customFormat="1" ht="24.95" customHeight="1">
      <c r="A106" s="869" t="s">
        <v>1595</v>
      </c>
      <c r="B106" s="177" t="s">
        <v>308</v>
      </c>
      <c r="C106" s="178" t="s">
        <v>1618</v>
      </c>
      <c r="D106" s="168">
        <f>+'Alimentazione CE Ricavi'!H113</f>
        <v>1114756</v>
      </c>
      <c r="E106" s="168">
        <f>+'Alimentazione CE Ricavi'!I113</f>
        <v>0</v>
      </c>
      <c r="F106" s="157"/>
      <c r="H106" s="170"/>
      <c r="I106" s="168">
        <f>+'Alimentazione CE Ricavi'!L113</f>
        <v>0</v>
      </c>
      <c r="K106" s="164"/>
      <c r="M106" s="170"/>
    </row>
    <row r="107" spans="1:13" s="158" customFormat="1" ht="24.95" customHeight="1">
      <c r="A107" s="869" t="s">
        <v>1595</v>
      </c>
      <c r="B107" s="174" t="s">
        <v>310</v>
      </c>
      <c r="C107" s="175" t="s">
        <v>1619</v>
      </c>
      <c r="D107" s="168">
        <f>+'Alimentazione CE Ricavi'!H114</f>
        <v>81005</v>
      </c>
      <c r="E107" s="168">
        <f>+'Alimentazione CE Ricavi'!I114</f>
        <v>0</v>
      </c>
      <c r="F107" s="157"/>
      <c r="H107" s="170"/>
      <c r="I107" s="168">
        <f>+'Alimentazione CE Ricavi'!L114</f>
        <v>0</v>
      </c>
      <c r="K107" s="164"/>
      <c r="M107" s="170"/>
    </row>
    <row r="108" spans="1:13" s="158" customFormat="1" ht="24.95" customHeight="1">
      <c r="A108" s="869" t="s">
        <v>1595</v>
      </c>
      <c r="B108" s="174" t="s">
        <v>312</v>
      </c>
      <c r="C108" s="175" t="s">
        <v>1620</v>
      </c>
      <c r="D108" s="168">
        <f>+'Alimentazione CE Ricavi'!H115</f>
        <v>0</v>
      </c>
      <c r="E108" s="168">
        <f>+'Alimentazione CE Ricavi'!I115</f>
        <v>0</v>
      </c>
      <c r="F108" s="157"/>
      <c r="H108" s="170"/>
      <c r="I108" s="168">
        <f>+'Alimentazione CE Ricavi'!L115</f>
        <v>0</v>
      </c>
      <c r="K108" s="164"/>
      <c r="M108" s="170"/>
    </row>
    <row r="109" spans="1:13" s="158" customFormat="1" ht="24.95" customHeight="1">
      <c r="A109" s="867" t="s">
        <v>1595</v>
      </c>
      <c r="B109" s="174" t="s">
        <v>314</v>
      </c>
      <c r="C109" s="175" t="s">
        <v>1621</v>
      </c>
      <c r="D109" s="168">
        <f>+'Alimentazione CE Ricavi'!H116</f>
        <v>0</v>
      </c>
      <c r="E109" s="168">
        <f>+'Alimentazione CE Ricavi'!I116</f>
        <v>0</v>
      </c>
      <c r="F109" s="157"/>
      <c r="H109" s="170"/>
      <c r="I109" s="168">
        <f>+'Alimentazione CE Ricavi'!L116</f>
        <v>0</v>
      </c>
      <c r="K109" s="164"/>
      <c r="M109" s="170"/>
    </row>
    <row r="110" spans="1:13" s="158" customFormat="1" ht="24.95" customHeight="1">
      <c r="A110" s="867" t="s">
        <v>1595</v>
      </c>
      <c r="B110" s="174" t="s">
        <v>316</v>
      </c>
      <c r="C110" s="175" t="s">
        <v>1622</v>
      </c>
      <c r="D110" s="168">
        <f>+'Alimentazione CE Ricavi'!H117</f>
        <v>0</v>
      </c>
      <c r="E110" s="168">
        <f>+'Alimentazione CE Ricavi'!I117</f>
        <v>0</v>
      </c>
      <c r="F110" s="157"/>
      <c r="H110" s="170"/>
      <c r="I110" s="168">
        <f>+'Alimentazione CE Ricavi'!L117</f>
        <v>0</v>
      </c>
      <c r="K110" s="164"/>
      <c r="M110" s="170"/>
    </row>
    <row r="111" spans="1:13" s="176" customFormat="1" ht="24.95" customHeight="1">
      <c r="A111" s="867"/>
      <c r="B111" s="221" t="s">
        <v>318</v>
      </c>
      <c r="C111" s="222" t="s">
        <v>1623</v>
      </c>
      <c r="D111" s="220">
        <f>+ROUND(SUM('Alimentazione CE Ricavi'!H120:H154),2)</f>
        <v>3988756.35</v>
      </c>
      <c r="E111" s="220">
        <f>+ROUND(SUM('Alimentazione CE Ricavi'!I120:I154),2)</f>
        <v>0</v>
      </c>
      <c r="F111" s="157"/>
      <c r="G111" s="158"/>
      <c r="H111" s="170"/>
      <c r="I111" s="220">
        <f>+ROUND(SUM('Alimentazione CE Ricavi'!L120:L154),2)</f>
        <v>1421842.95</v>
      </c>
      <c r="K111" s="164"/>
      <c r="M111" s="170"/>
    </row>
    <row r="112" spans="1:13" s="176" customFormat="1" ht="24.95" customHeight="1">
      <c r="A112" s="867"/>
      <c r="B112" s="221" t="s">
        <v>1624</v>
      </c>
      <c r="C112" s="222" t="s">
        <v>1625</v>
      </c>
      <c r="D112" s="220">
        <f>SUM(D113:D119)</f>
        <v>5631288.9299999997</v>
      </c>
      <c r="E112" s="220">
        <f>SUM(E113:E119)</f>
        <v>0</v>
      </c>
      <c r="F112" s="238" t="s">
        <v>2123</v>
      </c>
      <c r="G112" s="169"/>
      <c r="H112" s="170"/>
      <c r="I112" s="220">
        <f>SUM(I113:I119)</f>
        <v>4941653.5939999996</v>
      </c>
      <c r="K112" s="164"/>
      <c r="M112" s="170"/>
    </row>
    <row r="113" spans="1:13" s="176" customFormat="1" ht="24.95" customHeight="1">
      <c r="A113" s="867"/>
      <c r="B113" s="174" t="s">
        <v>355</v>
      </c>
      <c r="C113" s="175" t="s">
        <v>1626</v>
      </c>
      <c r="D113" s="168">
        <f>+'Alimentazione CE Ricavi'!H156</f>
        <v>363617.3</v>
      </c>
      <c r="E113" s="168">
        <f>+'Alimentazione CE Ricavi'!I156</f>
        <v>0</v>
      </c>
      <c r="F113" s="157"/>
      <c r="G113" s="158"/>
      <c r="H113" s="170"/>
      <c r="I113" s="168">
        <f>+'Alimentazione CE Ricavi'!L156</f>
        <v>363617.3</v>
      </c>
      <c r="K113" s="164"/>
      <c r="M113" s="170"/>
    </row>
    <row r="114" spans="1:13" s="176" customFormat="1" ht="24.95" customHeight="1">
      <c r="A114" s="867"/>
      <c r="B114" s="174" t="s">
        <v>357</v>
      </c>
      <c r="C114" s="175" t="s">
        <v>1627</v>
      </c>
      <c r="D114" s="168">
        <f>+'Alimentazione CE Ricavi'!H157</f>
        <v>4798856.07</v>
      </c>
      <c r="E114" s="168">
        <f>+'Alimentazione CE Ricavi'!I157</f>
        <v>0</v>
      </c>
      <c r="F114" s="157"/>
      <c r="G114" s="158"/>
      <c r="H114" s="170"/>
      <c r="I114" s="168">
        <f>+'Alimentazione CE Ricavi'!L157</f>
        <v>4123556.51</v>
      </c>
      <c r="K114" s="164"/>
      <c r="M114" s="170"/>
    </row>
    <row r="115" spans="1:13" s="176" customFormat="1" ht="24.95" customHeight="1">
      <c r="A115" s="867"/>
      <c r="B115" s="174" t="s">
        <v>359</v>
      </c>
      <c r="C115" s="175" t="s">
        <v>1628</v>
      </c>
      <c r="D115" s="168">
        <f>+'Alimentazione CE Ricavi'!H158</f>
        <v>4013.64</v>
      </c>
      <c r="E115" s="168">
        <f>+'Alimentazione CE Ricavi'!I158</f>
        <v>0</v>
      </c>
      <c r="F115" s="157"/>
      <c r="G115" s="158"/>
      <c r="H115" s="170"/>
      <c r="I115" s="168">
        <f>+'Alimentazione CE Ricavi'!L158</f>
        <v>0</v>
      </c>
      <c r="K115" s="164"/>
      <c r="M115" s="170"/>
    </row>
    <row r="116" spans="1:13" s="176" customFormat="1" ht="24.95" customHeight="1">
      <c r="A116" s="867"/>
      <c r="B116" s="174" t="s">
        <v>361</v>
      </c>
      <c r="C116" s="175" t="s">
        <v>1629</v>
      </c>
      <c r="D116" s="168">
        <f>+'Alimentazione CE Ricavi'!H159</f>
        <v>148102.92000000001</v>
      </c>
      <c r="E116" s="168">
        <f>+'Alimentazione CE Ricavi'!I159</f>
        <v>0</v>
      </c>
      <c r="F116" s="157"/>
      <c r="G116" s="158"/>
      <c r="H116" s="170"/>
      <c r="I116" s="168">
        <f>+'Alimentazione CE Ricavi'!L159</f>
        <v>140697.774</v>
      </c>
      <c r="K116" s="164"/>
      <c r="M116" s="170"/>
    </row>
    <row r="117" spans="1:13" s="176" customFormat="1" ht="24.95" customHeight="1">
      <c r="A117" s="867" t="s">
        <v>1550</v>
      </c>
      <c r="B117" s="174" t="s">
        <v>363</v>
      </c>
      <c r="C117" s="175" t="s">
        <v>1630</v>
      </c>
      <c r="D117" s="168">
        <f>+'Alimentazione CE Ricavi'!H160</f>
        <v>291699</v>
      </c>
      <c r="E117" s="168">
        <f>+'Alimentazione CE Ricavi'!I160</f>
        <v>0</v>
      </c>
      <c r="F117" s="157"/>
      <c r="G117" s="158"/>
      <c r="H117" s="170"/>
      <c r="I117" s="168">
        <f>+'Alimentazione CE Ricavi'!L160</f>
        <v>288782.01</v>
      </c>
      <c r="K117" s="164"/>
      <c r="M117" s="170"/>
    </row>
    <row r="118" spans="1:13" s="176" customFormat="1" ht="24.95" customHeight="1">
      <c r="A118" s="867"/>
      <c r="B118" s="174" t="s">
        <v>365</v>
      </c>
      <c r="C118" s="175" t="s">
        <v>1631</v>
      </c>
      <c r="D118" s="168">
        <f>+'Alimentazione CE Ricavi'!H161</f>
        <v>25000</v>
      </c>
      <c r="E118" s="168">
        <f>+'Alimentazione CE Ricavi'!I161</f>
        <v>0</v>
      </c>
      <c r="F118" s="157"/>
      <c r="G118" s="158"/>
      <c r="H118" s="170"/>
      <c r="I118" s="168">
        <f>+'Alimentazione CE Ricavi'!L161</f>
        <v>25000</v>
      </c>
      <c r="K118" s="164"/>
      <c r="M118" s="170"/>
    </row>
    <row r="119" spans="1:13" s="176" customFormat="1" ht="24.95" customHeight="1">
      <c r="A119" s="867" t="s">
        <v>1550</v>
      </c>
      <c r="B119" s="174" t="s">
        <v>367</v>
      </c>
      <c r="C119" s="175" t="s">
        <v>1632</v>
      </c>
      <c r="D119" s="168">
        <f>+'Alimentazione CE Ricavi'!H162</f>
        <v>0</v>
      </c>
      <c r="E119" s="168">
        <f>+'Alimentazione CE Ricavi'!I162</f>
        <v>0</v>
      </c>
      <c r="F119" s="157"/>
      <c r="G119" s="158"/>
      <c r="H119" s="170"/>
      <c r="I119" s="168">
        <f>+'Alimentazione CE Ricavi'!L162</f>
        <v>0</v>
      </c>
      <c r="K119" s="164"/>
      <c r="M119" s="170"/>
    </row>
    <row r="120" spans="1:13" s="176" customFormat="1" ht="24.95" customHeight="1">
      <c r="A120" s="871"/>
      <c r="B120" s="226" t="s">
        <v>1633</v>
      </c>
      <c r="C120" s="227" t="s">
        <v>1634</v>
      </c>
      <c r="D120" s="228">
        <f>+D121+D122+D125+D130+D134</f>
        <v>25647705.09</v>
      </c>
      <c r="E120" s="228">
        <f>+E121+E122+E125+E130+E134</f>
        <v>0</v>
      </c>
      <c r="F120" s="157"/>
      <c r="G120" s="169"/>
      <c r="H120" s="170"/>
      <c r="I120" s="228">
        <f>+I121+I122+I125+I130+I134</f>
        <v>21471203.150000002</v>
      </c>
      <c r="K120" s="164"/>
      <c r="M120" s="170"/>
    </row>
    <row r="121" spans="1:13" s="176" customFormat="1" ht="24.95" customHeight="1">
      <c r="A121" s="871"/>
      <c r="B121" s="171" t="s">
        <v>370</v>
      </c>
      <c r="C121" s="172" t="s">
        <v>1635</v>
      </c>
      <c r="D121" s="168">
        <f>+'Alimentazione CE Ricavi'!H164</f>
        <v>170015.26</v>
      </c>
      <c r="E121" s="168">
        <f>+'Alimentazione CE Ricavi'!I164</f>
        <v>0</v>
      </c>
      <c r="F121" s="157"/>
      <c r="G121" s="158"/>
      <c r="H121" s="170"/>
      <c r="I121" s="168">
        <f>+'Alimentazione CE Ricavi'!L164</f>
        <v>18651.400000000001</v>
      </c>
      <c r="K121" s="164"/>
      <c r="M121" s="170"/>
    </row>
    <row r="122" spans="1:13" s="176" customFormat="1" ht="24.95" customHeight="1">
      <c r="A122" s="872"/>
      <c r="B122" s="221" t="s">
        <v>1636</v>
      </c>
      <c r="C122" s="222" t="s">
        <v>1637</v>
      </c>
      <c r="D122" s="220">
        <f>+D123+D124</f>
        <v>496116.02</v>
      </c>
      <c r="E122" s="220">
        <f>+E123+E124</f>
        <v>0</v>
      </c>
      <c r="F122" s="238" t="s">
        <v>2123</v>
      </c>
      <c r="G122" s="169"/>
      <c r="H122" s="170"/>
      <c r="I122" s="220">
        <f>+I123+I124</f>
        <v>0</v>
      </c>
      <c r="K122" s="164"/>
      <c r="M122" s="170"/>
    </row>
    <row r="123" spans="1:13" s="176" customFormat="1" ht="24.95" customHeight="1">
      <c r="A123" s="872"/>
      <c r="B123" s="174" t="s">
        <v>373</v>
      </c>
      <c r="C123" s="175" t="s">
        <v>1638</v>
      </c>
      <c r="D123" s="168">
        <f>+'Alimentazione CE Ricavi'!H166</f>
        <v>496116.02</v>
      </c>
      <c r="E123" s="168">
        <f>+'Alimentazione CE Ricavi'!I166</f>
        <v>0</v>
      </c>
      <c r="F123" s="157"/>
      <c r="G123" s="158"/>
      <c r="H123" s="170"/>
      <c r="I123" s="168">
        <f>+'Alimentazione CE Ricavi'!L166</f>
        <v>0</v>
      </c>
      <c r="K123" s="164"/>
      <c r="M123" s="170"/>
    </row>
    <row r="124" spans="1:13" s="176" customFormat="1" ht="24.95" customHeight="1">
      <c r="A124" s="872"/>
      <c r="B124" s="174" t="s">
        <v>375</v>
      </c>
      <c r="C124" s="175" t="s">
        <v>1639</v>
      </c>
      <c r="D124" s="168">
        <f>+'Alimentazione CE Ricavi'!H167</f>
        <v>0</v>
      </c>
      <c r="E124" s="168">
        <f>+'Alimentazione CE Ricavi'!I167</f>
        <v>0</v>
      </c>
      <c r="F124" s="157"/>
      <c r="G124" s="158"/>
      <c r="H124" s="170"/>
      <c r="I124" s="168">
        <f>+'Alimentazione CE Ricavi'!L167</f>
        <v>0</v>
      </c>
      <c r="K124" s="164"/>
      <c r="M124" s="170"/>
    </row>
    <row r="125" spans="1:13" s="176" customFormat="1" ht="24.95" customHeight="1">
      <c r="A125" s="870" t="s">
        <v>1550</v>
      </c>
      <c r="B125" s="221" t="s">
        <v>1640</v>
      </c>
      <c r="C125" s="222" t="s">
        <v>1641</v>
      </c>
      <c r="D125" s="220">
        <f>+D126+D127+D128+D129</f>
        <v>1353671.08</v>
      </c>
      <c r="E125" s="220">
        <f>+E126+E127+E128+E129</f>
        <v>0</v>
      </c>
      <c r="F125" s="238" t="s">
        <v>2123</v>
      </c>
      <c r="G125" s="169"/>
      <c r="H125" s="170"/>
      <c r="I125" s="220">
        <f>+I126+I127+I128+I129</f>
        <v>192096.36</v>
      </c>
      <c r="K125" s="164"/>
      <c r="M125" s="170"/>
    </row>
    <row r="126" spans="1:13" s="176" customFormat="1" ht="24.95" customHeight="1">
      <c r="A126" s="867" t="s">
        <v>1550</v>
      </c>
      <c r="B126" s="174" t="s">
        <v>378</v>
      </c>
      <c r="C126" s="175" t="s">
        <v>1642</v>
      </c>
      <c r="D126" s="168">
        <f>+'Alimentazione CE Ricavi'!H169</f>
        <v>184219.45</v>
      </c>
      <c r="E126" s="168">
        <f>+'Alimentazione CE Ricavi'!I169</f>
        <v>0</v>
      </c>
      <c r="F126" s="157"/>
      <c r="G126" s="158"/>
      <c r="H126" s="170"/>
      <c r="I126" s="168">
        <f>+'Alimentazione CE Ricavi'!L169</f>
        <v>0</v>
      </c>
      <c r="K126" s="164"/>
      <c r="M126" s="170"/>
    </row>
    <row r="127" spans="1:13" s="176" customFormat="1" ht="24.95" customHeight="1">
      <c r="A127" s="867" t="s">
        <v>1550</v>
      </c>
      <c r="B127" s="174" t="s">
        <v>380</v>
      </c>
      <c r="C127" s="175" t="s">
        <v>1643</v>
      </c>
      <c r="D127" s="168">
        <f>+'Alimentazione CE Ricavi'!H170</f>
        <v>18651.400000000001</v>
      </c>
      <c r="E127" s="168">
        <f>+'Alimentazione CE Ricavi'!I170</f>
        <v>0</v>
      </c>
      <c r="F127" s="157"/>
      <c r="G127" s="158"/>
      <c r="H127" s="170"/>
      <c r="I127" s="168">
        <f>+'Alimentazione CE Ricavi'!L170</f>
        <v>0</v>
      </c>
      <c r="K127" s="164"/>
      <c r="M127" s="170"/>
    </row>
    <row r="128" spans="1:13" s="176" customFormat="1" ht="24.95" customHeight="1">
      <c r="A128" s="867" t="s">
        <v>1550</v>
      </c>
      <c r="B128" s="174" t="s">
        <v>382</v>
      </c>
      <c r="C128" s="175" t="s">
        <v>1644</v>
      </c>
      <c r="D128" s="168">
        <f>+'Alimentazione CE Ricavi'!H172+'Alimentazione CE Ricavi'!H173+'Alimentazione CE Ricavi'!H174</f>
        <v>1150800.23</v>
      </c>
      <c r="E128" s="168">
        <f>+'Alimentazione CE Ricavi'!I172+'Alimentazione CE Ricavi'!I173+'Alimentazione CE Ricavi'!I174</f>
        <v>0</v>
      </c>
      <c r="F128" s="157"/>
      <c r="G128" s="158"/>
      <c r="H128" s="170"/>
      <c r="I128" s="168">
        <f>+'Alimentazione CE Ricavi'!L172+'Alimentazione CE Ricavi'!L173+'Alimentazione CE Ricavi'!L174</f>
        <v>192096.36</v>
      </c>
      <c r="K128" s="164"/>
      <c r="M128" s="170"/>
    </row>
    <row r="129" spans="1:13" s="187" customFormat="1" ht="24.95" customHeight="1">
      <c r="A129" s="867" t="s">
        <v>1550</v>
      </c>
      <c r="B129" s="174" t="s">
        <v>386</v>
      </c>
      <c r="C129" s="175" t="s">
        <v>1645</v>
      </c>
      <c r="D129" s="168">
        <f>+'Alimentazione CE Ricavi'!H175</f>
        <v>0</v>
      </c>
      <c r="E129" s="168">
        <f>+'Alimentazione CE Ricavi'!I175</f>
        <v>0</v>
      </c>
      <c r="F129" s="157"/>
      <c r="G129" s="157"/>
      <c r="H129" s="170"/>
      <c r="I129" s="168">
        <f>+'Alimentazione CE Ricavi'!L175</f>
        <v>0</v>
      </c>
      <c r="K129" s="164"/>
      <c r="M129" s="170"/>
    </row>
    <row r="130" spans="1:13" s="176" customFormat="1" ht="24.95" customHeight="1">
      <c r="A130" s="867"/>
      <c r="B130" s="221" t="s">
        <v>388</v>
      </c>
      <c r="C130" s="222" t="s">
        <v>1646</v>
      </c>
      <c r="D130" s="220">
        <f>+D131+D132+D133</f>
        <v>2012611.7</v>
      </c>
      <c r="E130" s="220">
        <f>+E131+E132+E133</f>
        <v>0</v>
      </c>
      <c r="F130" s="238" t="s">
        <v>2123</v>
      </c>
      <c r="G130" s="169"/>
      <c r="H130" s="170"/>
      <c r="I130" s="220">
        <f>+I131+I132+I133</f>
        <v>45002.53</v>
      </c>
      <c r="K130" s="164"/>
      <c r="M130" s="170"/>
    </row>
    <row r="131" spans="1:13" s="176" customFormat="1" ht="24.95" customHeight="1">
      <c r="A131" s="867"/>
      <c r="B131" s="174" t="s">
        <v>390</v>
      </c>
      <c r="C131" s="175" t="s">
        <v>1647</v>
      </c>
      <c r="D131" s="168">
        <f>+'Alimentazione CE Ricavi'!H177</f>
        <v>229268.71</v>
      </c>
      <c r="E131" s="168">
        <f>+'Alimentazione CE Ricavi'!I177</f>
        <v>0</v>
      </c>
      <c r="F131" s="157"/>
      <c r="G131" s="158"/>
      <c r="H131" s="170"/>
      <c r="I131" s="168">
        <f>+'Alimentazione CE Ricavi'!L177</f>
        <v>0</v>
      </c>
      <c r="K131" s="164"/>
      <c r="M131" s="170"/>
    </row>
    <row r="132" spans="1:13" s="176" customFormat="1" ht="24.95" customHeight="1">
      <c r="A132" s="867"/>
      <c r="B132" s="174" t="s">
        <v>392</v>
      </c>
      <c r="C132" s="175" t="s">
        <v>1648</v>
      </c>
      <c r="D132" s="168">
        <f>+'Alimentazione CE Ricavi'!H178</f>
        <v>0</v>
      </c>
      <c r="E132" s="168">
        <f>+'Alimentazione CE Ricavi'!I178</f>
        <v>0</v>
      </c>
      <c r="F132" s="157"/>
      <c r="G132" s="158"/>
      <c r="H132" s="170"/>
      <c r="I132" s="168">
        <f>+'Alimentazione CE Ricavi'!L178</f>
        <v>0</v>
      </c>
      <c r="K132" s="164"/>
      <c r="M132" s="170"/>
    </row>
    <row r="133" spans="1:13" s="176" customFormat="1" ht="24.95" customHeight="1">
      <c r="A133" s="867"/>
      <c r="B133" s="174" t="s">
        <v>394</v>
      </c>
      <c r="C133" s="175" t="s">
        <v>1649</v>
      </c>
      <c r="D133" s="168">
        <f>+ROUND(SUM('Alimentazione CE Ricavi'!H180:H185),2)</f>
        <v>1783342.99</v>
      </c>
      <c r="E133" s="168">
        <f>+ROUND(SUM('Alimentazione CE Ricavi'!I180:I185),2)</f>
        <v>0</v>
      </c>
      <c r="F133" s="157"/>
      <c r="G133" s="158"/>
      <c r="H133" s="170"/>
      <c r="I133" s="168">
        <f>+ROUND(SUM('Alimentazione CE Ricavi'!L180:L185),2)</f>
        <v>45002.53</v>
      </c>
      <c r="K133" s="164"/>
      <c r="M133" s="170"/>
    </row>
    <row r="134" spans="1:13" s="176" customFormat="1" ht="24.95" customHeight="1">
      <c r="A134" s="867"/>
      <c r="B134" s="221" t="s">
        <v>401</v>
      </c>
      <c r="C134" s="222" t="s">
        <v>1650</v>
      </c>
      <c r="D134" s="220">
        <f>+D135+D139+D140</f>
        <v>21615291.030000001</v>
      </c>
      <c r="E134" s="220">
        <f>+E135+E139+E140</f>
        <v>0</v>
      </c>
      <c r="F134" s="238" t="s">
        <v>2123</v>
      </c>
      <c r="G134" s="169"/>
      <c r="H134" s="170"/>
      <c r="I134" s="220">
        <f>+I135+I139+I140</f>
        <v>21215452.860000003</v>
      </c>
      <c r="K134" s="164"/>
      <c r="M134" s="170"/>
    </row>
    <row r="135" spans="1:13" s="176" customFormat="1" ht="24.95" customHeight="1">
      <c r="A135" s="867"/>
      <c r="B135" s="239" t="s">
        <v>403</v>
      </c>
      <c r="C135" s="240" t="s">
        <v>1651</v>
      </c>
      <c r="D135" s="241">
        <f>+D136+D137+D138</f>
        <v>20569217.670000002</v>
      </c>
      <c r="E135" s="241">
        <f>+E136+E137+E138</f>
        <v>0</v>
      </c>
      <c r="F135" s="238" t="s">
        <v>2123</v>
      </c>
      <c r="G135" s="169"/>
      <c r="H135" s="170"/>
      <c r="I135" s="241">
        <f>+I136+I137+I138</f>
        <v>20569217.670000002</v>
      </c>
      <c r="K135" s="164"/>
      <c r="M135" s="170"/>
    </row>
    <row r="136" spans="1:13" s="176" customFormat="1" ht="24.95" customHeight="1">
      <c r="A136" s="867"/>
      <c r="B136" s="177" t="s">
        <v>405</v>
      </c>
      <c r="C136" s="178" t="s">
        <v>1652</v>
      </c>
      <c r="D136" s="168">
        <f>+'Alimentazione CE Ricavi'!H188</f>
        <v>0</v>
      </c>
      <c r="E136" s="168">
        <f>+'Alimentazione CE Ricavi'!I188</f>
        <v>0</v>
      </c>
      <c r="F136" s="157"/>
      <c r="G136" s="158"/>
      <c r="H136" s="170"/>
      <c r="I136" s="168">
        <f>+'Alimentazione CE Ricavi'!L188</f>
        <v>0</v>
      </c>
      <c r="K136" s="164"/>
      <c r="M136" s="170"/>
    </row>
    <row r="137" spans="1:13" s="176" customFormat="1" ht="24.95" customHeight="1">
      <c r="A137" s="867"/>
      <c r="B137" s="177" t="s">
        <v>407</v>
      </c>
      <c r="C137" s="178" t="s">
        <v>1653</v>
      </c>
      <c r="D137" s="168">
        <f>+'Alimentazione CE Ricavi'!H189</f>
        <v>17126745.050000001</v>
      </c>
      <c r="E137" s="168">
        <f>+'Alimentazione CE Ricavi'!I189</f>
        <v>0</v>
      </c>
      <c r="F137" s="157"/>
      <c r="G137" s="158"/>
      <c r="H137" s="170"/>
      <c r="I137" s="168">
        <f>+'Alimentazione CE Ricavi'!L189</f>
        <v>17126745.050000001</v>
      </c>
      <c r="K137" s="164"/>
      <c r="M137" s="170"/>
    </row>
    <row r="138" spans="1:13" s="176" customFormat="1" ht="24.95" customHeight="1">
      <c r="A138" s="867"/>
      <c r="B138" s="177" t="s">
        <v>409</v>
      </c>
      <c r="C138" s="178" t="s">
        <v>1654</v>
      </c>
      <c r="D138" s="168">
        <f>+'Alimentazione CE Ricavi'!H190</f>
        <v>3442472.62</v>
      </c>
      <c r="E138" s="168">
        <f>+'Alimentazione CE Ricavi'!I190</f>
        <v>0</v>
      </c>
      <c r="F138" s="157"/>
      <c r="G138" s="158"/>
      <c r="H138" s="170"/>
      <c r="I138" s="168">
        <f>+'Alimentazione CE Ricavi'!L190</f>
        <v>3442472.62</v>
      </c>
      <c r="K138" s="164"/>
      <c r="M138" s="170"/>
    </row>
    <row r="139" spans="1:13" s="158" customFormat="1" ht="24.95" customHeight="1">
      <c r="A139" s="869"/>
      <c r="B139" s="174" t="s">
        <v>411</v>
      </c>
      <c r="C139" s="175" t="s">
        <v>1655</v>
      </c>
      <c r="D139" s="168">
        <f>+'Alimentazione CE Ricavi'!H191</f>
        <v>0</v>
      </c>
      <c r="E139" s="168">
        <f>+'Alimentazione CE Ricavi'!I191</f>
        <v>0</v>
      </c>
      <c r="F139" s="157"/>
      <c r="H139" s="170"/>
      <c r="I139" s="168">
        <f>+'Alimentazione CE Ricavi'!L191</f>
        <v>0</v>
      </c>
      <c r="K139" s="164"/>
      <c r="M139" s="170"/>
    </row>
    <row r="140" spans="1:13" s="158" customFormat="1" ht="24.95" customHeight="1">
      <c r="A140" s="869"/>
      <c r="B140" s="174" t="s">
        <v>413</v>
      </c>
      <c r="C140" s="175" t="s">
        <v>1656</v>
      </c>
      <c r="D140" s="168">
        <f>+ROUND(SUM('Alimentazione CE Ricavi'!H193:H205),2)</f>
        <v>1046073.36</v>
      </c>
      <c r="E140" s="168">
        <f>+ROUND(SUM('Alimentazione CE Ricavi'!I193:I205),2)</f>
        <v>0</v>
      </c>
      <c r="F140" s="157"/>
      <c r="H140" s="170"/>
      <c r="I140" s="168">
        <f>+ROUND(SUM('Alimentazione CE Ricavi'!L193:L205),2)</f>
        <v>646235.18999999994</v>
      </c>
      <c r="K140" s="164"/>
      <c r="M140" s="170"/>
    </row>
    <row r="141" spans="1:13" s="158" customFormat="1" ht="24.95" customHeight="1">
      <c r="A141" s="869"/>
      <c r="B141" s="226" t="s">
        <v>427</v>
      </c>
      <c r="C141" s="227" t="s">
        <v>1657</v>
      </c>
      <c r="D141" s="228">
        <f>+D142+D143+D144</f>
        <v>7192480.4800000004</v>
      </c>
      <c r="E141" s="228">
        <f>+E142+E143+E144</f>
        <v>0</v>
      </c>
      <c r="F141" s="238" t="s">
        <v>2123</v>
      </c>
      <c r="G141" s="169"/>
      <c r="H141" s="170"/>
      <c r="I141" s="228">
        <f>+I142+I143+I144</f>
        <v>5573991.4699999997</v>
      </c>
      <c r="K141" s="164"/>
      <c r="M141" s="170"/>
    </row>
    <row r="142" spans="1:13" s="158" customFormat="1" ht="24.95" customHeight="1">
      <c r="A142" s="869"/>
      <c r="B142" s="171" t="s">
        <v>428</v>
      </c>
      <c r="C142" s="172" t="s">
        <v>1658</v>
      </c>
      <c r="D142" s="168">
        <f>+'Alimentazione CE Ricavi'!H207</f>
        <v>6465701.1500000004</v>
      </c>
      <c r="E142" s="168">
        <f>+'Alimentazione CE Ricavi'!I207</f>
        <v>0</v>
      </c>
      <c r="F142" s="157"/>
      <c r="H142" s="170"/>
      <c r="I142" s="168">
        <f>+'Alimentazione CE Ricavi'!L207</f>
        <v>4852437.1399999997</v>
      </c>
      <c r="K142" s="164"/>
      <c r="M142" s="170"/>
    </row>
    <row r="143" spans="1:13" s="176" customFormat="1" ht="24.95" customHeight="1">
      <c r="A143" s="867"/>
      <c r="B143" s="171" t="s">
        <v>430</v>
      </c>
      <c r="C143" s="172" t="s">
        <v>1659</v>
      </c>
      <c r="D143" s="168">
        <f>+'Alimentazione CE Ricavi'!H208</f>
        <v>80327.33</v>
      </c>
      <c r="E143" s="168">
        <f>+'Alimentazione CE Ricavi'!I208</f>
        <v>0</v>
      </c>
      <c r="F143" s="157"/>
      <c r="G143" s="158"/>
      <c r="H143" s="170"/>
      <c r="I143" s="168">
        <f>+'Alimentazione CE Ricavi'!L208</f>
        <v>75102.33</v>
      </c>
      <c r="K143" s="164"/>
      <c r="M143" s="170"/>
    </row>
    <row r="144" spans="1:13" s="176" customFormat="1" ht="24.95" customHeight="1">
      <c r="A144" s="867"/>
      <c r="B144" s="171" t="s">
        <v>432</v>
      </c>
      <c r="C144" s="172" t="s">
        <v>1660</v>
      </c>
      <c r="D144" s="168">
        <f>+'Alimentazione CE Ricavi'!H209</f>
        <v>646452</v>
      </c>
      <c r="E144" s="168">
        <f>+'Alimentazione CE Ricavi'!I209</f>
        <v>0</v>
      </c>
      <c r="F144" s="157"/>
      <c r="G144" s="158"/>
      <c r="H144" s="170"/>
      <c r="I144" s="168">
        <f>+'Alimentazione CE Ricavi'!L209</f>
        <v>646452</v>
      </c>
      <c r="K144" s="164"/>
      <c r="M144" s="170"/>
    </row>
    <row r="145" spans="1:13" s="176" customFormat="1" ht="24.95" customHeight="1">
      <c r="A145" s="867"/>
      <c r="B145" s="226" t="s">
        <v>434</v>
      </c>
      <c r="C145" s="227" t="s">
        <v>1661</v>
      </c>
      <c r="D145" s="228">
        <f>+D146+D147+D148+D149+D150+D151</f>
        <v>24863634.699999999</v>
      </c>
      <c r="E145" s="228">
        <f>+E146+E147+E148+E149+E150+E151</f>
        <v>0</v>
      </c>
      <c r="F145" s="238" t="s">
        <v>2123</v>
      </c>
      <c r="G145" s="169"/>
      <c r="H145" s="170"/>
      <c r="I145" s="228">
        <f>+I146+I147+I148+I149+I150+I151</f>
        <v>19994300.249095693</v>
      </c>
      <c r="K145" s="164"/>
      <c r="M145" s="170"/>
    </row>
    <row r="146" spans="1:13" s="176" customFormat="1" ht="24.95" customHeight="1">
      <c r="A146" s="867"/>
      <c r="B146" s="171" t="s">
        <v>436</v>
      </c>
      <c r="C146" s="172" t="s">
        <v>1662</v>
      </c>
      <c r="D146" s="168">
        <f>+'Alimentazione CE Ricavi'!H211</f>
        <v>0</v>
      </c>
      <c r="E146" s="168">
        <f>+'Alimentazione CE Ricavi'!I211</f>
        <v>0</v>
      </c>
      <c r="F146" s="157"/>
      <c r="G146" s="158"/>
      <c r="H146" s="170"/>
      <c r="I146" s="168">
        <f>+'Alimentazione CE Ricavi'!L211</f>
        <v>0</v>
      </c>
      <c r="K146" s="164"/>
      <c r="M146" s="170"/>
    </row>
    <row r="147" spans="1:13" s="176" customFormat="1" ht="24.95" customHeight="1">
      <c r="A147" s="867"/>
      <c r="B147" s="171" t="s">
        <v>438</v>
      </c>
      <c r="C147" s="172" t="s">
        <v>1663</v>
      </c>
      <c r="D147" s="168">
        <f>+'Alimentazione CE Ricavi'!H212</f>
        <v>19122321.719999999</v>
      </c>
      <c r="E147" s="168">
        <f>+'Alimentazione CE Ricavi'!I212</f>
        <v>0</v>
      </c>
      <c r="F147" s="157"/>
      <c r="G147" s="158"/>
      <c r="H147" s="170"/>
      <c r="I147" s="168">
        <f>+'Alimentazione CE Ricavi'!L212</f>
        <v>14879498.595050085</v>
      </c>
      <c r="K147" s="164"/>
      <c r="M147" s="170"/>
    </row>
    <row r="148" spans="1:13" s="176" customFormat="1" ht="24.95" customHeight="1">
      <c r="A148" s="867"/>
      <c r="B148" s="171" t="s">
        <v>440</v>
      </c>
      <c r="C148" s="172" t="s">
        <v>1664</v>
      </c>
      <c r="D148" s="168">
        <f>+'Alimentazione CE Ricavi'!H213</f>
        <v>4307212.21</v>
      </c>
      <c r="E148" s="168">
        <f>+'Alimentazione CE Ricavi'!I213</f>
        <v>0</v>
      </c>
      <c r="F148" s="157"/>
      <c r="G148" s="158"/>
      <c r="H148" s="170"/>
      <c r="I148" s="168">
        <f>+'Alimentazione CE Ricavi'!L213</f>
        <v>4095786.4179272968</v>
      </c>
      <c r="K148" s="164"/>
      <c r="M148" s="170"/>
    </row>
    <row r="149" spans="1:13" s="176" customFormat="1" ht="24.95" customHeight="1">
      <c r="A149" s="867"/>
      <c r="B149" s="171" t="s">
        <v>442</v>
      </c>
      <c r="C149" s="172" t="s">
        <v>1665</v>
      </c>
      <c r="D149" s="168">
        <f>+'Alimentazione CE Ricavi'!H214</f>
        <v>68811.95</v>
      </c>
      <c r="E149" s="168">
        <f>+'Alimentazione CE Ricavi'!I214</f>
        <v>0</v>
      </c>
      <c r="F149" s="157"/>
      <c r="G149" s="158"/>
      <c r="H149" s="170"/>
      <c r="I149" s="168">
        <f>+'Alimentazione CE Ricavi'!L214</f>
        <v>0</v>
      </c>
      <c r="K149" s="164"/>
      <c r="M149" s="170"/>
    </row>
    <row r="150" spans="1:13" s="176" customFormat="1" ht="24.95" customHeight="1">
      <c r="A150" s="867"/>
      <c r="B150" s="171" t="s">
        <v>444</v>
      </c>
      <c r="C150" s="172" t="s">
        <v>1666</v>
      </c>
      <c r="D150" s="168">
        <f>+'Alimentazione CE Ricavi'!H215</f>
        <v>335.42</v>
      </c>
      <c r="E150" s="168">
        <f>+'Alimentazione CE Ricavi'!I215</f>
        <v>0</v>
      </c>
      <c r="F150" s="157"/>
      <c r="G150" s="158"/>
      <c r="H150" s="170"/>
      <c r="I150" s="168">
        <f>+'Alimentazione CE Ricavi'!L215</f>
        <v>31997.82</v>
      </c>
      <c r="K150" s="164"/>
      <c r="M150" s="170"/>
    </row>
    <row r="151" spans="1:13" s="176" customFormat="1" ht="24.95" customHeight="1">
      <c r="A151" s="867"/>
      <c r="B151" s="171" t="s">
        <v>446</v>
      </c>
      <c r="C151" s="172" t="s">
        <v>1667</v>
      </c>
      <c r="D151" s="168">
        <f>+'Alimentazione CE Ricavi'!H216</f>
        <v>1364953.4</v>
      </c>
      <c r="E151" s="168">
        <f>+'Alimentazione CE Ricavi'!I216</f>
        <v>0</v>
      </c>
      <c r="F151" s="157"/>
      <c r="G151" s="158"/>
      <c r="H151" s="170"/>
      <c r="I151" s="168">
        <f>+'Alimentazione CE Ricavi'!L216</f>
        <v>987017.41611830844</v>
      </c>
      <c r="K151" s="164"/>
      <c r="M151" s="170"/>
    </row>
    <row r="152" spans="1:13" s="176" customFormat="1" ht="24.95" customHeight="1">
      <c r="A152" s="867"/>
      <c r="B152" s="226" t="s">
        <v>447</v>
      </c>
      <c r="C152" s="227" t="s">
        <v>1668</v>
      </c>
      <c r="D152" s="228">
        <f>+'Alimentazione CE Ricavi'!H217</f>
        <v>0</v>
      </c>
      <c r="E152" s="228">
        <f>+'Alimentazione CE Ricavi'!I217</f>
        <v>0</v>
      </c>
      <c r="F152" s="157"/>
      <c r="G152" s="158"/>
      <c r="H152" s="170"/>
      <c r="I152" s="228">
        <f>+'Alimentazione CE Ricavi'!L217</f>
        <v>0</v>
      </c>
      <c r="K152" s="164"/>
      <c r="M152" s="170"/>
    </row>
    <row r="153" spans="1:13" s="176" customFormat="1" ht="24.95" customHeight="1">
      <c r="A153" s="867"/>
      <c r="B153" s="226" t="s">
        <v>448</v>
      </c>
      <c r="C153" s="227" t="s">
        <v>1669</v>
      </c>
      <c r="D153" s="228">
        <f>+D154+D155+D156</f>
        <v>992601.57000000007</v>
      </c>
      <c r="E153" s="228">
        <f>+E154+E155+E156</f>
        <v>0</v>
      </c>
      <c r="F153" s="238" t="s">
        <v>2123</v>
      </c>
      <c r="G153" s="169"/>
      <c r="H153" s="170"/>
      <c r="I153" s="228">
        <f>+I154+I155+I156</f>
        <v>549028.1</v>
      </c>
      <c r="K153" s="164"/>
      <c r="M153" s="170"/>
    </row>
    <row r="154" spans="1:13" s="176" customFormat="1" ht="24.95" customHeight="1">
      <c r="A154" s="867"/>
      <c r="B154" s="171" t="s">
        <v>450</v>
      </c>
      <c r="C154" s="172" t="s">
        <v>1670</v>
      </c>
      <c r="D154" s="168">
        <f>+'Alimentazione CE Ricavi'!H220+'Alimentazione CE Ricavi'!H221+'Alimentazione CE Ricavi'!H222</f>
        <v>0</v>
      </c>
      <c r="E154" s="168">
        <f>+'Alimentazione CE Ricavi'!I220+'Alimentazione CE Ricavi'!I221+'Alimentazione CE Ricavi'!I222</f>
        <v>0</v>
      </c>
      <c r="F154" s="157"/>
      <c r="G154" s="158"/>
      <c r="H154" s="170"/>
      <c r="I154" s="168">
        <f>+'Alimentazione CE Ricavi'!L220+'Alimentazione CE Ricavi'!L221+'Alimentazione CE Ricavi'!L222</f>
        <v>0</v>
      </c>
      <c r="K154" s="164"/>
      <c r="M154" s="170"/>
    </row>
    <row r="155" spans="1:13" s="176" customFormat="1" ht="24.95" customHeight="1">
      <c r="A155" s="867"/>
      <c r="B155" s="171" t="s">
        <v>455</v>
      </c>
      <c r="C155" s="172" t="s">
        <v>1671</v>
      </c>
      <c r="D155" s="168">
        <f>+'Alimentazione CE Ricavi'!H224+'Alimentazione CE Ricavi'!H225+'Alimentazione CE Ricavi'!H226</f>
        <v>256172.25999999998</v>
      </c>
      <c r="E155" s="168">
        <f>+'Alimentazione CE Ricavi'!I224+'Alimentazione CE Ricavi'!I225+'Alimentazione CE Ricavi'!I226</f>
        <v>0</v>
      </c>
      <c r="F155" s="157"/>
      <c r="G155" s="158"/>
      <c r="H155" s="170"/>
      <c r="I155" s="168">
        <f>+'Alimentazione CE Ricavi'!L224+'Alimentazione CE Ricavi'!L225+'Alimentazione CE Ricavi'!L226</f>
        <v>0</v>
      </c>
      <c r="K155" s="164"/>
      <c r="M155" s="170"/>
    </row>
    <row r="156" spans="1:13" s="176" customFormat="1" ht="24.95" customHeight="1">
      <c r="A156" s="867"/>
      <c r="B156" s="171" t="s">
        <v>460</v>
      </c>
      <c r="C156" s="172" t="s">
        <v>1672</v>
      </c>
      <c r="D156" s="168">
        <f>+'Alimentazione CE Ricavi'!H228+'Alimentazione CE Ricavi'!H229+'Alimentazione CE Ricavi'!H230</f>
        <v>736429.31</v>
      </c>
      <c r="E156" s="168">
        <f>+'Alimentazione CE Ricavi'!I228+'Alimentazione CE Ricavi'!I229+'Alimentazione CE Ricavi'!I230</f>
        <v>0</v>
      </c>
      <c r="F156" s="157"/>
      <c r="G156" s="158"/>
      <c r="H156" s="170"/>
      <c r="I156" s="168">
        <f>+'Alimentazione CE Ricavi'!L228+'Alimentazione CE Ricavi'!L229+'Alimentazione CE Ricavi'!L230</f>
        <v>549028.1</v>
      </c>
      <c r="K156" s="164"/>
      <c r="M156" s="170"/>
    </row>
    <row r="157" spans="1:13" s="176" customFormat="1" ht="24.95" customHeight="1">
      <c r="A157" s="867"/>
      <c r="B157" s="229" t="s">
        <v>1673</v>
      </c>
      <c r="C157" s="230" t="s">
        <v>1674</v>
      </c>
      <c r="D157" s="231">
        <f>+D153+D152+D145+D141+D120+D65+D59+D56+D25</f>
        <v>910143777.27999997</v>
      </c>
      <c r="E157" s="231">
        <f>+E153+E152+E145+E141+E120+E65+E59+E56+E25</f>
        <v>0</v>
      </c>
      <c r="F157" s="238" t="s">
        <v>2123</v>
      </c>
      <c r="G157" s="169"/>
      <c r="H157" s="170"/>
      <c r="I157" s="231">
        <f>+I153+I152+I145+I141+I120+I65+I59+I56+I25</f>
        <v>409885091.39523375</v>
      </c>
      <c r="K157" s="164"/>
      <c r="M157" s="170"/>
    </row>
    <row r="158" spans="1:13" s="176" customFormat="1" ht="24.95" customHeight="1">
      <c r="A158" s="867"/>
      <c r="B158" s="243"/>
      <c r="C158" s="247" t="s">
        <v>1675</v>
      </c>
      <c r="D158" s="245"/>
      <c r="E158" s="245"/>
      <c r="F158" s="157"/>
      <c r="G158" s="158"/>
      <c r="H158" s="170"/>
      <c r="I158" s="245"/>
      <c r="K158" s="164"/>
      <c r="M158" s="170"/>
    </row>
    <row r="159" spans="1:13" s="176" customFormat="1" ht="24.95" customHeight="1">
      <c r="A159" s="867"/>
      <c r="B159" s="226" t="s">
        <v>541</v>
      </c>
      <c r="C159" s="227" t="s">
        <v>1676</v>
      </c>
      <c r="D159" s="228">
        <f>+D160+D191</f>
        <v>145520383.77000001</v>
      </c>
      <c r="E159" s="228">
        <f>+E160+E191</f>
        <v>0</v>
      </c>
      <c r="F159" s="238" t="s">
        <v>2123</v>
      </c>
      <c r="G159" s="169"/>
      <c r="H159" s="170"/>
      <c r="I159" s="228">
        <f>+I160+I191</f>
        <v>103720545.7456</v>
      </c>
      <c r="K159" s="164"/>
      <c r="M159" s="170"/>
    </row>
    <row r="160" spans="1:13" s="176" customFormat="1" ht="24.95" customHeight="1">
      <c r="A160" s="867"/>
      <c r="B160" s="221" t="s">
        <v>543</v>
      </c>
      <c r="C160" s="222" t="s">
        <v>1677</v>
      </c>
      <c r="D160" s="220">
        <f>+D161+D169+D173+D177+D178+D179+D180+D181+D182</f>
        <v>134350313.98000002</v>
      </c>
      <c r="E160" s="220">
        <f>+E161+E169+E173+E177+E178+E179+E180+E181+E182</f>
        <v>0</v>
      </c>
      <c r="F160" s="238" t="s">
        <v>2123</v>
      </c>
      <c r="G160" s="169"/>
      <c r="H160" s="170"/>
      <c r="I160" s="220">
        <f>+I161+I169+I173+I177+I178+I179+I180+I181+I182</f>
        <v>99676727.569600001</v>
      </c>
      <c r="K160" s="164"/>
      <c r="M160" s="170"/>
    </row>
    <row r="161" spans="1:13" s="176" customFormat="1" ht="24.95" customHeight="1">
      <c r="A161" s="867"/>
      <c r="B161" s="232" t="s">
        <v>545</v>
      </c>
      <c r="C161" s="233" t="s">
        <v>1678</v>
      </c>
      <c r="D161" s="234">
        <f>SUM(D162:D165)</f>
        <v>10209798.310000001</v>
      </c>
      <c r="E161" s="234">
        <f>SUM(E162:E165)</f>
        <v>0</v>
      </c>
      <c r="F161" s="238" t="s">
        <v>2123</v>
      </c>
      <c r="G161" s="169"/>
      <c r="H161" s="170"/>
      <c r="I161" s="234">
        <f>SUM(I162:I165)</f>
        <v>3999753.9000000004</v>
      </c>
      <c r="K161" s="164"/>
      <c r="M161" s="170"/>
    </row>
    <row r="162" spans="1:13" s="158" customFormat="1" ht="26.25" customHeight="1">
      <c r="A162" s="869"/>
      <c r="B162" s="177" t="s">
        <v>547</v>
      </c>
      <c r="C162" s="178" t="s">
        <v>1679</v>
      </c>
      <c r="D162" s="168">
        <f>+'Alimentazione CE Costi'!H6</f>
        <v>8695168.0800000001</v>
      </c>
      <c r="E162" s="168">
        <f>+'Alimentazione CE Costi'!I6</f>
        <v>0</v>
      </c>
      <c r="F162" s="157"/>
      <c r="H162" s="170"/>
      <c r="I162" s="168">
        <f>+'Alimentazione CE Costi'!L6</f>
        <v>2929373.04</v>
      </c>
      <c r="K162" s="164"/>
      <c r="M162" s="170"/>
    </row>
    <row r="163" spans="1:13" s="158" customFormat="1" ht="24.95" customHeight="1">
      <c r="A163" s="869"/>
      <c r="B163" s="177" t="s">
        <v>550</v>
      </c>
      <c r="C163" s="178" t="s">
        <v>1680</v>
      </c>
      <c r="D163" s="168">
        <f>+'Alimentazione CE Costi'!H7</f>
        <v>575263.43000000005</v>
      </c>
      <c r="E163" s="168">
        <f>+'Alimentazione CE Costi'!I7</f>
        <v>0</v>
      </c>
      <c r="F163" s="157"/>
      <c r="H163" s="170"/>
      <c r="I163" s="168">
        <f>+'Alimentazione CE Costi'!L7</f>
        <v>568089.24</v>
      </c>
      <c r="K163" s="164"/>
      <c r="M163" s="170"/>
    </row>
    <row r="164" spans="1:13" s="158" customFormat="1" ht="24.95" customHeight="1">
      <c r="A164" s="869"/>
      <c r="B164" s="177" t="s">
        <v>552</v>
      </c>
      <c r="C164" s="178" t="s">
        <v>1681</v>
      </c>
      <c r="D164" s="168">
        <f>+'Alimentazione CE Costi'!H8</f>
        <v>939366.8</v>
      </c>
      <c r="E164" s="168">
        <f>+'Alimentazione CE Costi'!I8</f>
        <v>0</v>
      </c>
      <c r="F164" s="157"/>
      <c r="H164" s="170"/>
      <c r="I164" s="168">
        <f>+'Alimentazione CE Costi'!L8</f>
        <v>502291.62000000005</v>
      </c>
      <c r="K164" s="164"/>
      <c r="M164" s="170"/>
    </row>
    <row r="165" spans="1:13" s="158" customFormat="1" ht="24.95" customHeight="1">
      <c r="A165" s="867"/>
      <c r="B165" s="235" t="s">
        <v>554</v>
      </c>
      <c r="C165" s="236" t="s">
        <v>1682</v>
      </c>
      <c r="D165" s="237">
        <f>SUM(D166:D168)</f>
        <v>0</v>
      </c>
      <c r="E165" s="237">
        <f>SUM(E166:E168)</f>
        <v>0</v>
      </c>
      <c r="F165" s="238" t="s">
        <v>2123</v>
      </c>
      <c r="G165" s="169"/>
      <c r="H165" s="170"/>
      <c r="I165" s="237">
        <f>SUM(I166:I168)</f>
        <v>0</v>
      </c>
      <c r="K165" s="164"/>
      <c r="M165" s="170"/>
    </row>
    <row r="166" spans="1:13" s="157" customFormat="1" ht="27" customHeight="1">
      <c r="A166" s="869" t="s">
        <v>1550</v>
      </c>
      <c r="B166" s="177" t="s">
        <v>556</v>
      </c>
      <c r="C166" s="178" t="s">
        <v>1683</v>
      </c>
      <c r="D166" s="168">
        <f>+'Alimentazione CE Costi'!H10</f>
        <v>0</v>
      </c>
      <c r="E166" s="168">
        <f>+'Alimentazione CE Costi'!I10</f>
        <v>0</v>
      </c>
      <c r="H166" s="170"/>
      <c r="I166" s="168">
        <f>+'Alimentazione CE Costi'!L10</f>
        <v>0</v>
      </c>
      <c r="K166" s="164"/>
      <c r="M166" s="170"/>
    </row>
    <row r="167" spans="1:13" s="157" customFormat="1" ht="26.25" customHeight="1">
      <c r="A167" s="869" t="s">
        <v>1595</v>
      </c>
      <c r="B167" s="177" t="s">
        <v>558</v>
      </c>
      <c r="C167" s="178" t="s">
        <v>1684</v>
      </c>
      <c r="D167" s="168">
        <f>+'Alimentazione CE Costi'!H11</f>
        <v>0</v>
      </c>
      <c r="E167" s="168">
        <f>+'Alimentazione CE Costi'!I11</f>
        <v>0</v>
      </c>
      <c r="H167" s="170"/>
      <c r="I167" s="168">
        <f>+'Alimentazione CE Costi'!L11</f>
        <v>0</v>
      </c>
      <c r="K167" s="164"/>
      <c r="M167" s="170"/>
    </row>
    <row r="168" spans="1:13" s="157" customFormat="1" ht="24.95" customHeight="1">
      <c r="A168" s="869"/>
      <c r="B168" s="177" t="s">
        <v>560</v>
      </c>
      <c r="C168" s="178" t="s">
        <v>1685</v>
      </c>
      <c r="D168" s="168">
        <f>+'Alimentazione CE Costi'!H12</f>
        <v>0</v>
      </c>
      <c r="E168" s="168">
        <f>+'Alimentazione CE Costi'!I12</f>
        <v>0</v>
      </c>
      <c r="H168" s="170"/>
      <c r="I168" s="168">
        <f>+'Alimentazione CE Costi'!L12</f>
        <v>0</v>
      </c>
      <c r="K168" s="164"/>
      <c r="M168" s="170"/>
    </row>
    <row r="169" spans="1:13" s="176" customFormat="1" ht="24.95" customHeight="1">
      <c r="A169" s="867"/>
      <c r="B169" s="232" t="s">
        <v>562</v>
      </c>
      <c r="C169" s="233" t="s">
        <v>1686</v>
      </c>
      <c r="D169" s="234">
        <f>SUM(D170:D172)</f>
        <v>0</v>
      </c>
      <c r="E169" s="234">
        <f>SUM(E170:E172)</f>
        <v>0</v>
      </c>
      <c r="F169" s="238" t="s">
        <v>2123</v>
      </c>
      <c r="G169" s="169"/>
      <c r="H169" s="170"/>
      <c r="I169" s="234">
        <f>SUM(I170:I172)</f>
        <v>0</v>
      </c>
      <c r="K169" s="164"/>
      <c r="M169" s="170"/>
    </row>
    <row r="170" spans="1:13" s="176" customFormat="1" ht="24.95" customHeight="1">
      <c r="A170" s="867" t="s">
        <v>1550</v>
      </c>
      <c r="B170" s="177" t="s">
        <v>564</v>
      </c>
      <c r="C170" s="178" t="s">
        <v>1687</v>
      </c>
      <c r="D170" s="168">
        <f>+'Alimentazione CE Costi'!H14</f>
        <v>0</v>
      </c>
      <c r="E170" s="168">
        <f>+'Alimentazione CE Costi'!I14</f>
        <v>0</v>
      </c>
      <c r="F170" s="157"/>
      <c r="G170" s="158"/>
      <c r="H170" s="170"/>
      <c r="I170" s="168">
        <f>+'Alimentazione CE Costi'!L14</f>
        <v>0</v>
      </c>
      <c r="K170" s="164"/>
      <c r="M170" s="170"/>
    </row>
    <row r="171" spans="1:13" s="176" customFormat="1" ht="35.25" customHeight="1">
      <c r="A171" s="867" t="s">
        <v>1595</v>
      </c>
      <c r="B171" s="177" t="s">
        <v>566</v>
      </c>
      <c r="C171" s="178" t="s">
        <v>1688</v>
      </c>
      <c r="D171" s="168">
        <f>+'Alimentazione CE Costi'!H15</f>
        <v>0</v>
      </c>
      <c r="E171" s="168">
        <f>+'Alimentazione CE Costi'!I15</f>
        <v>0</v>
      </c>
      <c r="F171" s="157"/>
      <c r="G171" s="158"/>
      <c r="H171" s="170"/>
      <c r="I171" s="168">
        <f>+'Alimentazione CE Costi'!L15</f>
        <v>0</v>
      </c>
      <c r="K171" s="164"/>
      <c r="M171" s="170"/>
    </row>
    <row r="172" spans="1:13" s="176" customFormat="1" ht="24.95" customHeight="1">
      <c r="A172" s="867"/>
      <c r="B172" s="177" t="s">
        <v>568</v>
      </c>
      <c r="C172" s="178" t="s">
        <v>1689</v>
      </c>
      <c r="D172" s="168">
        <f>+'Alimentazione CE Costi'!H16</f>
        <v>0</v>
      </c>
      <c r="E172" s="168">
        <f>+'Alimentazione CE Costi'!I16</f>
        <v>0</v>
      </c>
      <c r="F172" s="157"/>
      <c r="G172" s="158"/>
      <c r="H172" s="170"/>
      <c r="I172" s="168">
        <f>+'Alimentazione CE Costi'!L16</f>
        <v>0</v>
      </c>
      <c r="K172" s="164"/>
      <c r="M172" s="170"/>
    </row>
    <row r="173" spans="1:13" s="176" customFormat="1" ht="24.95" customHeight="1">
      <c r="A173" s="867"/>
      <c r="B173" s="232" t="s">
        <v>570</v>
      </c>
      <c r="C173" s="233" t="s">
        <v>1690</v>
      </c>
      <c r="D173" s="234">
        <f>SUM(D174:D176)</f>
        <v>39707863.530000001</v>
      </c>
      <c r="E173" s="234">
        <f>SUM(E174:E176)</f>
        <v>0</v>
      </c>
      <c r="F173" s="238" t="s">
        <v>2123</v>
      </c>
      <c r="G173" s="170"/>
      <c r="H173" s="170"/>
      <c r="I173" s="234">
        <f>SUM(I174:I176)</f>
        <v>33446650.554000005</v>
      </c>
      <c r="K173" s="164"/>
      <c r="M173" s="170"/>
    </row>
    <row r="174" spans="1:13" s="176" customFormat="1" ht="24.95" customHeight="1">
      <c r="A174" s="867"/>
      <c r="B174" s="177" t="s">
        <v>572</v>
      </c>
      <c r="C174" s="178" t="s">
        <v>1691</v>
      </c>
      <c r="D174" s="168">
        <f>+'Alimentazione CE Costi'!H18</f>
        <v>20768576.379999999</v>
      </c>
      <c r="E174" s="168">
        <f>+'Alimentazione CE Costi'!I18</f>
        <v>0</v>
      </c>
      <c r="F174" s="157"/>
      <c r="G174" s="158"/>
      <c r="H174" s="170"/>
      <c r="I174" s="168">
        <f>+'Alimentazione CE Costi'!L18</f>
        <v>16992987.704000004</v>
      </c>
      <c r="K174" s="164"/>
      <c r="M174" s="170"/>
    </row>
    <row r="175" spans="1:13" s="176" customFormat="1" ht="24.95" customHeight="1">
      <c r="A175" s="867"/>
      <c r="B175" s="177" t="s">
        <v>574</v>
      </c>
      <c r="C175" s="178" t="s">
        <v>1692</v>
      </c>
      <c r="D175" s="168">
        <f>+'Alimentazione CE Costi'!H19</f>
        <v>2786138.09</v>
      </c>
      <c r="E175" s="168">
        <f>+'Alimentazione CE Costi'!I19</f>
        <v>0</v>
      </c>
      <c r="F175" s="157"/>
      <c r="G175" s="158"/>
      <c r="H175" s="170"/>
      <c r="I175" s="168">
        <f>+'Alimentazione CE Costi'!L19</f>
        <v>2915738.3899999997</v>
      </c>
      <c r="K175" s="164"/>
      <c r="M175" s="170"/>
    </row>
    <row r="176" spans="1:13" s="176" customFormat="1" ht="24.95" customHeight="1">
      <c r="A176" s="867"/>
      <c r="B176" s="177" t="s">
        <v>576</v>
      </c>
      <c r="C176" s="178" t="s">
        <v>1693</v>
      </c>
      <c r="D176" s="168">
        <f>+'Alimentazione CE Costi'!H20</f>
        <v>16153149.060000001</v>
      </c>
      <c r="E176" s="168">
        <f>+'Alimentazione CE Costi'!I20</f>
        <v>0</v>
      </c>
      <c r="F176" s="157"/>
      <c r="G176" s="158"/>
      <c r="H176" s="170"/>
      <c r="I176" s="168">
        <f>+'Alimentazione CE Costi'!L20</f>
        <v>13537924.460000001</v>
      </c>
      <c r="K176" s="164"/>
      <c r="M176" s="170"/>
    </row>
    <row r="177" spans="1:13" s="176" customFormat="1" ht="24.95" customHeight="1">
      <c r="A177" s="867"/>
      <c r="B177" s="174" t="s">
        <v>578</v>
      </c>
      <c r="C177" s="175" t="s">
        <v>1694</v>
      </c>
      <c r="D177" s="188">
        <f>+'Alimentazione CE Costi'!H21</f>
        <v>114269.39</v>
      </c>
      <c r="E177" s="188">
        <f>+'Alimentazione CE Costi'!I21</f>
        <v>0</v>
      </c>
      <c r="F177" s="187"/>
      <c r="H177" s="170"/>
      <c r="I177" s="188">
        <f>+'Alimentazione CE Costi'!L21</f>
        <v>4253.03</v>
      </c>
      <c r="K177" s="164"/>
      <c r="M177" s="170"/>
    </row>
    <row r="178" spans="1:13" s="176" customFormat="1" ht="24.95" customHeight="1">
      <c r="A178" s="867"/>
      <c r="B178" s="174" t="s">
        <v>580</v>
      </c>
      <c r="C178" s="175" t="s">
        <v>1695</v>
      </c>
      <c r="D178" s="188">
        <f>+'Alimentazione CE Costi'!H22</f>
        <v>313172.95</v>
      </c>
      <c r="E178" s="188">
        <f>+'Alimentazione CE Costi'!I22</f>
        <v>0</v>
      </c>
      <c r="F178" s="187"/>
      <c r="H178" s="170"/>
      <c r="I178" s="188">
        <f>+'Alimentazione CE Costi'!L22</f>
        <v>0</v>
      </c>
      <c r="K178" s="164"/>
      <c r="M178" s="170"/>
    </row>
    <row r="179" spans="1:13" s="176" customFormat="1" ht="24.95" customHeight="1">
      <c r="A179" s="867"/>
      <c r="B179" s="174" t="s">
        <v>582</v>
      </c>
      <c r="C179" s="175" t="s">
        <v>1696</v>
      </c>
      <c r="D179" s="188">
        <f>+'Alimentazione CE Costi'!H23</f>
        <v>47976.99</v>
      </c>
      <c r="E179" s="188">
        <f>+'Alimentazione CE Costi'!I23</f>
        <v>0</v>
      </c>
      <c r="F179" s="187"/>
      <c r="H179" s="170"/>
      <c r="I179" s="188">
        <f>+'Alimentazione CE Costi'!L23</f>
        <v>3316.78</v>
      </c>
      <c r="K179" s="164"/>
      <c r="M179" s="170"/>
    </row>
    <row r="180" spans="1:13" s="176" customFormat="1" ht="24.95" customHeight="1">
      <c r="A180" s="867"/>
      <c r="B180" s="174" t="s">
        <v>584</v>
      </c>
      <c r="C180" s="175" t="s">
        <v>1697</v>
      </c>
      <c r="D180" s="188">
        <f>+'Alimentazione CE Costi'!H24</f>
        <v>1695.35</v>
      </c>
      <c r="E180" s="188">
        <f>+'Alimentazione CE Costi'!I24</f>
        <v>0</v>
      </c>
      <c r="F180" s="187"/>
      <c r="H180" s="170"/>
      <c r="I180" s="188">
        <f>+'Alimentazione CE Costi'!L24</f>
        <v>0</v>
      </c>
      <c r="K180" s="164"/>
      <c r="M180" s="170"/>
    </row>
    <row r="181" spans="1:13" s="176" customFormat="1" ht="24.95" customHeight="1">
      <c r="A181" s="867"/>
      <c r="B181" s="174" t="s">
        <v>586</v>
      </c>
      <c r="C181" s="175" t="s">
        <v>1698</v>
      </c>
      <c r="D181" s="188">
        <f>+'Alimentazione CE Costi'!H25</f>
        <v>1163713.83</v>
      </c>
      <c r="E181" s="188">
        <f>+'Alimentazione CE Costi'!I25</f>
        <v>0</v>
      </c>
      <c r="F181" s="187"/>
      <c r="H181" s="170"/>
      <c r="I181" s="188">
        <f>+'Alimentazione CE Costi'!L25</f>
        <v>789640.75400000007</v>
      </c>
      <c r="K181" s="164"/>
      <c r="M181" s="170"/>
    </row>
    <row r="182" spans="1:13" s="176" customFormat="1" ht="24.95" customHeight="1">
      <c r="A182" s="867" t="s">
        <v>1550</v>
      </c>
      <c r="B182" s="232" t="s">
        <v>588</v>
      </c>
      <c r="C182" s="233" t="s">
        <v>1699</v>
      </c>
      <c r="D182" s="234">
        <f>SUM(D183:D190)</f>
        <v>82791823.629999995</v>
      </c>
      <c r="E182" s="234">
        <f>SUM(E183:E190)</f>
        <v>0</v>
      </c>
      <c r="F182" s="238" t="s">
        <v>2123</v>
      </c>
      <c r="I182" s="234">
        <f>SUM(I183:I190)</f>
        <v>61433112.551599994</v>
      </c>
      <c r="K182" s="164"/>
      <c r="M182" s="170"/>
    </row>
    <row r="183" spans="1:13" s="187" customFormat="1" ht="24.95" customHeight="1">
      <c r="A183" s="867" t="s">
        <v>1550</v>
      </c>
      <c r="B183" s="174" t="s">
        <v>589</v>
      </c>
      <c r="C183" s="175" t="s">
        <v>1700</v>
      </c>
      <c r="D183" s="188">
        <f>+'Alimentazione CE Costi'!H28+'Alimentazione CE Costi'!H29+'Alimentazione CE Costi'!H30</f>
        <v>60219451.899999999</v>
      </c>
      <c r="E183" s="188">
        <f>+'Alimentazione CE Costi'!I28+'Alimentazione CE Costi'!I29+'Alimentazione CE Costi'!I30</f>
        <v>0</v>
      </c>
      <c r="I183" s="188">
        <f>+'Alimentazione CE Costi'!L28+'Alimentazione CE Costi'!L29+'Alimentazione CE Costi'!L30</f>
        <v>42758579.030000001</v>
      </c>
      <c r="K183" s="164"/>
      <c r="M183" s="170"/>
    </row>
    <row r="184" spans="1:13" s="187" customFormat="1" ht="24.95" customHeight="1">
      <c r="A184" s="873"/>
      <c r="B184" s="189"/>
      <c r="C184" s="190"/>
      <c r="D184" s="191"/>
      <c r="E184" s="191"/>
      <c r="I184" s="191"/>
      <c r="K184" s="164"/>
      <c r="M184" s="170"/>
    </row>
    <row r="185" spans="1:13" s="187" customFormat="1" ht="24.95" customHeight="1">
      <c r="A185" s="867" t="s">
        <v>1550</v>
      </c>
      <c r="B185" s="174" t="s">
        <v>590</v>
      </c>
      <c r="C185" s="175" t="s">
        <v>1701</v>
      </c>
      <c r="D185" s="188">
        <f>+'Alimentazione CE Costi'!H32+'Alimentazione CE Costi'!H33+'Alimentazione CE Costi'!H34</f>
        <v>17883558.280000001</v>
      </c>
      <c r="E185" s="188">
        <f>+'Alimentazione CE Costi'!I32+'Alimentazione CE Costi'!I33+'Alimentazione CE Costi'!I34</f>
        <v>0</v>
      </c>
      <c r="I185" s="188">
        <f>+'Alimentazione CE Costi'!L32+'Alimentazione CE Costi'!L33+'Alimentazione CE Costi'!L34</f>
        <v>17613779.491799995</v>
      </c>
      <c r="K185" s="164"/>
      <c r="M185" s="170"/>
    </row>
    <row r="186" spans="1:13" s="187" customFormat="1" ht="24.95" customHeight="1">
      <c r="A186" s="867" t="s">
        <v>1550</v>
      </c>
      <c r="B186" s="174" t="s">
        <v>591</v>
      </c>
      <c r="C186" s="175" t="s">
        <v>1702</v>
      </c>
      <c r="D186" s="188">
        <f>+'Alimentazione CE Costi'!H35</f>
        <v>664683.64</v>
      </c>
      <c r="E186" s="188">
        <f>+'Alimentazione CE Costi'!I35</f>
        <v>0</v>
      </c>
      <c r="I186" s="188">
        <f>+'Alimentazione CE Costi'!L35</f>
        <v>168556.21180000002</v>
      </c>
      <c r="K186" s="164"/>
      <c r="M186" s="170"/>
    </row>
    <row r="187" spans="1:13" s="187" customFormat="1" ht="24.95" customHeight="1">
      <c r="A187" s="867" t="s">
        <v>1550</v>
      </c>
      <c r="B187" s="174" t="s">
        <v>592</v>
      </c>
      <c r="C187" s="175" t="s">
        <v>1703</v>
      </c>
      <c r="D187" s="188">
        <f>+'Alimentazione CE Costi'!H36</f>
        <v>3201837.32</v>
      </c>
      <c r="E187" s="188">
        <f>+'Alimentazione CE Costi'!I36</f>
        <v>0</v>
      </c>
      <c r="I187" s="188">
        <f>+'Alimentazione CE Costi'!L36</f>
        <v>81439.37</v>
      </c>
      <c r="K187" s="164"/>
      <c r="M187" s="170"/>
    </row>
    <row r="188" spans="1:13" s="187" customFormat="1" ht="24.95" customHeight="1">
      <c r="A188" s="867" t="s">
        <v>1550</v>
      </c>
      <c r="B188" s="174" t="s">
        <v>593</v>
      </c>
      <c r="C188" s="175" t="s">
        <v>1704</v>
      </c>
      <c r="D188" s="188">
        <f>+'Alimentazione CE Costi'!H37</f>
        <v>0</v>
      </c>
      <c r="E188" s="188">
        <f>+'Alimentazione CE Costi'!I37</f>
        <v>0</v>
      </c>
      <c r="I188" s="188">
        <f>+'Alimentazione CE Costi'!L37</f>
        <v>0</v>
      </c>
      <c r="K188" s="164"/>
      <c r="M188" s="170"/>
    </row>
    <row r="189" spans="1:13" s="187" customFormat="1" ht="24.95" customHeight="1">
      <c r="A189" s="867" t="s">
        <v>1550</v>
      </c>
      <c r="B189" s="174" t="s">
        <v>594</v>
      </c>
      <c r="C189" s="175" t="s">
        <v>1705</v>
      </c>
      <c r="D189" s="188">
        <f>+'Alimentazione CE Costi'!H38</f>
        <v>9365.64</v>
      </c>
      <c r="E189" s="188">
        <f>+'Alimentazione CE Costi'!I38</f>
        <v>0</v>
      </c>
      <c r="I189" s="188">
        <f>+'Alimentazione CE Costi'!L38</f>
        <v>0</v>
      </c>
      <c r="K189" s="164"/>
      <c r="M189" s="170"/>
    </row>
    <row r="190" spans="1:13" s="187" customFormat="1" ht="24.95" customHeight="1">
      <c r="A190" s="867" t="s">
        <v>1550</v>
      </c>
      <c r="B190" s="174" t="s">
        <v>596</v>
      </c>
      <c r="C190" s="175" t="s">
        <v>1706</v>
      </c>
      <c r="D190" s="188">
        <f>+'Alimentazione CE Costi'!H39</f>
        <v>812926.85</v>
      </c>
      <c r="E190" s="188">
        <f>+'Alimentazione CE Costi'!I39</f>
        <v>0</v>
      </c>
      <c r="I190" s="188">
        <f>+'Alimentazione CE Costi'!L39</f>
        <v>810758.44799999997</v>
      </c>
      <c r="K190" s="164"/>
      <c r="M190" s="170"/>
    </row>
    <row r="191" spans="1:13" s="176" customFormat="1" ht="24.95" customHeight="1">
      <c r="A191" s="867"/>
      <c r="B191" s="221" t="s">
        <v>598</v>
      </c>
      <c r="C191" s="222" t="s">
        <v>1707</v>
      </c>
      <c r="D191" s="220">
        <f>SUM(D192:D198)</f>
        <v>11170069.789999999</v>
      </c>
      <c r="E191" s="220">
        <f>SUM(E192:E198)</f>
        <v>0</v>
      </c>
      <c r="F191" s="238" t="s">
        <v>2123</v>
      </c>
      <c r="G191" s="169"/>
      <c r="H191" s="170"/>
      <c r="I191" s="220">
        <f>SUM(I192:I198)</f>
        <v>4043818.176</v>
      </c>
      <c r="K191" s="164"/>
      <c r="M191" s="170"/>
    </row>
    <row r="192" spans="1:13" s="176" customFormat="1" ht="24.95" customHeight="1">
      <c r="A192" s="867"/>
      <c r="B192" s="174" t="s">
        <v>600</v>
      </c>
      <c r="C192" s="175" t="s">
        <v>1708</v>
      </c>
      <c r="D192" s="168">
        <f>+'Alimentazione CE Costi'!H41</f>
        <v>52098.42</v>
      </c>
      <c r="E192" s="168">
        <f>+'Alimentazione CE Costi'!I41</f>
        <v>0</v>
      </c>
      <c r="F192" s="157"/>
      <c r="G192" s="158"/>
      <c r="H192" s="170"/>
      <c r="I192" s="168">
        <f>+'Alimentazione CE Costi'!L41</f>
        <v>24440.43</v>
      </c>
      <c r="K192" s="164"/>
      <c r="M192" s="170"/>
    </row>
    <row r="193" spans="1:13" s="176" customFormat="1" ht="24.95" customHeight="1">
      <c r="A193" s="867"/>
      <c r="B193" s="174" t="s">
        <v>602</v>
      </c>
      <c r="C193" s="175" t="s">
        <v>1709</v>
      </c>
      <c r="D193" s="168">
        <f>+'Alimentazione CE Costi'!H42</f>
        <v>2258654.13</v>
      </c>
      <c r="E193" s="168">
        <f>+'Alimentazione CE Costi'!I42</f>
        <v>0</v>
      </c>
      <c r="F193" s="157"/>
      <c r="G193" s="158"/>
      <c r="H193" s="170"/>
      <c r="I193" s="168">
        <f>+'Alimentazione CE Costi'!L42</f>
        <v>246033.326</v>
      </c>
      <c r="K193" s="164"/>
      <c r="M193" s="170"/>
    </row>
    <row r="194" spans="1:13" s="176" customFormat="1" ht="24.95" customHeight="1">
      <c r="A194" s="867"/>
      <c r="B194" s="174" t="s">
        <v>604</v>
      </c>
      <c r="C194" s="175" t="s">
        <v>1710</v>
      </c>
      <c r="D194" s="168">
        <f>+'Alimentazione CE Costi'!H43</f>
        <v>353363.55</v>
      </c>
      <c r="E194" s="168">
        <f>+'Alimentazione CE Costi'!I43</f>
        <v>0</v>
      </c>
      <c r="F194" s="157"/>
      <c r="G194" s="158"/>
      <c r="H194" s="170"/>
      <c r="I194" s="168">
        <f>+'Alimentazione CE Costi'!L43</f>
        <v>99762.880000000005</v>
      </c>
      <c r="K194" s="164"/>
      <c r="M194" s="170"/>
    </row>
    <row r="195" spans="1:13" s="176" customFormat="1" ht="24.95" customHeight="1">
      <c r="A195" s="867"/>
      <c r="B195" s="174" t="s">
        <v>606</v>
      </c>
      <c r="C195" s="175" t="s">
        <v>1711</v>
      </c>
      <c r="D195" s="168">
        <f>+ROUND(SUM('Alimentazione CE Costi'!H45:H47),2)</f>
        <v>642893.71</v>
      </c>
      <c r="E195" s="168">
        <f>+ROUND(SUM('Alimentazione CE Costi'!I45:I47),2)</f>
        <v>0</v>
      </c>
      <c r="F195" s="157"/>
      <c r="G195" s="158"/>
      <c r="H195" s="170"/>
      <c r="I195" s="168">
        <f>+ROUND(SUM('Alimentazione CE Costi'!L45:L47),2)</f>
        <v>236665.08</v>
      </c>
      <c r="K195" s="164"/>
      <c r="M195" s="170"/>
    </row>
    <row r="196" spans="1:13" s="176" customFormat="1" ht="24.95" customHeight="1">
      <c r="A196" s="867"/>
      <c r="B196" s="174" t="s">
        <v>611</v>
      </c>
      <c r="C196" s="175" t="s">
        <v>1712</v>
      </c>
      <c r="D196" s="168">
        <f>+ROUND(SUM('Alimentazione CE Costi'!H49:H50),2)</f>
        <v>1249119.43</v>
      </c>
      <c r="E196" s="168">
        <f>+ROUND(SUM('Alimentazione CE Costi'!I49:I50),2)</f>
        <v>0</v>
      </c>
      <c r="F196" s="157"/>
      <c r="G196" s="158"/>
      <c r="H196" s="170"/>
      <c r="I196" s="168">
        <f>+ROUND(SUM('Alimentazione CE Costi'!L49:L50),2)</f>
        <v>875541.55</v>
      </c>
      <c r="K196" s="164"/>
      <c r="M196" s="170"/>
    </row>
    <row r="197" spans="1:13" s="176" customFormat="1" ht="24.95" customHeight="1">
      <c r="A197" s="867"/>
      <c r="B197" s="174" t="s">
        <v>615</v>
      </c>
      <c r="C197" s="175" t="s">
        <v>1713</v>
      </c>
      <c r="D197" s="168">
        <f>+ROUND('Alimentazione CE Costi'!H51,2)</f>
        <v>183564.93</v>
      </c>
      <c r="E197" s="168">
        <f>+ROUND('Alimentazione CE Costi'!I51,2)</f>
        <v>0</v>
      </c>
      <c r="F197" s="157"/>
      <c r="G197" s="158"/>
      <c r="H197" s="170"/>
      <c r="I197" s="168">
        <f>+ROUND('Alimentazione CE Costi'!L51,2)</f>
        <v>67964.38</v>
      </c>
      <c r="K197" s="164"/>
      <c r="M197" s="170"/>
    </row>
    <row r="198" spans="1:13" s="176" customFormat="1" ht="24.95" customHeight="1">
      <c r="A198" s="867" t="s">
        <v>1550</v>
      </c>
      <c r="B198" s="174" t="s">
        <v>617</v>
      </c>
      <c r="C198" s="175" t="s">
        <v>1714</v>
      </c>
      <c r="D198" s="168">
        <f>+ROUND(SUM('Alimentazione CE Costi'!H53:H58),2)</f>
        <v>6430375.6200000001</v>
      </c>
      <c r="E198" s="168">
        <f>+ROUND(SUM('Alimentazione CE Costi'!I53:I58),2)</f>
        <v>0</v>
      </c>
      <c r="F198" s="157"/>
      <c r="G198" s="158"/>
      <c r="H198" s="170"/>
      <c r="I198" s="168">
        <f>+ROUND(SUM('Alimentazione CE Costi'!L53:L58),2)</f>
        <v>2493410.5299999998</v>
      </c>
      <c r="K198" s="164"/>
      <c r="M198" s="170"/>
    </row>
    <row r="199" spans="1:13" s="176" customFormat="1" ht="24.95" customHeight="1">
      <c r="A199" s="867"/>
      <c r="B199" s="226" t="s">
        <v>620</v>
      </c>
      <c r="C199" s="227" t="s">
        <v>1715</v>
      </c>
      <c r="D199" s="228">
        <f>+D200+D330</f>
        <v>363447969.97000003</v>
      </c>
      <c r="E199" s="228">
        <f>+E200+E330</f>
        <v>0</v>
      </c>
      <c r="F199" s="238" t="s">
        <v>2123</v>
      </c>
      <c r="G199" s="169"/>
      <c r="H199" s="170"/>
      <c r="I199" s="228">
        <f>+I200+I330</f>
        <v>58952857.552000001</v>
      </c>
      <c r="K199" s="164"/>
      <c r="M199" s="170"/>
    </row>
    <row r="200" spans="1:13" s="176" customFormat="1" ht="24.95" customHeight="1">
      <c r="A200" s="867"/>
      <c r="B200" s="221" t="s">
        <v>622</v>
      </c>
      <c r="C200" s="222" t="s">
        <v>1716</v>
      </c>
      <c r="D200" s="220">
        <f>+D201+D209+D213+D232+D238+D243+D248+D258+D264+D271+D277+D282+D291+D299+D307+D321+D329</f>
        <v>299520009.21000004</v>
      </c>
      <c r="E200" s="220">
        <f>+E201+E209+E213+E232+E238+E243+E248+E258+E264+E271+E277+E282+E291+E299+E307+E321+E329</f>
        <v>0</v>
      </c>
      <c r="F200" s="238" t="s">
        <v>2123</v>
      </c>
      <c r="G200" s="169"/>
      <c r="H200" s="170"/>
      <c r="I200" s="220">
        <f>+I201+I209+I213+I232+I238+I243+I248+I258+I264+I271+I277+I282+I291+I299+I307+I321+I329</f>
        <v>12666185.386</v>
      </c>
      <c r="K200" s="164"/>
      <c r="M200" s="170"/>
    </row>
    <row r="201" spans="1:13" s="176" customFormat="1" ht="24.95" customHeight="1">
      <c r="A201" s="867"/>
      <c r="B201" s="248" t="s">
        <v>624</v>
      </c>
      <c r="C201" s="249" t="s">
        <v>1717</v>
      </c>
      <c r="D201" s="234">
        <f>+D202+D207+D208</f>
        <v>38421526.399999999</v>
      </c>
      <c r="E201" s="234">
        <f>+E202+E207+E208</f>
        <v>0</v>
      </c>
      <c r="F201" s="238" t="s">
        <v>2123</v>
      </c>
      <c r="G201" s="169"/>
      <c r="H201" s="170"/>
      <c r="I201" s="234">
        <f>+I202+I207+I208</f>
        <v>0</v>
      </c>
      <c r="K201" s="164"/>
      <c r="M201" s="170"/>
    </row>
    <row r="202" spans="1:13" s="176" customFormat="1" ht="24.95" customHeight="1">
      <c r="A202" s="867"/>
      <c r="B202" s="239" t="s">
        <v>626</v>
      </c>
      <c r="C202" s="240" t="s">
        <v>1718</v>
      </c>
      <c r="D202" s="237">
        <f>SUM(D203:D206)</f>
        <v>38284628.399999999</v>
      </c>
      <c r="E202" s="237">
        <f>SUM(E203:E206)</f>
        <v>0</v>
      </c>
      <c r="F202" s="238" t="s">
        <v>2123</v>
      </c>
      <c r="G202" s="169"/>
      <c r="H202" s="170"/>
      <c r="I202" s="237">
        <f>SUM(I203:I206)</f>
        <v>0</v>
      </c>
      <c r="K202" s="164"/>
      <c r="M202" s="170"/>
    </row>
    <row r="203" spans="1:13" s="176" customFormat="1" ht="24.95" customHeight="1">
      <c r="A203" s="867"/>
      <c r="B203" s="174" t="s">
        <v>628</v>
      </c>
      <c r="C203" s="175" t="s">
        <v>1719</v>
      </c>
      <c r="D203" s="168">
        <f>+ROUND(SUM('Alimentazione CE Costi'!H64:H74),2)</f>
        <v>28441220.050000001</v>
      </c>
      <c r="E203" s="168">
        <f>+ROUND(SUM('Alimentazione CE Costi'!I64:I74),2)</f>
        <v>0</v>
      </c>
      <c r="F203" s="157"/>
      <c r="G203" s="158"/>
      <c r="H203" s="170"/>
      <c r="I203" s="168">
        <f>+ROUND(SUM('Alimentazione CE Costi'!L64:L74),2)</f>
        <v>0</v>
      </c>
      <c r="K203" s="164"/>
      <c r="M203" s="170"/>
    </row>
    <row r="204" spans="1:13" s="176" customFormat="1" ht="24.95" customHeight="1">
      <c r="A204" s="867"/>
      <c r="B204" s="174" t="s">
        <v>641</v>
      </c>
      <c r="C204" s="175" t="s">
        <v>1720</v>
      </c>
      <c r="D204" s="168">
        <f>+ROUND(SUM('Alimentazione CE Costi'!H76:H86),2)</f>
        <v>4992825.09</v>
      </c>
      <c r="E204" s="168">
        <f>+ROUND(SUM('Alimentazione CE Costi'!I76:I86),2)</f>
        <v>0</v>
      </c>
      <c r="F204" s="157"/>
      <c r="G204" s="158"/>
      <c r="H204" s="170"/>
      <c r="I204" s="168">
        <f>+ROUND(SUM('Alimentazione CE Costi'!L76:L86),2)</f>
        <v>0</v>
      </c>
      <c r="K204" s="164"/>
      <c r="M204" s="170"/>
    </row>
    <row r="205" spans="1:13" s="176" customFormat="1" ht="24.95" customHeight="1">
      <c r="A205" s="867"/>
      <c r="B205" s="174" t="s">
        <v>643</v>
      </c>
      <c r="C205" s="175" t="s">
        <v>1721</v>
      </c>
      <c r="D205" s="168">
        <f>+ROUND(SUM('Alimentazione CE Costi'!H88:H101),2)</f>
        <v>4226993.6500000004</v>
      </c>
      <c r="E205" s="168">
        <f>+ROUND(SUM('Alimentazione CE Costi'!I88:I101),2)</f>
        <v>0</v>
      </c>
      <c r="F205" s="157"/>
      <c r="G205" s="158"/>
      <c r="H205" s="170"/>
      <c r="I205" s="168">
        <f>+ROUND(SUM('Alimentazione CE Costi'!L88:L101),2)</f>
        <v>0</v>
      </c>
      <c r="K205" s="164"/>
      <c r="M205" s="170"/>
    </row>
    <row r="206" spans="1:13" s="176" customFormat="1" ht="24.95" customHeight="1">
      <c r="A206" s="867"/>
      <c r="B206" s="174" t="s">
        <v>659</v>
      </c>
      <c r="C206" s="175" t="s">
        <v>1722</v>
      </c>
      <c r="D206" s="168">
        <f>+ROUND(SUM('Alimentazione CE Costi'!H103:H110),2)</f>
        <v>623589.61</v>
      </c>
      <c r="E206" s="168">
        <f>+ROUND(SUM('Alimentazione CE Costi'!I103:I110),2)</f>
        <v>0</v>
      </c>
      <c r="F206" s="157"/>
      <c r="G206" s="158"/>
      <c r="H206" s="170"/>
      <c r="I206" s="168">
        <f>+ROUND(SUM('Alimentazione CE Costi'!L103:L110),2)</f>
        <v>0</v>
      </c>
      <c r="K206" s="164"/>
      <c r="M206" s="170"/>
    </row>
    <row r="207" spans="1:13" s="176" customFormat="1" ht="24.95" customHeight="1">
      <c r="A207" s="867" t="s">
        <v>1550</v>
      </c>
      <c r="B207" s="174" t="s">
        <v>663</v>
      </c>
      <c r="C207" s="175" t="s">
        <v>1723</v>
      </c>
      <c r="D207" s="168">
        <f>+'Alimentazione CE Costi'!H111</f>
        <v>0</v>
      </c>
      <c r="E207" s="168">
        <f>+'Alimentazione CE Costi'!I111</f>
        <v>0</v>
      </c>
      <c r="F207" s="157"/>
      <c r="G207" s="158"/>
      <c r="H207" s="170"/>
      <c r="I207" s="168">
        <f>+'Alimentazione CE Costi'!L111</f>
        <v>0</v>
      </c>
      <c r="K207" s="164"/>
      <c r="M207" s="170"/>
    </row>
    <row r="208" spans="1:13" s="176" customFormat="1" ht="24.95" customHeight="1">
      <c r="A208" s="867" t="s">
        <v>1595</v>
      </c>
      <c r="B208" s="174" t="s">
        <v>665</v>
      </c>
      <c r="C208" s="175" t="s">
        <v>1724</v>
      </c>
      <c r="D208" s="168">
        <f>+'Alimentazione CE Costi'!H112</f>
        <v>136898</v>
      </c>
      <c r="E208" s="168">
        <f>+'Alimentazione CE Costi'!I112</f>
        <v>0</v>
      </c>
      <c r="F208" s="157"/>
      <c r="G208" s="158"/>
      <c r="H208" s="170"/>
      <c r="I208" s="168">
        <f>+'Alimentazione CE Costi'!L112</f>
        <v>0</v>
      </c>
      <c r="K208" s="164"/>
      <c r="M208" s="170"/>
    </row>
    <row r="209" spans="1:13" s="176" customFormat="1" ht="24.95" customHeight="1">
      <c r="A209" s="867"/>
      <c r="B209" s="248" t="s">
        <v>667</v>
      </c>
      <c r="C209" s="249" t="s">
        <v>1725</v>
      </c>
      <c r="D209" s="234">
        <f>+D210+D211+D212</f>
        <v>51489693.07</v>
      </c>
      <c r="E209" s="234">
        <f>+E210+E211+E212</f>
        <v>0</v>
      </c>
      <c r="F209" s="238" t="s">
        <v>2123</v>
      </c>
      <c r="G209" s="169"/>
      <c r="H209" s="170"/>
      <c r="I209" s="234">
        <f>+I210+I211+I212</f>
        <v>0</v>
      </c>
      <c r="K209" s="164"/>
      <c r="M209" s="170"/>
    </row>
    <row r="210" spans="1:13" s="176" customFormat="1" ht="24.95" customHeight="1">
      <c r="A210" s="867"/>
      <c r="B210" s="174" t="s">
        <v>668</v>
      </c>
      <c r="C210" s="175" t="s">
        <v>1726</v>
      </c>
      <c r="D210" s="168">
        <f>+'Alimentazione CE Costi'!H115+'Alimentazione CE Costi'!H116</f>
        <v>51138211.07</v>
      </c>
      <c r="E210" s="168">
        <f>+'Alimentazione CE Costi'!I115+'Alimentazione CE Costi'!I116</f>
        <v>0</v>
      </c>
      <c r="F210" s="157"/>
      <c r="G210" s="158"/>
      <c r="H210" s="170"/>
      <c r="I210" s="168">
        <f>+'Alimentazione CE Costi'!L115+'Alimentazione CE Costi'!L116</f>
        <v>0</v>
      </c>
      <c r="K210" s="164"/>
      <c r="M210" s="170"/>
    </row>
    <row r="211" spans="1:13" s="176" customFormat="1" ht="24.95" customHeight="1">
      <c r="A211" s="867" t="s">
        <v>1550</v>
      </c>
      <c r="B211" s="174" t="s">
        <v>672</v>
      </c>
      <c r="C211" s="175" t="s">
        <v>1727</v>
      </c>
      <c r="D211" s="168">
        <f>+'Alimentazione CE Costi'!H117</f>
        <v>0</v>
      </c>
      <c r="E211" s="168">
        <f>+'Alimentazione CE Costi'!I117</f>
        <v>0</v>
      </c>
      <c r="F211" s="157"/>
      <c r="G211" s="158"/>
      <c r="H211" s="170"/>
      <c r="I211" s="168">
        <f>+'Alimentazione CE Costi'!L117</f>
        <v>0</v>
      </c>
      <c r="K211" s="164"/>
      <c r="M211" s="170"/>
    </row>
    <row r="212" spans="1:13" s="158" customFormat="1" ht="24.95" customHeight="1">
      <c r="A212" s="869" t="s">
        <v>1595</v>
      </c>
      <c r="B212" s="174" t="s">
        <v>674</v>
      </c>
      <c r="C212" s="175" t="s">
        <v>1728</v>
      </c>
      <c r="D212" s="168">
        <f>+'Alimentazione CE Costi'!H118</f>
        <v>351482</v>
      </c>
      <c r="E212" s="168">
        <f>+'Alimentazione CE Costi'!I118</f>
        <v>0</v>
      </c>
      <c r="F212" s="157"/>
      <c r="H212" s="170"/>
      <c r="I212" s="168">
        <f>+'Alimentazione CE Costi'!L118</f>
        <v>0</v>
      </c>
      <c r="K212" s="164"/>
      <c r="M212" s="170"/>
    </row>
    <row r="213" spans="1:13" s="158" customFormat="1" ht="24.95" customHeight="1">
      <c r="A213" s="869"/>
      <c r="B213" s="248" t="s">
        <v>676</v>
      </c>
      <c r="C213" s="249" t="s">
        <v>1729</v>
      </c>
      <c r="D213" s="234">
        <f>+D214+D215+D216+D217+D218+D219+D220+D221+D230+D231</f>
        <v>35284659.359999999</v>
      </c>
      <c r="E213" s="234">
        <f>+E214+E215+E216+E217+E218+E219+E220+E221+E230+E231</f>
        <v>0</v>
      </c>
      <c r="F213" s="238" t="s">
        <v>2123</v>
      </c>
      <c r="G213" s="169"/>
      <c r="H213" s="170"/>
      <c r="I213" s="234">
        <f>+I214+I215+I216+I217+I218+I219+I220+I221+I230+I231</f>
        <v>745840.86</v>
      </c>
      <c r="K213" s="164"/>
      <c r="M213" s="170"/>
    </row>
    <row r="214" spans="1:13" s="158" customFormat="1" ht="24.95" customHeight="1">
      <c r="A214" s="874" t="s">
        <v>1550</v>
      </c>
      <c r="B214" s="174" t="s">
        <v>678</v>
      </c>
      <c r="C214" s="175" t="s">
        <v>1730</v>
      </c>
      <c r="D214" s="168">
        <f>+'Alimentazione CE Costi'!H121+'Alimentazione CE Costi'!H122</f>
        <v>10410898.550000001</v>
      </c>
      <c r="E214" s="168">
        <f>+'Alimentazione CE Costi'!I121+'Alimentazione CE Costi'!I122</f>
        <v>0</v>
      </c>
      <c r="F214" s="157"/>
      <c r="H214" s="170"/>
      <c r="I214" s="168">
        <f>+'Alimentazione CE Costi'!L121+'Alimentazione CE Costi'!L122</f>
        <v>659848.24</v>
      </c>
      <c r="K214" s="164"/>
      <c r="M214" s="170"/>
    </row>
    <row r="215" spans="1:13" s="157" customFormat="1" ht="24.95" customHeight="1">
      <c r="A215" s="874" t="s">
        <v>1550</v>
      </c>
      <c r="B215" s="174" t="s">
        <v>682</v>
      </c>
      <c r="C215" s="175" t="s">
        <v>1731</v>
      </c>
      <c r="D215" s="168">
        <f>+'Alimentazione CE Costi'!H123</f>
        <v>0</v>
      </c>
      <c r="E215" s="168">
        <f>+'Alimentazione CE Costi'!I123</f>
        <v>0</v>
      </c>
      <c r="H215" s="170"/>
      <c r="I215" s="168">
        <f>+'Alimentazione CE Costi'!L123</f>
        <v>0</v>
      </c>
      <c r="K215" s="164"/>
      <c r="M215" s="170"/>
    </row>
    <row r="216" spans="1:13" s="158" customFormat="1" ht="24.95" customHeight="1">
      <c r="A216" s="869"/>
      <c r="B216" s="174" t="s">
        <v>684</v>
      </c>
      <c r="C216" s="175" t="s">
        <v>1732</v>
      </c>
      <c r="D216" s="168">
        <f>+'Alimentazione CE Costi'!H124</f>
        <v>0</v>
      </c>
      <c r="E216" s="168">
        <f>+'Alimentazione CE Costi'!I124</f>
        <v>0</v>
      </c>
      <c r="F216" s="157"/>
      <c r="H216" s="170"/>
      <c r="I216" s="168">
        <f>+'Alimentazione CE Costi'!L124</f>
        <v>0</v>
      </c>
      <c r="K216" s="164"/>
      <c r="M216" s="170"/>
    </row>
    <row r="217" spans="1:13" s="157" customFormat="1" ht="24.95" customHeight="1">
      <c r="A217" s="869"/>
      <c r="B217" s="174" t="s">
        <v>686</v>
      </c>
      <c r="C217" s="175" t="s">
        <v>1733</v>
      </c>
      <c r="D217" s="168">
        <f>+'Alimentazione CE Costi'!H125</f>
        <v>0</v>
      </c>
      <c r="E217" s="168">
        <f>+'Alimentazione CE Costi'!I125</f>
        <v>0</v>
      </c>
      <c r="H217" s="170"/>
      <c r="I217" s="168">
        <f>+'Alimentazione CE Costi'!L125</f>
        <v>0</v>
      </c>
      <c r="K217" s="164"/>
      <c r="M217" s="170"/>
    </row>
    <row r="218" spans="1:13" s="158" customFormat="1" ht="24.95" customHeight="1">
      <c r="A218" s="869" t="s">
        <v>1595</v>
      </c>
      <c r="B218" s="174" t="s">
        <v>687</v>
      </c>
      <c r="C218" s="175" t="s">
        <v>1734</v>
      </c>
      <c r="D218" s="168">
        <f>+'Alimentazione CE Costi'!H127+'Alimentazione CE Costi'!H128</f>
        <v>4845840</v>
      </c>
      <c r="E218" s="168">
        <f>+'Alimentazione CE Costi'!I127+'Alimentazione CE Costi'!I128</f>
        <v>0</v>
      </c>
      <c r="F218" s="157"/>
      <c r="H218" s="170"/>
      <c r="I218" s="168">
        <f>+'Alimentazione CE Costi'!L127+'Alimentazione CE Costi'!L128</f>
        <v>85149.260000000009</v>
      </c>
      <c r="K218" s="164"/>
      <c r="M218" s="170"/>
    </row>
    <row r="219" spans="1:13" s="157" customFormat="1" ht="24.95" customHeight="1">
      <c r="A219" s="869" t="s">
        <v>1595</v>
      </c>
      <c r="B219" s="174" t="s">
        <v>691</v>
      </c>
      <c r="C219" s="175" t="s">
        <v>1735</v>
      </c>
      <c r="D219" s="168">
        <f>+'Alimentazione CE Costi'!H129</f>
        <v>0</v>
      </c>
      <c r="E219" s="168">
        <f>+'Alimentazione CE Costi'!I129</f>
        <v>0</v>
      </c>
      <c r="H219" s="170"/>
      <c r="I219" s="168">
        <f>+'Alimentazione CE Costi'!L129</f>
        <v>0</v>
      </c>
      <c r="K219" s="164"/>
      <c r="M219" s="170"/>
    </row>
    <row r="220" spans="1:13" s="158" customFormat="1" ht="24.95" customHeight="1">
      <c r="A220" s="869"/>
      <c r="B220" s="174" t="s">
        <v>693</v>
      </c>
      <c r="C220" s="175" t="s">
        <v>1736</v>
      </c>
      <c r="D220" s="168">
        <f>+ROUND(SUM('Alimentazione CE Costi'!H131:H137),2)</f>
        <v>2692044.84</v>
      </c>
      <c r="E220" s="168">
        <f>+ROUND(SUM('Alimentazione CE Costi'!I131:I137),2)</f>
        <v>0</v>
      </c>
      <c r="F220" s="157"/>
      <c r="H220" s="170"/>
      <c r="I220" s="168">
        <f>+ROUND(SUM('Alimentazione CE Costi'!L131:L137),2)</f>
        <v>0</v>
      </c>
      <c r="K220" s="164"/>
      <c r="M220" s="170"/>
    </row>
    <row r="221" spans="1:13" s="158" customFormat="1" ht="24.95" customHeight="1">
      <c r="A221" s="869"/>
      <c r="B221" s="239" t="s">
        <v>697</v>
      </c>
      <c r="C221" s="240" t="s">
        <v>1737</v>
      </c>
      <c r="D221" s="237">
        <f>SUM(D222:D229)</f>
        <v>17245602.469999999</v>
      </c>
      <c r="E221" s="237">
        <f>SUM(E222:E229)</f>
        <v>0</v>
      </c>
      <c r="F221" s="238" t="s">
        <v>2123</v>
      </c>
      <c r="G221" s="169"/>
      <c r="H221" s="170"/>
      <c r="I221" s="237">
        <f>SUM(I222:I229)</f>
        <v>843.36</v>
      </c>
      <c r="K221" s="164"/>
      <c r="M221" s="170"/>
    </row>
    <row r="222" spans="1:13" s="158" customFormat="1" ht="24.95" customHeight="1">
      <c r="A222" s="869"/>
      <c r="B222" s="177" t="s">
        <v>699</v>
      </c>
      <c r="C222" s="178" t="s">
        <v>1738</v>
      </c>
      <c r="D222" s="168">
        <f>+'Alimentazione CE Costi'!H139</f>
        <v>0</v>
      </c>
      <c r="E222" s="168">
        <f>+'Alimentazione CE Costi'!I139</f>
        <v>0</v>
      </c>
      <c r="F222" s="157"/>
      <c r="H222" s="170"/>
      <c r="I222" s="168">
        <f>+'Alimentazione CE Costi'!L139</f>
        <v>0</v>
      </c>
      <c r="K222" s="164"/>
      <c r="M222" s="170"/>
    </row>
    <row r="223" spans="1:13" s="158" customFormat="1" ht="24.95" customHeight="1">
      <c r="A223" s="869"/>
      <c r="B223" s="177" t="s">
        <v>701</v>
      </c>
      <c r="C223" s="178" t="s">
        <v>1739</v>
      </c>
      <c r="D223" s="168">
        <f>+'Alimentazione CE Costi'!H140</f>
        <v>0</v>
      </c>
      <c r="E223" s="168">
        <f>+'Alimentazione CE Costi'!I140</f>
        <v>0</v>
      </c>
      <c r="F223" s="157"/>
      <c r="H223" s="170"/>
      <c r="I223" s="168">
        <f>+'Alimentazione CE Costi'!L140</f>
        <v>0</v>
      </c>
      <c r="K223" s="164"/>
      <c r="M223" s="170"/>
    </row>
    <row r="224" spans="1:13" s="158" customFormat="1" ht="24.95" customHeight="1">
      <c r="A224" s="869"/>
      <c r="B224" s="177" t="s">
        <v>703</v>
      </c>
      <c r="C224" s="178" t="s">
        <v>1740</v>
      </c>
      <c r="D224" s="168">
        <f>+'Alimentazione CE Costi'!H141</f>
        <v>0</v>
      </c>
      <c r="E224" s="168">
        <f>+'Alimentazione CE Costi'!I141</f>
        <v>0</v>
      </c>
      <c r="F224" s="157"/>
      <c r="H224" s="170"/>
      <c r="I224" s="168">
        <f>+'Alimentazione CE Costi'!L141</f>
        <v>0</v>
      </c>
      <c r="K224" s="164"/>
      <c r="M224" s="170"/>
    </row>
    <row r="225" spans="1:13" s="158" customFormat="1" ht="24.95" customHeight="1">
      <c r="A225" s="869"/>
      <c r="B225" s="177" t="s">
        <v>705</v>
      </c>
      <c r="C225" s="178" t="s">
        <v>1741</v>
      </c>
      <c r="D225" s="168">
        <f>+'Alimentazione CE Costi'!H142</f>
        <v>0</v>
      </c>
      <c r="E225" s="168">
        <f>+'Alimentazione CE Costi'!I142</f>
        <v>0</v>
      </c>
      <c r="F225" s="157"/>
      <c r="H225" s="170"/>
      <c r="I225" s="168">
        <f>+'Alimentazione CE Costi'!L142</f>
        <v>0</v>
      </c>
      <c r="K225" s="164"/>
      <c r="M225" s="170"/>
    </row>
    <row r="226" spans="1:13" s="158" customFormat="1" ht="24.95" customHeight="1">
      <c r="A226" s="869"/>
      <c r="B226" s="177" t="s">
        <v>707</v>
      </c>
      <c r="C226" s="178" t="s">
        <v>1742</v>
      </c>
      <c r="D226" s="168">
        <f>+'Alimentazione CE Costi'!H143</f>
        <v>11125924.16</v>
      </c>
      <c r="E226" s="168">
        <f>+'Alimentazione CE Costi'!I143</f>
        <v>0</v>
      </c>
      <c r="F226" s="157"/>
      <c r="H226" s="170"/>
      <c r="I226" s="168">
        <f>+'Alimentazione CE Costi'!L143</f>
        <v>0</v>
      </c>
      <c r="K226" s="164"/>
      <c r="M226" s="170"/>
    </row>
    <row r="227" spans="1:13" s="158" customFormat="1" ht="24.95" customHeight="1">
      <c r="A227" s="869"/>
      <c r="B227" s="177" t="s">
        <v>709</v>
      </c>
      <c r="C227" s="178" t="s">
        <v>1743</v>
      </c>
      <c r="D227" s="168">
        <f>+'Alimentazione CE Costi'!H144</f>
        <v>0</v>
      </c>
      <c r="E227" s="168">
        <f>+'Alimentazione CE Costi'!I144</f>
        <v>0</v>
      </c>
      <c r="F227" s="157"/>
      <c r="H227" s="170"/>
      <c r="I227" s="168">
        <f>+'Alimentazione CE Costi'!L144</f>
        <v>0</v>
      </c>
      <c r="K227" s="164"/>
      <c r="M227" s="170"/>
    </row>
    <row r="228" spans="1:13" s="158" customFormat="1" ht="24.95" customHeight="1">
      <c r="A228" s="869"/>
      <c r="B228" s="177" t="s">
        <v>711</v>
      </c>
      <c r="C228" s="178" t="s">
        <v>1744</v>
      </c>
      <c r="D228" s="168">
        <f>+'Alimentazione CE Costi'!H145</f>
        <v>6119678.3099999996</v>
      </c>
      <c r="E228" s="168">
        <f>+'Alimentazione CE Costi'!I145</f>
        <v>0</v>
      </c>
      <c r="F228" s="157"/>
      <c r="H228" s="170"/>
      <c r="I228" s="168">
        <f>+'Alimentazione CE Costi'!L145</f>
        <v>843.36</v>
      </c>
      <c r="K228" s="164"/>
      <c r="M228" s="170"/>
    </row>
    <row r="229" spans="1:13" s="158" customFormat="1" ht="24.95" customHeight="1">
      <c r="A229" s="869"/>
      <c r="B229" s="177" t="s">
        <v>713</v>
      </c>
      <c r="C229" s="178" t="s">
        <v>1745</v>
      </c>
      <c r="D229" s="168">
        <f>+'Alimentazione CE Costi'!H146</f>
        <v>0</v>
      </c>
      <c r="E229" s="168">
        <f>+'Alimentazione CE Costi'!I146</f>
        <v>0</v>
      </c>
      <c r="F229" s="157"/>
      <c r="H229" s="170"/>
      <c r="I229" s="168">
        <f>+'Alimentazione CE Costi'!L146</f>
        <v>0</v>
      </c>
      <c r="K229" s="164"/>
      <c r="M229" s="170"/>
    </row>
    <row r="230" spans="1:13" s="158" customFormat="1" ht="24.95" customHeight="1">
      <c r="A230" s="869"/>
      <c r="B230" s="174" t="s">
        <v>715</v>
      </c>
      <c r="C230" s="175" t="s">
        <v>1746</v>
      </c>
      <c r="D230" s="168">
        <f>+'Alimentazione CE Costi'!H147</f>
        <v>90273.5</v>
      </c>
      <c r="E230" s="168">
        <f>+'Alimentazione CE Costi'!I147</f>
        <v>0</v>
      </c>
      <c r="F230" s="157"/>
      <c r="H230" s="170"/>
      <c r="I230" s="168">
        <f>+'Alimentazione CE Costi'!L147</f>
        <v>0</v>
      </c>
      <c r="K230" s="164"/>
      <c r="M230" s="170"/>
    </row>
    <row r="231" spans="1:13" s="158" customFormat="1" ht="24.95" customHeight="1">
      <c r="A231" s="869"/>
      <c r="B231" s="177" t="s">
        <v>717</v>
      </c>
      <c r="C231" s="178" t="s">
        <v>1747</v>
      </c>
      <c r="D231" s="168">
        <f>+'Alimentazione CE Costi'!H148</f>
        <v>0</v>
      </c>
      <c r="E231" s="168">
        <f>+'Alimentazione CE Costi'!I148</f>
        <v>0</v>
      </c>
      <c r="F231" s="157"/>
      <c r="H231" s="170"/>
      <c r="I231" s="168">
        <f>+'Alimentazione CE Costi'!L148</f>
        <v>0</v>
      </c>
      <c r="K231" s="164"/>
      <c r="M231" s="170"/>
    </row>
    <row r="232" spans="1:13" s="176" customFormat="1" ht="24.95" customHeight="1">
      <c r="A232" s="867"/>
      <c r="B232" s="248" t="s">
        <v>719</v>
      </c>
      <c r="C232" s="249" t="s">
        <v>1748</v>
      </c>
      <c r="D232" s="234">
        <f>SUM(D233:D237)</f>
        <v>1359720.1300000001</v>
      </c>
      <c r="E232" s="234">
        <f>SUM(E233:E237)</f>
        <v>0</v>
      </c>
      <c r="F232" s="238" t="s">
        <v>2123</v>
      </c>
      <c r="G232" s="169"/>
      <c r="H232" s="170"/>
      <c r="I232" s="234">
        <f>SUM(I233:I237)</f>
        <v>0</v>
      </c>
      <c r="K232" s="164"/>
      <c r="M232" s="170"/>
    </row>
    <row r="233" spans="1:13" s="176" customFormat="1" ht="24.95" customHeight="1">
      <c r="A233" s="867" t="s">
        <v>1550</v>
      </c>
      <c r="B233" s="174" t="s">
        <v>720</v>
      </c>
      <c r="C233" s="175" t="s">
        <v>1749</v>
      </c>
      <c r="D233" s="168">
        <f>+'Alimentazione CE Costi'!H150</f>
        <v>0</v>
      </c>
      <c r="E233" s="168">
        <f>+'Alimentazione CE Costi'!I150</f>
        <v>0</v>
      </c>
      <c r="F233" s="157"/>
      <c r="G233" s="158"/>
      <c r="H233" s="170"/>
      <c r="I233" s="168">
        <f>+'Alimentazione CE Costi'!L150</f>
        <v>0</v>
      </c>
      <c r="K233" s="164"/>
      <c r="M233" s="170"/>
    </row>
    <row r="234" spans="1:13" s="176" customFormat="1" ht="24.95" customHeight="1">
      <c r="A234" s="871"/>
      <c r="B234" s="174" t="s">
        <v>721</v>
      </c>
      <c r="C234" s="175" t="s">
        <v>1750</v>
      </c>
      <c r="D234" s="168">
        <f>+'Alimentazione CE Costi'!H151</f>
        <v>0</v>
      </c>
      <c r="E234" s="168">
        <f>+'Alimentazione CE Costi'!I151</f>
        <v>0</v>
      </c>
      <c r="F234" s="157"/>
      <c r="G234" s="158"/>
      <c r="H234" s="170"/>
      <c r="I234" s="168">
        <f>+'Alimentazione CE Costi'!L151</f>
        <v>0</v>
      </c>
      <c r="K234" s="164"/>
      <c r="M234" s="170"/>
    </row>
    <row r="235" spans="1:13" s="176" customFormat="1" ht="24.95" customHeight="1">
      <c r="A235" s="871" t="s">
        <v>1599</v>
      </c>
      <c r="B235" s="174" t="s">
        <v>723</v>
      </c>
      <c r="C235" s="175" t="s">
        <v>1751</v>
      </c>
      <c r="D235" s="168">
        <f>+'Alimentazione CE Costi'!H152</f>
        <v>0</v>
      </c>
      <c r="E235" s="168">
        <f>+'Alimentazione CE Costi'!I152</f>
        <v>0</v>
      </c>
      <c r="F235" s="157"/>
      <c r="G235" s="158"/>
      <c r="H235" s="170"/>
      <c r="I235" s="168">
        <f>+'Alimentazione CE Costi'!L152</f>
        <v>0</v>
      </c>
      <c r="K235" s="164"/>
      <c r="M235" s="170"/>
    </row>
    <row r="236" spans="1:13" s="176" customFormat="1" ht="24.95" customHeight="1">
      <c r="A236" s="871"/>
      <c r="B236" s="174" t="s">
        <v>725</v>
      </c>
      <c r="C236" s="175" t="s">
        <v>1752</v>
      </c>
      <c r="D236" s="168">
        <f>+'Alimentazione CE Costi'!H154+'Alimentazione CE Costi'!H155</f>
        <v>1359720.1300000001</v>
      </c>
      <c r="E236" s="168">
        <f>+'Alimentazione CE Costi'!I154+'Alimentazione CE Costi'!I155</f>
        <v>0</v>
      </c>
      <c r="F236" s="157"/>
      <c r="G236" s="158"/>
      <c r="H236" s="170"/>
      <c r="I236" s="168">
        <f>+'Alimentazione CE Costi'!L154+'Alimentazione CE Costi'!L155</f>
        <v>0</v>
      </c>
      <c r="K236" s="164"/>
      <c r="M236" s="170"/>
    </row>
    <row r="237" spans="1:13" s="176" customFormat="1" ht="24.95" customHeight="1">
      <c r="A237" s="871"/>
      <c r="B237" s="174" t="s">
        <v>729</v>
      </c>
      <c r="C237" s="175" t="s">
        <v>1753</v>
      </c>
      <c r="D237" s="168">
        <f>+'Alimentazione CE Costi'!H157+'Alimentazione CE Costi'!H158</f>
        <v>0</v>
      </c>
      <c r="E237" s="168">
        <f>+'Alimentazione CE Costi'!I157+'Alimentazione CE Costi'!I158</f>
        <v>0</v>
      </c>
      <c r="F237" s="157"/>
      <c r="G237" s="158"/>
      <c r="H237" s="170"/>
      <c r="I237" s="168">
        <f>+'Alimentazione CE Costi'!L157+'Alimentazione CE Costi'!L158</f>
        <v>0</v>
      </c>
      <c r="K237" s="164"/>
      <c r="M237" s="170"/>
    </row>
    <row r="238" spans="1:13" s="176" customFormat="1" ht="24.95" customHeight="1">
      <c r="A238" s="867"/>
      <c r="B238" s="248" t="s">
        <v>731</v>
      </c>
      <c r="C238" s="249" t="s">
        <v>1754</v>
      </c>
      <c r="D238" s="234">
        <f>SUM(D239:D242)</f>
        <v>11960456.200000001</v>
      </c>
      <c r="E238" s="234">
        <f>SUM(E239:E242)</f>
        <v>0</v>
      </c>
      <c r="F238" s="238" t="s">
        <v>2123</v>
      </c>
      <c r="G238" s="169"/>
      <c r="H238" s="170"/>
      <c r="I238" s="234">
        <f>SUM(I239:I242)</f>
        <v>0</v>
      </c>
      <c r="K238" s="164"/>
      <c r="M238" s="170"/>
    </row>
    <row r="239" spans="1:13" s="176" customFormat="1" ht="24.95" customHeight="1">
      <c r="A239" s="867" t="s">
        <v>1550</v>
      </c>
      <c r="B239" s="174" t="s">
        <v>733</v>
      </c>
      <c r="C239" s="175" t="s">
        <v>1755</v>
      </c>
      <c r="D239" s="168">
        <f>+'Alimentazione CE Costi'!H160</f>
        <v>0</v>
      </c>
      <c r="E239" s="168">
        <f>+'Alimentazione CE Costi'!I160</f>
        <v>0</v>
      </c>
      <c r="F239" s="157"/>
      <c r="G239" s="158"/>
      <c r="H239" s="170"/>
      <c r="I239" s="168">
        <f>+'Alimentazione CE Costi'!L160</f>
        <v>0</v>
      </c>
      <c r="K239" s="164"/>
      <c r="M239" s="170"/>
    </row>
    <row r="240" spans="1:13" s="176" customFormat="1" ht="24.95" customHeight="1">
      <c r="A240" s="867"/>
      <c r="B240" s="174" t="s">
        <v>734</v>
      </c>
      <c r="C240" s="175" t="s">
        <v>1756</v>
      </c>
      <c r="D240" s="168">
        <f>+'Alimentazione CE Costi'!H161</f>
        <v>0</v>
      </c>
      <c r="E240" s="168">
        <f>+'Alimentazione CE Costi'!I161</f>
        <v>0</v>
      </c>
      <c r="F240" s="157"/>
      <c r="G240" s="158"/>
      <c r="H240" s="170"/>
      <c r="I240" s="168">
        <f>+'Alimentazione CE Costi'!L161</f>
        <v>0</v>
      </c>
      <c r="K240" s="164"/>
      <c r="M240" s="170"/>
    </row>
    <row r="241" spans="1:13" s="158" customFormat="1" ht="24.95" customHeight="1">
      <c r="A241" s="869" t="s">
        <v>1595</v>
      </c>
      <c r="B241" s="174" t="s">
        <v>735</v>
      </c>
      <c r="C241" s="175" t="s">
        <v>1757</v>
      </c>
      <c r="D241" s="168">
        <f>+'Alimentazione CE Costi'!H162</f>
        <v>0</v>
      </c>
      <c r="E241" s="168">
        <f>+'Alimentazione CE Costi'!I162</f>
        <v>0</v>
      </c>
      <c r="F241" s="157"/>
      <c r="H241" s="170"/>
      <c r="I241" s="168">
        <f>+'Alimentazione CE Costi'!L162</f>
        <v>0</v>
      </c>
      <c r="K241" s="164"/>
      <c r="M241" s="170"/>
    </row>
    <row r="242" spans="1:13" s="158" customFormat="1" ht="24.95" customHeight="1">
      <c r="A242" s="869"/>
      <c r="B242" s="174" t="s">
        <v>737</v>
      </c>
      <c r="C242" s="175" t="s">
        <v>1758</v>
      </c>
      <c r="D242" s="168">
        <f>+'Alimentazione CE Costi'!H164+'Alimentazione CE Costi'!H165+'Alimentazione CE Costi'!H166+'Alimentazione CE Costi'!H167</f>
        <v>11960456.200000001</v>
      </c>
      <c r="E242" s="168">
        <f>+'Alimentazione CE Costi'!I164+'Alimentazione CE Costi'!I165+'Alimentazione CE Costi'!I166+'Alimentazione CE Costi'!I167</f>
        <v>0</v>
      </c>
      <c r="F242" s="157"/>
      <c r="H242" s="170"/>
      <c r="I242" s="168">
        <f>+'Alimentazione CE Costi'!L164+'Alimentazione CE Costi'!L165+'Alimentazione CE Costi'!L166+'Alimentazione CE Costi'!L167</f>
        <v>0</v>
      </c>
      <c r="K242" s="164"/>
      <c r="M242" s="170"/>
    </row>
    <row r="243" spans="1:13" s="158" customFormat="1" ht="24.95" customHeight="1">
      <c r="A243" s="869"/>
      <c r="B243" s="248" t="s">
        <v>1759</v>
      </c>
      <c r="C243" s="249" t="s">
        <v>1760</v>
      </c>
      <c r="D243" s="234">
        <f>SUM(D244:D247)</f>
        <v>4115824.2700000005</v>
      </c>
      <c r="E243" s="234">
        <f>SUM(E244:E247)</f>
        <v>0</v>
      </c>
      <c r="F243" s="238" t="s">
        <v>2123</v>
      </c>
      <c r="G243" s="169"/>
      <c r="H243" s="170"/>
      <c r="I243" s="234">
        <f>SUM(I244:I247)</f>
        <v>0</v>
      </c>
      <c r="K243" s="164"/>
      <c r="M243" s="170"/>
    </row>
    <row r="244" spans="1:13" s="158" customFormat="1" ht="24.95" customHeight="1">
      <c r="A244" s="869" t="s">
        <v>1550</v>
      </c>
      <c r="B244" s="174" t="s">
        <v>743</v>
      </c>
      <c r="C244" s="175" t="s">
        <v>1761</v>
      </c>
      <c r="D244" s="168">
        <f>+'Alimentazione CE Costi'!H169</f>
        <v>0</v>
      </c>
      <c r="E244" s="168">
        <f>+'Alimentazione CE Costi'!I169</f>
        <v>0</v>
      </c>
      <c r="F244" s="157"/>
      <c r="H244" s="170"/>
      <c r="I244" s="168">
        <f>+'Alimentazione CE Costi'!L169</f>
        <v>0</v>
      </c>
      <c r="K244" s="164"/>
      <c r="M244" s="170"/>
    </row>
    <row r="245" spans="1:13" s="158" customFormat="1" ht="24.95" customHeight="1">
      <c r="A245" s="869"/>
      <c r="B245" s="174" t="s">
        <v>744</v>
      </c>
      <c r="C245" s="175" t="s">
        <v>1762</v>
      </c>
      <c r="D245" s="168">
        <f>+'Alimentazione CE Costi'!H170</f>
        <v>0</v>
      </c>
      <c r="E245" s="168">
        <f>+'Alimentazione CE Costi'!I170</f>
        <v>0</v>
      </c>
      <c r="F245" s="157"/>
      <c r="H245" s="170"/>
      <c r="I245" s="168">
        <f>+'Alimentazione CE Costi'!L170</f>
        <v>0</v>
      </c>
      <c r="K245" s="164"/>
      <c r="M245" s="170"/>
    </row>
    <row r="246" spans="1:13" s="158" customFormat="1" ht="24.95" customHeight="1">
      <c r="A246" s="869" t="s">
        <v>1595</v>
      </c>
      <c r="B246" s="174" t="s">
        <v>745</v>
      </c>
      <c r="C246" s="175" t="s">
        <v>1763</v>
      </c>
      <c r="D246" s="168">
        <f>+'Alimentazione CE Costi'!H171</f>
        <v>0</v>
      </c>
      <c r="E246" s="168">
        <f>+'Alimentazione CE Costi'!I171</f>
        <v>0</v>
      </c>
      <c r="F246" s="157"/>
      <c r="H246" s="170"/>
      <c r="I246" s="168">
        <f>+'Alimentazione CE Costi'!L171</f>
        <v>0</v>
      </c>
      <c r="K246" s="164"/>
      <c r="M246" s="170"/>
    </row>
    <row r="247" spans="1:13" s="158" customFormat="1" ht="24.95" customHeight="1">
      <c r="A247" s="869"/>
      <c r="B247" s="174" t="s">
        <v>746</v>
      </c>
      <c r="C247" s="175" t="s">
        <v>1764</v>
      </c>
      <c r="D247" s="168">
        <f>+'Alimentazione CE Costi'!H173+'Alimentazione CE Costi'!H174</f>
        <v>4115824.2700000005</v>
      </c>
      <c r="E247" s="168">
        <f>+'Alimentazione CE Costi'!I173+'Alimentazione CE Costi'!I174</f>
        <v>0</v>
      </c>
      <c r="F247" s="157"/>
      <c r="H247" s="170"/>
      <c r="I247" s="168">
        <f>+'Alimentazione CE Costi'!L173+'Alimentazione CE Costi'!L174</f>
        <v>0</v>
      </c>
      <c r="K247" s="164"/>
      <c r="M247" s="170"/>
    </row>
    <row r="248" spans="1:13" s="158" customFormat="1" ht="24.95" customHeight="1">
      <c r="A248" s="869"/>
      <c r="B248" s="248" t="s">
        <v>750</v>
      </c>
      <c r="C248" s="249" t="s">
        <v>1765</v>
      </c>
      <c r="D248" s="234">
        <f>SUM(D249:D252,D257)</f>
        <v>72337142.670000002</v>
      </c>
      <c r="E248" s="234">
        <f>SUM(E249:E252,E257)</f>
        <v>0</v>
      </c>
      <c r="F248" s="238" t="s">
        <v>2123</v>
      </c>
      <c r="G248" s="169"/>
      <c r="H248" s="170"/>
      <c r="I248" s="234">
        <f>SUM(I249:I252,I257)</f>
        <v>0</v>
      </c>
      <c r="K248" s="164"/>
      <c r="M248" s="170"/>
    </row>
    <row r="249" spans="1:13" s="158" customFormat="1" ht="24.95" customHeight="1">
      <c r="A249" s="869" t="s">
        <v>1550</v>
      </c>
      <c r="B249" s="174" t="s">
        <v>751</v>
      </c>
      <c r="C249" s="175" t="s">
        <v>1766</v>
      </c>
      <c r="D249" s="168">
        <f>+'Alimentazione CE Costi'!H178+'Alimentazione CE Costi'!H177</f>
        <v>31578700.949999999</v>
      </c>
      <c r="E249" s="168">
        <f>+'Alimentazione CE Costi'!I178+'Alimentazione CE Costi'!I177</f>
        <v>0</v>
      </c>
      <c r="F249" s="157"/>
      <c r="H249" s="170"/>
      <c r="I249" s="168">
        <f>+'Alimentazione CE Costi'!L178+'Alimentazione CE Costi'!L177</f>
        <v>0</v>
      </c>
      <c r="K249" s="164"/>
      <c r="M249" s="170"/>
    </row>
    <row r="250" spans="1:13" s="158" customFormat="1" ht="24.95" customHeight="1">
      <c r="A250" s="869"/>
      <c r="B250" s="174" t="s">
        <v>754</v>
      </c>
      <c r="C250" s="175" t="s">
        <v>1767</v>
      </c>
      <c r="D250" s="168">
        <f>+'Alimentazione CE Costi'!H179</f>
        <v>0</v>
      </c>
      <c r="E250" s="168">
        <f>+'Alimentazione CE Costi'!I179</f>
        <v>0</v>
      </c>
      <c r="F250" s="157"/>
      <c r="H250" s="170"/>
      <c r="I250" s="168">
        <f>+'Alimentazione CE Costi'!L179</f>
        <v>0</v>
      </c>
      <c r="K250" s="164"/>
      <c r="M250" s="170"/>
    </row>
    <row r="251" spans="1:13" s="158" customFormat="1" ht="24.95" customHeight="1">
      <c r="A251" s="869" t="s">
        <v>1595</v>
      </c>
      <c r="B251" s="174" t="s">
        <v>755</v>
      </c>
      <c r="C251" s="175" t="s">
        <v>1768</v>
      </c>
      <c r="D251" s="168">
        <f>+'Alimentazione CE Costi'!H181+'Alimentazione CE Costi'!H182</f>
        <v>17603520</v>
      </c>
      <c r="E251" s="168">
        <f>+'Alimentazione CE Costi'!I181+'Alimentazione CE Costi'!I182</f>
        <v>0</v>
      </c>
      <c r="F251" s="157"/>
      <c r="H251" s="170"/>
      <c r="I251" s="168">
        <f>+'Alimentazione CE Costi'!L181+'Alimentazione CE Costi'!L182</f>
        <v>0</v>
      </c>
      <c r="K251" s="164"/>
      <c r="M251" s="170"/>
    </row>
    <row r="252" spans="1:13" s="158" customFormat="1" ht="24.95" customHeight="1">
      <c r="A252" s="869"/>
      <c r="B252" s="239" t="s">
        <v>758</v>
      </c>
      <c r="C252" s="240" t="s">
        <v>1769</v>
      </c>
      <c r="D252" s="237">
        <f>SUM(D253:D256)</f>
        <v>21592011.699999999</v>
      </c>
      <c r="E252" s="237">
        <f>SUM(E253:E256)</f>
        <v>0</v>
      </c>
      <c r="F252" s="157" t="s">
        <v>2123</v>
      </c>
      <c r="G252" s="169"/>
      <c r="H252" s="170"/>
      <c r="I252" s="237">
        <f>SUM(I253:I256)</f>
        <v>0</v>
      </c>
      <c r="K252" s="164"/>
      <c r="M252" s="170"/>
    </row>
    <row r="253" spans="1:13" s="158" customFormat="1" ht="24.95" customHeight="1">
      <c r="A253" s="869"/>
      <c r="B253" s="177" t="s">
        <v>760</v>
      </c>
      <c r="C253" s="178" t="s">
        <v>1770</v>
      </c>
      <c r="D253" s="168">
        <f>+'Alimentazione CE Costi'!H184</f>
        <v>0</v>
      </c>
      <c r="E253" s="168">
        <f>+'Alimentazione CE Costi'!I184</f>
        <v>0</v>
      </c>
      <c r="F253" s="157"/>
      <c r="H253" s="170"/>
      <c r="I253" s="168">
        <f>+'Alimentazione CE Costi'!L184</f>
        <v>0</v>
      </c>
      <c r="K253" s="164"/>
      <c r="M253" s="170"/>
    </row>
    <row r="254" spans="1:13" s="158" customFormat="1" ht="24.95" customHeight="1">
      <c r="A254" s="869"/>
      <c r="B254" s="177" t="s">
        <v>762</v>
      </c>
      <c r="C254" s="178" t="s">
        <v>1771</v>
      </c>
      <c r="D254" s="168">
        <f>+'Alimentazione CE Costi'!H185</f>
        <v>0</v>
      </c>
      <c r="E254" s="168">
        <f>+'Alimentazione CE Costi'!I185</f>
        <v>0</v>
      </c>
      <c r="F254" s="157"/>
      <c r="H254" s="170"/>
      <c r="I254" s="168">
        <f>+'Alimentazione CE Costi'!L185</f>
        <v>0</v>
      </c>
      <c r="K254" s="164"/>
      <c r="M254" s="170"/>
    </row>
    <row r="255" spans="1:13" s="158" customFormat="1" ht="24.95" customHeight="1">
      <c r="A255" s="869"/>
      <c r="B255" s="177" t="s">
        <v>764</v>
      </c>
      <c r="C255" s="178" t="s">
        <v>1772</v>
      </c>
      <c r="D255" s="168">
        <f>+'Alimentazione CE Costi'!H186</f>
        <v>16818653.949999999</v>
      </c>
      <c r="E255" s="168">
        <f>+'Alimentazione CE Costi'!I186</f>
        <v>0</v>
      </c>
      <c r="F255" s="157"/>
      <c r="H255" s="170"/>
      <c r="I255" s="168">
        <f>+'Alimentazione CE Costi'!L186</f>
        <v>0</v>
      </c>
      <c r="K255" s="164"/>
      <c r="M255" s="170"/>
    </row>
    <row r="256" spans="1:13" s="158" customFormat="1" ht="24.95" customHeight="1">
      <c r="A256" s="869"/>
      <c r="B256" s="177" t="s">
        <v>766</v>
      </c>
      <c r="C256" s="178" t="s">
        <v>1773</v>
      </c>
      <c r="D256" s="168">
        <f>+'Alimentazione CE Costi'!H187</f>
        <v>4773357.75</v>
      </c>
      <c r="E256" s="168">
        <f>+'Alimentazione CE Costi'!I187</f>
        <v>0</v>
      </c>
      <c r="F256" s="157"/>
      <c r="H256" s="170"/>
      <c r="I256" s="168">
        <f>+'Alimentazione CE Costi'!L187</f>
        <v>0</v>
      </c>
      <c r="K256" s="164"/>
      <c r="M256" s="170"/>
    </row>
    <row r="257" spans="1:13" s="158" customFormat="1" ht="24.95" customHeight="1">
      <c r="A257" s="869"/>
      <c r="B257" s="174" t="s">
        <v>767</v>
      </c>
      <c r="C257" s="175" t="s">
        <v>1774</v>
      </c>
      <c r="D257" s="168">
        <f>+'Alimentazione CE Costi'!H188</f>
        <v>1562910.02</v>
      </c>
      <c r="E257" s="168">
        <f>+'Alimentazione CE Costi'!I188</f>
        <v>0</v>
      </c>
      <c r="F257" s="157"/>
      <c r="H257" s="170"/>
      <c r="I257" s="168">
        <f>+'Alimentazione CE Costi'!L188</f>
        <v>0</v>
      </c>
      <c r="K257" s="164"/>
      <c r="M257" s="170"/>
    </row>
    <row r="258" spans="1:13" s="158" customFormat="1" ht="24.95" customHeight="1">
      <c r="A258" s="869"/>
      <c r="B258" s="248" t="s">
        <v>769</v>
      </c>
      <c r="C258" s="249" t="s">
        <v>1775</v>
      </c>
      <c r="D258" s="234">
        <f>SUM(D259:D263)</f>
        <v>6029434.4900000002</v>
      </c>
      <c r="E258" s="234">
        <f>SUM(E259:E263)</f>
        <v>0</v>
      </c>
      <c r="F258" s="157" t="s">
        <v>2123</v>
      </c>
      <c r="G258" s="169"/>
      <c r="H258" s="170"/>
      <c r="I258" s="234">
        <f>SUM(I259:I263)</f>
        <v>0</v>
      </c>
      <c r="K258" s="164"/>
      <c r="M258" s="170"/>
    </row>
    <row r="259" spans="1:13" s="158" customFormat="1" ht="24.95" customHeight="1">
      <c r="A259" s="869" t="s">
        <v>1550</v>
      </c>
      <c r="B259" s="174" t="s">
        <v>770</v>
      </c>
      <c r="C259" s="175" t="s">
        <v>1776</v>
      </c>
      <c r="D259" s="168">
        <f>+'Alimentazione CE Costi'!H190</f>
        <v>0</v>
      </c>
      <c r="E259" s="168">
        <f>+'Alimentazione CE Costi'!I190</f>
        <v>0</v>
      </c>
      <c r="F259" s="157"/>
      <c r="H259" s="170"/>
      <c r="I259" s="168">
        <f>+'Alimentazione CE Costi'!L190</f>
        <v>0</v>
      </c>
      <c r="K259" s="164"/>
      <c r="M259" s="170"/>
    </row>
    <row r="260" spans="1:13" s="176" customFormat="1" ht="24.95" customHeight="1">
      <c r="A260" s="867"/>
      <c r="B260" s="174" t="s">
        <v>771</v>
      </c>
      <c r="C260" s="175" t="s">
        <v>1777</v>
      </c>
      <c r="D260" s="168">
        <f>+'Alimentazione CE Costi'!H191</f>
        <v>0</v>
      </c>
      <c r="E260" s="168">
        <f>+'Alimentazione CE Costi'!I191</f>
        <v>0</v>
      </c>
      <c r="F260" s="157"/>
      <c r="G260" s="158"/>
      <c r="H260" s="170"/>
      <c r="I260" s="168">
        <f>+'Alimentazione CE Costi'!L191</f>
        <v>0</v>
      </c>
      <c r="K260" s="164"/>
      <c r="M260" s="170"/>
    </row>
    <row r="261" spans="1:13" s="176" customFormat="1" ht="24.95" customHeight="1">
      <c r="A261" s="867" t="s">
        <v>1599</v>
      </c>
      <c r="B261" s="174" t="s">
        <v>773</v>
      </c>
      <c r="C261" s="175" t="s">
        <v>1778</v>
      </c>
      <c r="D261" s="168">
        <f>+'Alimentazione CE Costi'!H192</f>
        <v>0</v>
      </c>
      <c r="E261" s="168">
        <f>+'Alimentazione CE Costi'!I192</f>
        <v>0</v>
      </c>
      <c r="F261" s="157"/>
      <c r="G261" s="158"/>
      <c r="H261" s="170"/>
      <c r="I261" s="168">
        <f>+'Alimentazione CE Costi'!L192</f>
        <v>0</v>
      </c>
      <c r="K261" s="164"/>
      <c r="M261" s="170"/>
    </row>
    <row r="262" spans="1:13" s="176" customFormat="1" ht="24.95" customHeight="1">
      <c r="A262" s="867"/>
      <c r="B262" s="174" t="s">
        <v>774</v>
      </c>
      <c r="C262" s="175" t="s">
        <v>1779</v>
      </c>
      <c r="D262" s="168">
        <f>+'Alimentazione CE Costi'!H193</f>
        <v>5810639.4500000002</v>
      </c>
      <c r="E262" s="168">
        <f>+'Alimentazione CE Costi'!I193</f>
        <v>0</v>
      </c>
      <c r="F262" s="157"/>
      <c r="G262" s="158"/>
      <c r="H262" s="170"/>
      <c r="I262" s="168">
        <f>+'Alimentazione CE Costi'!L193</f>
        <v>0</v>
      </c>
      <c r="K262" s="164"/>
      <c r="M262" s="170"/>
    </row>
    <row r="263" spans="1:13" s="176" customFormat="1" ht="24.95" customHeight="1">
      <c r="A263" s="871"/>
      <c r="B263" s="174" t="s">
        <v>775</v>
      </c>
      <c r="C263" s="175" t="s">
        <v>1780</v>
      </c>
      <c r="D263" s="168">
        <f>+'Alimentazione CE Costi'!H194</f>
        <v>218795.04</v>
      </c>
      <c r="E263" s="168">
        <f>+'Alimentazione CE Costi'!I194</f>
        <v>0</v>
      </c>
      <c r="F263" s="157"/>
      <c r="G263" s="158"/>
      <c r="H263" s="170"/>
      <c r="I263" s="168">
        <f>+'Alimentazione CE Costi'!L194</f>
        <v>0</v>
      </c>
      <c r="K263" s="164"/>
      <c r="M263" s="170"/>
    </row>
    <row r="264" spans="1:13" s="176" customFormat="1" ht="24.95" customHeight="1">
      <c r="A264" s="867"/>
      <c r="B264" s="248" t="s">
        <v>777</v>
      </c>
      <c r="C264" s="249" t="s">
        <v>1781</v>
      </c>
      <c r="D264" s="234">
        <f>SUM(D265:D270)</f>
        <v>8123912.4299999997</v>
      </c>
      <c r="E264" s="234">
        <f>SUM(E265:E270)</f>
        <v>0</v>
      </c>
      <c r="F264" s="157" t="s">
        <v>2123</v>
      </c>
      <c r="G264" s="169"/>
      <c r="H264" s="170"/>
      <c r="I264" s="234">
        <f>SUM(I265:I270)</f>
        <v>0</v>
      </c>
      <c r="K264" s="164"/>
      <c r="M264" s="170"/>
    </row>
    <row r="265" spans="1:13" s="176" customFormat="1" ht="24.95" customHeight="1">
      <c r="A265" s="867" t="s">
        <v>1550</v>
      </c>
      <c r="B265" s="174" t="s">
        <v>778</v>
      </c>
      <c r="C265" s="175" t="s">
        <v>1782</v>
      </c>
      <c r="D265" s="168">
        <f>+'Alimentazione CE Costi'!H197+'Alimentazione CE Costi'!H198</f>
        <v>3618051.3</v>
      </c>
      <c r="E265" s="168">
        <f>+'Alimentazione CE Costi'!I197+'Alimentazione CE Costi'!I198</f>
        <v>0</v>
      </c>
      <c r="F265" s="157"/>
      <c r="G265" s="158"/>
      <c r="H265" s="170"/>
      <c r="I265" s="168">
        <f>+'Alimentazione CE Costi'!L197+'Alimentazione CE Costi'!L198</f>
        <v>0</v>
      </c>
      <c r="K265" s="164"/>
      <c r="M265" s="170"/>
    </row>
    <row r="266" spans="1:13" s="176" customFormat="1" ht="24.95" customHeight="1">
      <c r="A266" s="867"/>
      <c r="B266" s="174" t="s">
        <v>781</v>
      </c>
      <c r="C266" s="175" t="s">
        <v>1783</v>
      </c>
      <c r="D266" s="168">
        <f>+'Alimentazione CE Costi'!H199</f>
        <v>0</v>
      </c>
      <c r="E266" s="168">
        <f>+'Alimentazione CE Costi'!I199</f>
        <v>0</v>
      </c>
      <c r="F266" s="157"/>
      <c r="G266" s="158"/>
      <c r="H266" s="170"/>
      <c r="I266" s="168">
        <f>+'Alimentazione CE Costi'!L199</f>
        <v>0</v>
      </c>
      <c r="K266" s="164"/>
      <c r="M266" s="170"/>
    </row>
    <row r="267" spans="1:13" s="176" customFormat="1" ht="24.95" customHeight="1">
      <c r="A267" s="867" t="s">
        <v>1595</v>
      </c>
      <c r="B267" s="174" t="s">
        <v>782</v>
      </c>
      <c r="C267" s="175" t="s">
        <v>1784</v>
      </c>
      <c r="D267" s="168">
        <f>+'Alimentazione CE Costi'!H200</f>
        <v>1801698</v>
      </c>
      <c r="E267" s="168">
        <f>+'Alimentazione CE Costi'!I200</f>
        <v>0</v>
      </c>
      <c r="F267" s="157"/>
      <c r="G267" s="158"/>
      <c r="H267" s="170"/>
      <c r="I267" s="168">
        <f>+'Alimentazione CE Costi'!L200</f>
        <v>0</v>
      </c>
      <c r="K267" s="164"/>
      <c r="M267" s="170"/>
    </row>
    <row r="268" spans="1:13" s="176" customFormat="1" ht="24.95" customHeight="1">
      <c r="A268" s="867"/>
      <c r="B268" s="174" t="s">
        <v>783</v>
      </c>
      <c r="C268" s="175" t="s">
        <v>1785</v>
      </c>
      <c r="D268" s="168">
        <f>+'Alimentazione CE Costi'!H202+'Alimentazione CE Costi'!H203</f>
        <v>2704163.13</v>
      </c>
      <c r="E268" s="168">
        <f>+'Alimentazione CE Costi'!I202+'Alimentazione CE Costi'!I203</f>
        <v>0</v>
      </c>
      <c r="F268" s="157"/>
      <c r="G268" s="158"/>
      <c r="H268" s="170"/>
      <c r="I268" s="168">
        <f>+'Alimentazione CE Costi'!L202+'Alimentazione CE Costi'!L203</f>
        <v>0</v>
      </c>
      <c r="K268" s="164"/>
      <c r="M268" s="170"/>
    </row>
    <row r="269" spans="1:13" s="176" customFormat="1" ht="24.95" customHeight="1">
      <c r="A269" s="871"/>
      <c r="B269" s="174" t="s">
        <v>786</v>
      </c>
      <c r="C269" s="175" t="s">
        <v>1786</v>
      </c>
      <c r="D269" s="168">
        <f>+'Alimentazione CE Costi'!H204</f>
        <v>0</v>
      </c>
      <c r="E269" s="168">
        <f>+'Alimentazione CE Costi'!I204</f>
        <v>0</v>
      </c>
      <c r="F269" s="157"/>
      <c r="G269" s="158"/>
      <c r="H269" s="170"/>
      <c r="I269" s="168">
        <f>+'Alimentazione CE Costi'!L204</f>
        <v>0</v>
      </c>
      <c r="K269" s="164"/>
      <c r="M269" s="170"/>
    </row>
    <row r="270" spans="1:13" s="176" customFormat="1" ht="24.95" customHeight="1">
      <c r="A270" s="867"/>
      <c r="B270" s="174" t="s">
        <v>787</v>
      </c>
      <c r="C270" s="175" t="s">
        <v>1787</v>
      </c>
      <c r="D270" s="168">
        <f>+'Alimentazione CE Costi'!H205</f>
        <v>0</v>
      </c>
      <c r="E270" s="168">
        <f>+'Alimentazione CE Costi'!I205</f>
        <v>0</v>
      </c>
      <c r="F270" s="157"/>
      <c r="G270" s="158"/>
      <c r="H270" s="170"/>
      <c r="I270" s="168">
        <f>+'Alimentazione CE Costi'!L205</f>
        <v>0</v>
      </c>
      <c r="K270" s="164"/>
      <c r="M270" s="170"/>
    </row>
    <row r="271" spans="1:13" s="176" customFormat="1" ht="24.95" customHeight="1">
      <c r="A271" s="867"/>
      <c r="B271" s="248" t="s">
        <v>789</v>
      </c>
      <c r="C271" s="249" t="s">
        <v>1788</v>
      </c>
      <c r="D271" s="234">
        <f>SUM(D272:D276)</f>
        <v>623658.94999999995</v>
      </c>
      <c r="E271" s="234">
        <f>SUM(E272:E276)</f>
        <v>0</v>
      </c>
      <c r="F271" s="157" t="s">
        <v>2123</v>
      </c>
      <c r="G271" s="169"/>
      <c r="H271" s="170"/>
      <c r="I271" s="234">
        <f>SUM(I272:I276)</f>
        <v>0</v>
      </c>
      <c r="K271" s="164"/>
      <c r="M271" s="170"/>
    </row>
    <row r="272" spans="1:13" s="176" customFormat="1" ht="24.95" customHeight="1">
      <c r="A272" s="867" t="s">
        <v>1550</v>
      </c>
      <c r="B272" s="174" t="s">
        <v>790</v>
      </c>
      <c r="C272" s="175" t="s">
        <v>1789</v>
      </c>
      <c r="D272" s="168">
        <f>+'Alimentazione CE Costi'!H207</f>
        <v>0</v>
      </c>
      <c r="E272" s="168">
        <f>+'Alimentazione CE Costi'!I207</f>
        <v>0</v>
      </c>
      <c r="F272" s="157"/>
      <c r="G272" s="158"/>
      <c r="H272" s="170"/>
      <c r="I272" s="168">
        <f>+'Alimentazione CE Costi'!L207</f>
        <v>0</v>
      </c>
      <c r="K272" s="164"/>
      <c r="M272" s="170"/>
    </row>
    <row r="273" spans="1:13" s="176" customFormat="1" ht="24.95" customHeight="1">
      <c r="A273" s="867"/>
      <c r="B273" s="174" t="s">
        <v>791</v>
      </c>
      <c r="C273" s="175" t="s">
        <v>1790</v>
      </c>
      <c r="D273" s="168">
        <f>+'Alimentazione CE Costi'!H208</f>
        <v>0</v>
      </c>
      <c r="E273" s="168">
        <f>+'Alimentazione CE Costi'!I208</f>
        <v>0</v>
      </c>
      <c r="F273" s="157"/>
      <c r="G273" s="158"/>
      <c r="H273" s="170"/>
      <c r="I273" s="168">
        <f>+'Alimentazione CE Costi'!L208</f>
        <v>0</v>
      </c>
      <c r="K273" s="164"/>
      <c r="M273" s="170"/>
    </row>
    <row r="274" spans="1:13" s="176" customFormat="1" ht="24.95" customHeight="1">
      <c r="A274" s="867" t="s">
        <v>1595</v>
      </c>
      <c r="B274" s="174" t="s">
        <v>792</v>
      </c>
      <c r="C274" s="175" t="s">
        <v>1791</v>
      </c>
      <c r="D274" s="168">
        <f>+'Alimentazione CE Costi'!H209</f>
        <v>257638</v>
      </c>
      <c r="E274" s="168">
        <f>+'Alimentazione CE Costi'!I209</f>
        <v>0</v>
      </c>
      <c r="F274" s="157"/>
      <c r="G274" s="158"/>
      <c r="H274" s="170"/>
      <c r="I274" s="168">
        <f>+'Alimentazione CE Costi'!L209</f>
        <v>0</v>
      </c>
      <c r="K274" s="164"/>
      <c r="M274" s="170"/>
    </row>
    <row r="275" spans="1:13" s="176" customFormat="1" ht="24.95" customHeight="1">
      <c r="A275" s="867"/>
      <c r="B275" s="174" t="s">
        <v>793</v>
      </c>
      <c r="C275" s="175" t="s">
        <v>1792</v>
      </c>
      <c r="D275" s="168">
        <f>+'Alimentazione CE Costi'!H210</f>
        <v>334182.5</v>
      </c>
      <c r="E275" s="168">
        <f>+'Alimentazione CE Costi'!I210</f>
        <v>0</v>
      </c>
      <c r="F275" s="157"/>
      <c r="G275" s="158"/>
      <c r="H275" s="170"/>
      <c r="I275" s="168">
        <f>+'Alimentazione CE Costi'!L210</f>
        <v>0</v>
      </c>
      <c r="K275" s="164"/>
      <c r="M275" s="170"/>
    </row>
    <row r="276" spans="1:13" s="176" customFormat="1" ht="24.95" customHeight="1">
      <c r="A276" s="867"/>
      <c r="B276" s="174" t="s">
        <v>794</v>
      </c>
      <c r="C276" s="175" t="s">
        <v>1793</v>
      </c>
      <c r="D276" s="168">
        <f>+'Alimentazione CE Costi'!H211</f>
        <v>31838.45</v>
      </c>
      <c r="E276" s="168">
        <f>+'Alimentazione CE Costi'!I211</f>
        <v>0</v>
      </c>
      <c r="F276" s="157"/>
      <c r="G276" s="158"/>
      <c r="H276" s="170"/>
      <c r="I276" s="168">
        <f>+'Alimentazione CE Costi'!L211</f>
        <v>0</v>
      </c>
      <c r="K276" s="164"/>
      <c r="M276" s="170"/>
    </row>
    <row r="277" spans="1:13" s="176" customFormat="1" ht="24.95" customHeight="1">
      <c r="A277" s="867"/>
      <c r="B277" s="248" t="s">
        <v>796</v>
      </c>
      <c r="C277" s="249" t="s">
        <v>1794</v>
      </c>
      <c r="D277" s="234">
        <f>SUM(D278:D281)</f>
        <v>7615104</v>
      </c>
      <c r="E277" s="234">
        <f>SUM(E278:E281)</f>
        <v>0</v>
      </c>
      <c r="F277" s="157" t="s">
        <v>2123</v>
      </c>
      <c r="G277" s="169"/>
      <c r="H277" s="170"/>
      <c r="I277" s="234">
        <f>SUM(I278:I281)</f>
        <v>2144806.7799999998</v>
      </c>
      <c r="K277" s="164"/>
      <c r="M277" s="170"/>
    </row>
    <row r="278" spans="1:13" s="176" customFormat="1" ht="24.95" customHeight="1">
      <c r="A278" s="867" t="s">
        <v>1550</v>
      </c>
      <c r="B278" s="174" t="s">
        <v>797</v>
      </c>
      <c r="C278" s="175" t="s">
        <v>1795</v>
      </c>
      <c r="D278" s="168">
        <f>+'Alimentazione CE Costi'!H213</f>
        <v>0</v>
      </c>
      <c r="E278" s="168">
        <f>+'Alimentazione CE Costi'!I213</f>
        <v>0</v>
      </c>
      <c r="F278" s="157"/>
      <c r="G278" s="158"/>
      <c r="H278" s="170"/>
      <c r="I278" s="168">
        <f>+'Alimentazione CE Costi'!L213</f>
        <v>0</v>
      </c>
      <c r="K278" s="164"/>
      <c r="M278" s="170"/>
    </row>
    <row r="279" spans="1:13" s="176" customFormat="1" ht="24.95" customHeight="1">
      <c r="A279" s="867"/>
      <c r="B279" s="174" t="s">
        <v>798</v>
      </c>
      <c r="C279" s="175" t="s">
        <v>1796</v>
      </c>
      <c r="D279" s="168">
        <f>+'Alimentazione CE Costi'!H214</f>
        <v>0</v>
      </c>
      <c r="E279" s="168">
        <f>+'Alimentazione CE Costi'!I214</f>
        <v>0</v>
      </c>
      <c r="F279" s="157"/>
      <c r="G279" s="158"/>
      <c r="H279" s="170"/>
      <c r="I279" s="168">
        <f>+'Alimentazione CE Costi'!L214</f>
        <v>0</v>
      </c>
      <c r="K279" s="164"/>
      <c r="M279" s="170"/>
    </row>
    <row r="280" spans="1:13" s="176" customFormat="1" ht="24.95" customHeight="1">
      <c r="A280" s="867" t="s">
        <v>1595</v>
      </c>
      <c r="B280" s="174" t="s">
        <v>799</v>
      </c>
      <c r="C280" s="175" t="s">
        <v>1797</v>
      </c>
      <c r="D280" s="168">
        <f>+'Alimentazione CE Costi'!H215</f>
        <v>392877</v>
      </c>
      <c r="E280" s="168">
        <f>+'Alimentazione CE Costi'!I215</f>
        <v>0</v>
      </c>
      <c r="F280" s="157"/>
      <c r="G280" s="158"/>
      <c r="H280" s="170"/>
      <c r="I280" s="168">
        <f>+'Alimentazione CE Costi'!L215</f>
        <v>0</v>
      </c>
      <c r="K280" s="164"/>
      <c r="M280" s="170"/>
    </row>
    <row r="281" spans="1:13" s="176" customFormat="1" ht="24.95" customHeight="1">
      <c r="A281" s="867"/>
      <c r="B281" s="174" t="s">
        <v>800</v>
      </c>
      <c r="C281" s="175" t="s">
        <v>1798</v>
      </c>
      <c r="D281" s="168">
        <f>+ROUND(SUM('Alimentazione CE Costi'!H217:H220),2)</f>
        <v>7222227</v>
      </c>
      <c r="E281" s="168">
        <f>+ROUND(SUM('Alimentazione CE Costi'!I217:I220),2)</f>
        <v>0</v>
      </c>
      <c r="F281" s="157"/>
      <c r="G281" s="158"/>
      <c r="H281" s="170"/>
      <c r="I281" s="168">
        <f>+ROUND(SUM('Alimentazione CE Costi'!L217:L220),2)</f>
        <v>2144806.7799999998</v>
      </c>
      <c r="K281" s="164"/>
      <c r="M281" s="170"/>
    </row>
    <row r="282" spans="1:13" s="176" customFormat="1" ht="24.95" customHeight="1">
      <c r="A282" s="867"/>
      <c r="B282" s="248" t="s">
        <v>806</v>
      </c>
      <c r="C282" s="249" t="s">
        <v>1799</v>
      </c>
      <c r="D282" s="234">
        <f>+D283+D286+D288+D289+D290+D287</f>
        <v>38434581.419999994</v>
      </c>
      <c r="E282" s="234">
        <f>+E283+E286+E288+E289+E290+E287</f>
        <v>0</v>
      </c>
      <c r="F282" s="157" t="s">
        <v>2123</v>
      </c>
      <c r="G282" s="169"/>
      <c r="H282" s="170"/>
      <c r="I282" s="234">
        <f>+I283+I286+I288+I289+I290+I287</f>
        <v>0</v>
      </c>
      <c r="K282" s="164"/>
      <c r="M282" s="170"/>
    </row>
    <row r="283" spans="1:13" s="176" customFormat="1" ht="24.95" customHeight="1">
      <c r="A283" s="867" t="s">
        <v>1550</v>
      </c>
      <c r="B283" s="239" t="s">
        <v>807</v>
      </c>
      <c r="C283" s="240" t="s">
        <v>1800</v>
      </c>
      <c r="D283" s="237">
        <f>+D284+D285</f>
        <v>49461</v>
      </c>
      <c r="E283" s="237">
        <f>+E284+E285</f>
        <v>0</v>
      </c>
      <c r="F283" s="157" t="s">
        <v>2123</v>
      </c>
      <c r="G283" s="169"/>
      <c r="H283" s="170"/>
      <c r="I283" s="237">
        <f>+I284+I285</f>
        <v>0</v>
      </c>
      <c r="K283" s="164"/>
      <c r="M283" s="170"/>
    </row>
    <row r="284" spans="1:13" s="158" customFormat="1" ht="24.95" customHeight="1">
      <c r="A284" s="869" t="s">
        <v>1550</v>
      </c>
      <c r="B284" s="177" t="s">
        <v>809</v>
      </c>
      <c r="C284" s="178" t="s">
        <v>1801</v>
      </c>
      <c r="D284" s="168">
        <f>+'Alimentazione CE Costi'!H223</f>
        <v>0</v>
      </c>
      <c r="E284" s="168">
        <f>+'Alimentazione CE Costi'!I223</f>
        <v>0</v>
      </c>
      <c r="F284" s="157"/>
      <c r="H284" s="170"/>
      <c r="I284" s="168">
        <f>+'Alimentazione CE Costi'!L223</f>
        <v>0</v>
      </c>
      <c r="K284" s="164"/>
      <c r="M284" s="170"/>
    </row>
    <row r="285" spans="1:13" s="158" customFormat="1" ht="24.95" customHeight="1">
      <c r="A285" s="869" t="s">
        <v>1550</v>
      </c>
      <c r="B285" s="177" t="s">
        <v>811</v>
      </c>
      <c r="C285" s="178" t="s">
        <v>1802</v>
      </c>
      <c r="D285" s="168">
        <f>+'Alimentazione CE Costi'!H224</f>
        <v>49461</v>
      </c>
      <c r="E285" s="168">
        <f>+'Alimentazione CE Costi'!I224</f>
        <v>0</v>
      </c>
      <c r="F285" s="157"/>
      <c r="H285" s="170"/>
      <c r="I285" s="168">
        <f>+'Alimentazione CE Costi'!L224</f>
        <v>0</v>
      </c>
      <c r="K285" s="164"/>
      <c r="M285" s="170"/>
    </row>
    <row r="286" spans="1:13" s="176" customFormat="1" ht="24.95" customHeight="1">
      <c r="A286" s="867"/>
      <c r="B286" s="174" t="s">
        <v>813</v>
      </c>
      <c r="C286" s="175" t="s">
        <v>1803</v>
      </c>
      <c r="D286" s="168">
        <f>+'Alimentazione CE Costi'!H226+'Alimentazione CE Costi'!H227+'Alimentazione CE Costi'!H228+'Alimentazione CE Costi'!H229</f>
        <v>12399882.27</v>
      </c>
      <c r="E286" s="168">
        <f>+'Alimentazione CE Costi'!I226+'Alimentazione CE Costi'!I227+'Alimentazione CE Costi'!I228+'Alimentazione CE Costi'!I229</f>
        <v>0</v>
      </c>
      <c r="F286" s="157"/>
      <c r="G286" s="158"/>
      <c r="H286" s="170"/>
      <c r="I286" s="168">
        <f>+'Alimentazione CE Costi'!L226+'Alimentazione CE Costi'!L227+'Alimentazione CE Costi'!L228+'Alimentazione CE Costi'!L229</f>
        <v>0</v>
      </c>
      <c r="K286" s="164"/>
      <c r="M286" s="170"/>
    </row>
    <row r="287" spans="1:13" s="176" customFormat="1" ht="24.95" customHeight="1">
      <c r="A287" s="867" t="s">
        <v>1595</v>
      </c>
      <c r="B287" s="174" t="s">
        <v>819</v>
      </c>
      <c r="C287" s="175" t="s">
        <v>1804</v>
      </c>
      <c r="D287" s="168">
        <f>+'Alimentazione CE Costi'!H230</f>
        <v>80025</v>
      </c>
      <c r="E287" s="168">
        <f>+'Alimentazione CE Costi'!I230</f>
        <v>0</v>
      </c>
      <c r="F287" s="157"/>
      <c r="G287" s="158"/>
      <c r="H287" s="170"/>
      <c r="I287" s="168">
        <f>+'Alimentazione CE Costi'!L230</f>
        <v>0</v>
      </c>
      <c r="K287" s="164"/>
      <c r="M287" s="170"/>
    </row>
    <row r="288" spans="1:13" s="176" customFormat="1" ht="24.95" customHeight="1">
      <c r="A288" s="867" t="s">
        <v>1599</v>
      </c>
      <c r="B288" s="174" t="s">
        <v>821</v>
      </c>
      <c r="C288" s="175" t="s">
        <v>1805</v>
      </c>
      <c r="D288" s="168">
        <f>+'Alimentazione CE Costi'!H231</f>
        <v>671191.67</v>
      </c>
      <c r="E288" s="168">
        <f>+'Alimentazione CE Costi'!I231</f>
        <v>0</v>
      </c>
      <c r="F288" s="157"/>
      <c r="G288" s="158"/>
      <c r="H288" s="170"/>
      <c r="I288" s="168">
        <f>+'Alimentazione CE Costi'!L231</f>
        <v>0</v>
      </c>
      <c r="K288" s="164"/>
      <c r="M288" s="170"/>
    </row>
    <row r="289" spans="1:13" s="176" customFormat="1" ht="24.95" customHeight="1">
      <c r="A289" s="867"/>
      <c r="B289" s="174" t="s">
        <v>822</v>
      </c>
      <c r="C289" s="175" t="s">
        <v>1806</v>
      </c>
      <c r="D289" s="168">
        <f>+ROUND(SUM('Alimentazione CE Costi'!H233:H240),2)</f>
        <v>23857601.539999999</v>
      </c>
      <c r="E289" s="168">
        <f>+ROUND(SUM('Alimentazione CE Costi'!I233:I240),2)</f>
        <v>0</v>
      </c>
      <c r="F289" s="157"/>
      <c r="G289" s="158"/>
      <c r="H289" s="170"/>
      <c r="I289" s="168">
        <f>+ROUND(SUM('Alimentazione CE Costi'!L233:L240),2)</f>
        <v>0</v>
      </c>
      <c r="K289" s="164"/>
      <c r="M289" s="170"/>
    </row>
    <row r="290" spans="1:13" s="176" customFormat="1" ht="24.95" customHeight="1">
      <c r="A290" s="867"/>
      <c r="B290" s="174" t="s">
        <v>828</v>
      </c>
      <c r="C290" s="175" t="s">
        <v>1807</v>
      </c>
      <c r="D290" s="168">
        <f>+'Alimentazione CE Costi'!H242+'Alimentazione CE Costi'!H243</f>
        <v>1376419.94</v>
      </c>
      <c r="E290" s="168">
        <f>+'Alimentazione CE Costi'!I242+'Alimentazione CE Costi'!I243</f>
        <v>0</v>
      </c>
      <c r="F290" s="157"/>
      <c r="G290" s="158"/>
      <c r="H290" s="170"/>
      <c r="I290" s="168">
        <f>+'Alimentazione CE Costi'!L242+'Alimentazione CE Costi'!L243</f>
        <v>0</v>
      </c>
      <c r="K290" s="164"/>
      <c r="M290" s="170"/>
    </row>
    <row r="291" spans="1:13" s="176" customFormat="1" ht="24.95" customHeight="1">
      <c r="A291" s="871"/>
      <c r="B291" s="248" t="s">
        <v>831</v>
      </c>
      <c r="C291" s="249" t="s">
        <v>1808</v>
      </c>
      <c r="D291" s="234">
        <f>SUM(D292:D298)</f>
        <v>4387659.3899999997</v>
      </c>
      <c r="E291" s="234">
        <f>SUM(E292:E298)</f>
        <v>0</v>
      </c>
      <c r="F291" s="157" t="s">
        <v>2123</v>
      </c>
      <c r="G291" s="169"/>
      <c r="H291" s="170"/>
      <c r="I291" s="234">
        <f>SUM(I292:I298)</f>
        <v>2699684.4299999997</v>
      </c>
      <c r="K291" s="164"/>
      <c r="M291" s="170"/>
    </row>
    <row r="292" spans="1:13" s="176" customFormat="1" ht="24.95" customHeight="1">
      <c r="A292" s="867"/>
      <c r="B292" s="174" t="s">
        <v>833</v>
      </c>
      <c r="C292" s="175" t="s">
        <v>1809</v>
      </c>
      <c r="D292" s="168">
        <f>+'Alimentazione CE Costi'!H245</f>
        <v>200118.73</v>
      </c>
      <c r="E292" s="168">
        <f>+'Alimentazione CE Costi'!I245</f>
        <v>0</v>
      </c>
      <c r="F292" s="157"/>
      <c r="G292" s="158"/>
      <c r="H292" s="170"/>
      <c r="I292" s="168">
        <f>+'Alimentazione CE Costi'!L245</f>
        <v>169102.4</v>
      </c>
      <c r="K292" s="164"/>
      <c r="M292" s="170"/>
    </row>
    <row r="293" spans="1:13" s="176" customFormat="1" ht="24.95" customHeight="1">
      <c r="A293" s="867"/>
      <c r="B293" s="174" t="s">
        <v>835</v>
      </c>
      <c r="C293" s="175" t="s">
        <v>1810</v>
      </c>
      <c r="D293" s="168">
        <f>+'Alimentazione CE Costi'!H246</f>
        <v>3097472.97</v>
      </c>
      <c r="E293" s="168">
        <f>+'Alimentazione CE Costi'!I246</f>
        <v>0</v>
      </c>
      <c r="F293" s="157"/>
      <c r="G293" s="158"/>
      <c r="H293" s="170"/>
      <c r="I293" s="168">
        <f>+'Alimentazione CE Costi'!L246</f>
        <v>1686377.29</v>
      </c>
      <c r="K293" s="164"/>
      <c r="M293" s="170"/>
    </row>
    <row r="294" spans="1:13" s="176" customFormat="1" ht="24.95" customHeight="1">
      <c r="A294" s="867"/>
      <c r="B294" s="174" t="s">
        <v>837</v>
      </c>
      <c r="C294" s="175" t="s">
        <v>1811</v>
      </c>
      <c r="D294" s="168">
        <f>+'Alimentazione CE Costi'!H247</f>
        <v>0</v>
      </c>
      <c r="E294" s="168">
        <f>+'Alimentazione CE Costi'!I247</f>
        <v>0</v>
      </c>
      <c r="F294" s="157"/>
      <c r="G294" s="158"/>
      <c r="H294" s="170"/>
      <c r="I294" s="168">
        <f>+'Alimentazione CE Costi'!L247</f>
        <v>0</v>
      </c>
      <c r="K294" s="164"/>
      <c r="M294" s="170"/>
    </row>
    <row r="295" spans="1:13" s="176" customFormat="1" ht="24.95" customHeight="1">
      <c r="A295" s="867"/>
      <c r="B295" s="174" t="s">
        <v>839</v>
      </c>
      <c r="C295" s="175" t="s">
        <v>1812</v>
      </c>
      <c r="D295" s="168">
        <f>+'Alimentazione CE Costi'!H249+'Alimentazione CE Costi'!H250+'Alimentazione CE Costi'!H251+'Alimentazione CE Costi'!H252</f>
        <v>459661.55</v>
      </c>
      <c r="E295" s="168">
        <f>+'Alimentazione CE Costi'!I249+'Alimentazione CE Costi'!I250+'Alimentazione CE Costi'!I251+'Alimentazione CE Costi'!I252</f>
        <v>0</v>
      </c>
      <c r="F295" s="157"/>
      <c r="G295" s="158"/>
      <c r="H295" s="170"/>
      <c r="I295" s="168">
        <f>+'Alimentazione CE Costi'!L249+'Alimentazione CE Costi'!L250+'Alimentazione CE Costi'!L251+'Alimentazione CE Costi'!L252</f>
        <v>440798.27999999997</v>
      </c>
      <c r="K295" s="164"/>
      <c r="M295" s="170"/>
    </row>
    <row r="296" spans="1:13" s="176" customFormat="1" ht="24.95" customHeight="1">
      <c r="A296" s="867" t="s">
        <v>1550</v>
      </c>
      <c r="B296" s="174" t="s">
        <v>845</v>
      </c>
      <c r="C296" s="175" t="s">
        <v>1813</v>
      </c>
      <c r="D296" s="168">
        <f>+'Alimentazione CE Costi'!H254+'Alimentazione CE Costi'!H255+'Alimentazione CE Costi'!H256+'Alimentazione CE Costi'!H257</f>
        <v>0</v>
      </c>
      <c r="E296" s="168">
        <f>+'Alimentazione CE Costi'!I254+'Alimentazione CE Costi'!I255+'Alimentazione CE Costi'!I256+'Alimentazione CE Costi'!I257</f>
        <v>0</v>
      </c>
      <c r="F296" s="157"/>
      <c r="G296" s="158"/>
      <c r="H296" s="170"/>
      <c r="I296" s="168">
        <f>+'Alimentazione CE Costi'!L254+'Alimentazione CE Costi'!L255+'Alimentazione CE Costi'!L256+'Alimentazione CE Costi'!L257</f>
        <v>0</v>
      </c>
      <c r="K296" s="164"/>
      <c r="M296" s="170"/>
    </row>
    <row r="297" spans="1:13" s="176" customFormat="1" ht="24.95" customHeight="1">
      <c r="A297" s="867"/>
      <c r="B297" s="174" t="s">
        <v>847</v>
      </c>
      <c r="C297" s="175" t="s">
        <v>1814</v>
      </c>
      <c r="D297" s="168">
        <f>+ROUND(SUM('Alimentazione CE Costi'!H259:H269),2)</f>
        <v>630406.14</v>
      </c>
      <c r="E297" s="168">
        <f>+ROUND(SUM('Alimentazione CE Costi'!I259:I269),2)</f>
        <v>0</v>
      </c>
      <c r="F297" s="157"/>
      <c r="G297" s="158"/>
      <c r="H297" s="170"/>
      <c r="I297" s="168">
        <f>+ROUND(SUM('Alimentazione CE Costi'!L259:L269),2)</f>
        <v>403406.46</v>
      </c>
      <c r="K297" s="164"/>
      <c r="M297" s="170"/>
    </row>
    <row r="298" spans="1:13" s="176" customFormat="1" ht="24.95" customHeight="1">
      <c r="A298" s="867" t="s">
        <v>1550</v>
      </c>
      <c r="B298" s="174" t="s">
        <v>858</v>
      </c>
      <c r="C298" s="175" t="s">
        <v>1815</v>
      </c>
      <c r="D298" s="168">
        <f>+ROUND(SUM('Alimentazione CE Costi'!H271:H279),2)</f>
        <v>0</v>
      </c>
      <c r="E298" s="168">
        <f>+ROUND(SUM('Alimentazione CE Costi'!I271:I279),2)</f>
        <v>0</v>
      </c>
      <c r="F298" s="157"/>
      <c r="G298" s="158"/>
      <c r="H298" s="170"/>
      <c r="I298" s="168">
        <f>+ROUND(SUM('Alimentazione CE Costi'!L271:L279),2)</f>
        <v>0</v>
      </c>
      <c r="K298" s="164"/>
      <c r="M298" s="170"/>
    </row>
    <row r="299" spans="1:13" s="176" customFormat="1" ht="24.95" customHeight="1">
      <c r="A299" s="867"/>
      <c r="B299" s="248" t="s">
        <v>860</v>
      </c>
      <c r="C299" s="249" t="s">
        <v>1816</v>
      </c>
      <c r="D299" s="234">
        <f>SUM(D300:D306)</f>
        <v>4345782.1399999997</v>
      </c>
      <c r="E299" s="234">
        <f>SUM(E300:E306)</f>
        <v>0</v>
      </c>
      <c r="F299" s="157" t="s">
        <v>2123</v>
      </c>
      <c r="G299" s="169"/>
      <c r="H299" s="170"/>
      <c r="I299" s="234">
        <f>SUM(I300:I306)</f>
        <v>567745.27</v>
      </c>
      <c r="K299" s="164"/>
      <c r="M299" s="170"/>
    </row>
    <row r="300" spans="1:13" s="176" customFormat="1" ht="24.95" customHeight="1">
      <c r="A300" s="871"/>
      <c r="B300" s="174" t="s">
        <v>862</v>
      </c>
      <c r="C300" s="175" t="s">
        <v>1817</v>
      </c>
      <c r="D300" s="168">
        <f>+'Alimentazione CE Costi'!H281</f>
        <v>217883.94</v>
      </c>
      <c r="E300" s="168">
        <f>+'Alimentazione CE Costi'!I281</f>
        <v>0</v>
      </c>
      <c r="F300" s="157"/>
      <c r="G300" s="158"/>
      <c r="H300" s="170"/>
      <c r="I300" s="168">
        <f>+'Alimentazione CE Costi'!L281</f>
        <v>0</v>
      </c>
      <c r="K300" s="164"/>
      <c r="M300" s="170"/>
    </row>
    <row r="301" spans="1:13" s="176" customFormat="1" ht="24.95" customHeight="1">
      <c r="A301" s="871"/>
      <c r="B301" s="174" t="s">
        <v>864</v>
      </c>
      <c r="C301" s="175" t="s">
        <v>1818</v>
      </c>
      <c r="D301" s="168">
        <f>+'Alimentazione CE Costi'!H282</f>
        <v>1273.0999999999999</v>
      </c>
      <c r="E301" s="168">
        <f>+'Alimentazione CE Costi'!I282</f>
        <v>0</v>
      </c>
      <c r="F301" s="157"/>
      <c r="G301" s="158"/>
      <c r="H301" s="170"/>
      <c r="I301" s="168">
        <f>+'Alimentazione CE Costi'!L282</f>
        <v>0</v>
      </c>
      <c r="K301" s="164"/>
      <c r="M301" s="170"/>
    </row>
    <row r="302" spans="1:13" s="176" customFormat="1" ht="24.95" customHeight="1">
      <c r="A302" s="867"/>
      <c r="B302" s="174" t="s">
        <v>866</v>
      </c>
      <c r="C302" s="175" t="s">
        <v>1819</v>
      </c>
      <c r="D302" s="168">
        <f>+'Alimentazione CE Costi'!H283</f>
        <v>0</v>
      </c>
      <c r="E302" s="168">
        <f>+'Alimentazione CE Costi'!I283</f>
        <v>0</v>
      </c>
      <c r="F302" s="157"/>
      <c r="G302" s="158"/>
      <c r="H302" s="170"/>
      <c r="I302" s="168">
        <f>+'Alimentazione CE Costi'!L283</f>
        <v>0</v>
      </c>
      <c r="K302" s="164"/>
      <c r="M302" s="170"/>
    </row>
    <row r="303" spans="1:13" s="176" customFormat="1" ht="24.95" customHeight="1">
      <c r="A303" s="871"/>
      <c r="B303" s="174" t="s">
        <v>868</v>
      </c>
      <c r="C303" s="175" t="s">
        <v>1820</v>
      </c>
      <c r="D303" s="168">
        <f>+'Alimentazione CE Costi'!H284</f>
        <v>117906.15</v>
      </c>
      <c r="E303" s="168">
        <f>+'Alimentazione CE Costi'!I284</f>
        <v>0</v>
      </c>
      <c r="F303" s="157"/>
      <c r="G303" s="158"/>
      <c r="H303" s="170"/>
      <c r="I303" s="168">
        <f>+'Alimentazione CE Costi'!L284</f>
        <v>0</v>
      </c>
      <c r="K303" s="164"/>
      <c r="M303" s="170"/>
    </row>
    <row r="304" spans="1:13" s="176" customFormat="1" ht="24.95" customHeight="1">
      <c r="A304" s="871"/>
      <c r="B304" s="174" t="s">
        <v>870</v>
      </c>
      <c r="C304" s="175" t="s">
        <v>1821</v>
      </c>
      <c r="D304" s="168">
        <f>+ROUND(SUM('Alimentazione CE Costi'!H286:H295),2)</f>
        <v>2635712.7799999998</v>
      </c>
      <c r="E304" s="168">
        <f>+ROUND(SUM('Alimentazione CE Costi'!I286:I295),2)</f>
        <v>0</v>
      </c>
      <c r="F304" s="157"/>
      <c r="G304" s="158"/>
      <c r="H304" s="170"/>
      <c r="I304" s="168">
        <f>+ROUND(SUM('Alimentazione CE Costi'!L286:L295),2)</f>
        <v>70582.78</v>
      </c>
      <c r="K304" s="164"/>
      <c r="M304" s="170"/>
    </row>
    <row r="305" spans="1:13" s="176" customFormat="1" ht="24.95" customHeight="1">
      <c r="A305" s="871" t="s">
        <v>1550</v>
      </c>
      <c r="B305" s="174" t="s">
        <v>881</v>
      </c>
      <c r="C305" s="175" t="s">
        <v>1822</v>
      </c>
      <c r="D305" s="168">
        <f>+'Alimentazione CE Costi'!H297+'Alimentazione CE Costi'!H298</f>
        <v>1373006.17</v>
      </c>
      <c r="E305" s="168">
        <f>+'Alimentazione CE Costi'!I297+'Alimentazione CE Costi'!I298</f>
        <v>0</v>
      </c>
      <c r="F305" s="157"/>
      <c r="G305" s="158"/>
      <c r="H305" s="170"/>
      <c r="I305" s="168">
        <f>+'Alimentazione CE Costi'!L297+'Alimentazione CE Costi'!L298</f>
        <v>497162.49</v>
      </c>
      <c r="K305" s="164"/>
      <c r="M305" s="170"/>
    </row>
    <row r="306" spans="1:13" s="187" customFormat="1" ht="24.95" customHeight="1">
      <c r="A306" s="867" t="s">
        <v>1550</v>
      </c>
      <c r="B306" s="174" t="s">
        <v>885</v>
      </c>
      <c r="C306" s="175" t="s">
        <v>1823</v>
      </c>
      <c r="D306" s="168">
        <f>+'Alimentazione CE Costi'!H299</f>
        <v>0</v>
      </c>
      <c r="E306" s="168">
        <f>+'Alimentazione CE Costi'!I299</f>
        <v>0</v>
      </c>
      <c r="F306" s="157"/>
      <c r="G306" s="157"/>
      <c r="H306" s="193"/>
      <c r="I306" s="168">
        <f>+'Alimentazione CE Costi'!L299</f>
        <v>0</v>
      </c>
      <c r="K306" s="164"/>
      <c r="M306" s="170"/>
    </row>
    <row r="307" spans="1:13" s="176" customFormat="1" ht="24.95" customHeight="1">
      <c r="A307" s="867"/>
      <c r="B307" s="248" t="s">
        <v>887</v>
      </c>
      <c r="C307" s="249" t="s">
        <v>1824</v>
      </c>
      <c r="D307" s="234">
        <f>SUM(D308:D310,D317)</f>
        <v>9584636.9800000004</v>
      </c>
      <c r="E307" s="234">
        <f>SUM(E308:E310,E317)</f>
        <v>0</v>
      </c>
      <c r="F307" s="157" t="s">
        <v>2123</v>
      </c>
      <c r="G307" s="169"/>
      <c r="H307" s="170"/>
      <c r="I307" s="234">
        <f>SUM(I308:I310,I317)</f>
        <v>3786242.0259999996</v>
      </c>
      <c r="K307" s="164"/>
      <c r="M307" s="170"/>
    </row>
    <row r="308" spans="1:13" s="158" customFormat="1" ht="24.95" customHeight="1">
      <c r="A308" s="869" t="s">
        <v>1550</v>
      </c>
      <c r="B308" s="174" t="s">
        <v>889</v>
      </c>
      <c r="C308" s="175" t="s">
        <v>1825</v>
      </c>
      <c r="D308" s="168">
        <f>+'Alimentazione CE Costi'!H301</f>
        <v>71263.149999999994</v>
      </c>
      <c r="E308" s="168">
        <f>+'Alimentazione CE Costi'!I301</f>
        <v>0</v>
      </c>
      <c r="F308" s="157"/>
      <c r="H308" s="170"/>
      <c r="I308" s="168">
        <f>+'Alimentazione CE Costi'!L301</f>
        <v>46020.590000000004</v>
      </c>
      <c r="K308" s="164"/>
      <c r="M308" s="170"/>
    </row>
    <row r="309" spans="1:13" s="158" customFormat="1" ht="24.95" customHeight="1">
      <c r="A309" s="869"/>
      <c r="B309" s="174" t="s">
        <v>891</v>
      </c>
      <c r="C309" s="175" t="s">
        <v>1826</v>
      </c>
      <c r="D309" s="168">
        <f>+'Alimentazione CE Costi'!H302</f>
        <v>18030.46</v>
      </c>
      <c r="E309" s="168">
        <f>+'Alimentazione CE Costi'!I302</f>
        <v>0</v>
      </c>
      <c r="F309" s="157"/>
      <c r="H309" s="170"/>
      <c r="I309" s="168">
        <f>+'Alimentazione CE Costi'!L302</f>
        <v>18030.46</v>
      </c>
      <c r="K309" s="164"/>
      <c r="M309" s="170"/>
    </row>
    <row r="310" spans="1:13" s="158" customFormat="1" ht="24.95" customHeight="1">
      <c r="A310" s="869"/>
      <c r="B310" s="239" t="s">
        <v>893</v>
      </c>
      <c r="C310" s="240" t="s">
        <v>1827</v>
      </c>
      <c r="D310" s="237">
        <f>SUM(D311:D316)</f>
        <v>9269984.1400000006</v>
      </c>
      <c r="E310" s="237">
        <f>SUM(E311:E316)</f>
        <v>0</v>
      </c>
      <c r="F310" s="157" t="s">
        <v>2123</v>
      </c>
      <c r="G310" s="169"/>
      <c r="H310" s="170"/>
      <c r="I310" s="237">
        <f>SUM(I311:I316)</f>
        <v>3697211.656</v>
      </c>
      <c r="K310" s="164"/>
      <c r="M310" s="170"/>
    </row>
    <row r="311" spans="1:13" s="158" customFormat="1" ht="24.95" customHeight="1">
      <c r="A311" s="869"/>
      <c r="B311" s="177" t="s">
        <v>895</v>
      </c>
      <c r="C311" s="178" t="s">
        <v>1828</v>
      </c>
      <c r="D311" s="168">
        <f>+'Alimentazione CE Costi'!H304</f>
        <v>0</v>
      </c>
      <c r="E311" s="168">
        <f>+'Alimentazione CE Costi'!I304</f>
        <v>0</v>
      </c>
      <c r="F311" s="157"/>
      <c r="H311" s="170"/>
      <c r="I311" s="168">
        <f>+'Alimentazione CE Costi'!L304</f>
        <v>0</v>
      </c>
      <c r="K311" s="164"/>
      <c r="M311" s="170"/>
    </row>
    <row r="312" spans="1:13" s="158" customFormat="1" ht="24.95" customHeight="1">
      <c r="A312" s="869"/>
      <c r="B312" s="177" t="s">
        <v>897</v>
      </c>
      <c r="C312" s="178" t="s">
        <v>1829</v>
      </c>
      <c r="D312" s="168">
        <f>+'Alimentazione CE Costi'!H306+'Alimentazione CE Costi'!H307+'Alimentazione CE Costi'!H308</f>
        <v>218258.37</v>
      </c>
      <c r="E312" s="168">
        <f>+'Alimentazione CE Costi'!I306+'Alimentazione CE Costi'!I307+'Alimentazione CE Costi'!I308</f>
        <v>0</v>
      </c>
      <c r="F312" s="157"/>
      <c r="H312" s="170"/>
      <c r="I312" s="168">
        <f>+'Alimentazione CE Costi'!L306+'Alimentazione CE Costi'!L307+'Alimentazione CE Costi'!L308</f>
        <v>168837.16</v>
      </c>
      <c r="K312" s="164"/>
      <c r="M312" s="170"/>
    </row>
    <row r="313" spans="1:13" s="158" customFormat="1" ht="24.95" customHeight="1">
      <c r="A313" s="869"/>
      <c r="B313" s="177" t="s">
        <v>902</v>
      </c>
      <c r="C313" s="178" t="s">
        <v>1830</v>
      </c>
      <c r="D313" s="168">
        <f>+'Alimentazione CE Costi'!H310+'Alimentazione CE Costi'!H311+'Alimentazione CE Costi'!H312+'Alimentazione CE Costi'!H313</f>
        <v>3870443.6799999997</v>
      </c>
      <c r="E313" s="168">
        <f>+'Alimentazione CE Costi'!I310+'Alimentazione CE Costi'!I311+'Alimentazione CE Costi'!I312+'Alimentazione CE Costi'!I313</f>
        <v>0</v>
      </c>
      <c r="F313" s="157"/>
      <c r="H313" s="170"/>
      <c r="I313" s="168">
        <f>+'Alimentazione CE Costi'!L310+'Alimentazione CE Costi'!L311+'Alimentazione CE Costi'!L312+'Alimentazione CE Costi'!L313</f>
        <v>2330163.7259999998</v>
      </c>
      <c r="K313" s="164"/>
      <c r="M313" s="170"/>
    </row>
    <row r="314" spans="1:13" s="158" customFormat="1" ht="24.95" customHeight="1">
      <c r="A314" s="869"/>
      <c r="B314" s="177" t="s">
        <v>908</v>
      </c>
      <c r="C314" s="178" t="s">
        <v>1831</v>
      </c>
      <c r="D314" s="168">
        <f>+'Alimentazione CE Costi'!H315+'Alimentazione CE Costi'!H316</f>
        <v>3218723.5500000003</v>
      </c>
      <c r="E314" s="168">
        <f>+'Alimentazione CE Costi'!I315+'Alimentazione CE Costi'!I316</f>
        <v>0</v>
      </c>
      <c r="F314" s="157"/>
      <c r="H314" s="170"/>
      <c r="I314" s="168">
        <f>+'Alimentazione CE Costi'!L315+'Alimentazione CE Costi'!L316</f>
        <v>0</v>
      </c>
      <c r="K314" s="164"/>
      <c r="M314" s="170"/>
    </row>
    <row r="315" spans="1:13" s="158" customFormat="1" ht="24.95" customHeight="1">
      <c r="A315" s="869"/>
      <c r="B315" s="177" t="s">
        <v>911</v>
      </c>
      <c r="C315" s="178" t="s">
        <v>1832</v>
      </c>
      <c r="D315" s="168">
        <f>+'Alimentazione CE Costi'!H317</f>
        <v>738869.96</v>
      </c>
      <c r="E315" s="168">
        <f>+'Alimentazione CE Costi'!I317</f>
        <v>0</v>
      </c>
      <c r="F315" s="157"/>
      <c r="H315" s="170"/>
      <c r="I315" s="168">
        <f>+'Alimentazione CE Costi'!L317</f>
        <v>733817.4</v>
      </c>
      <c r="K315" s="164"/>
      <c r="M315" s="170"/>
    </row>
    <row r="316" spans="1:13" s="158" customFormat="1" ht="24.95" customHeight="1">
      <c r="A316" s="869"/>
      <c r="B316" s="177" t="s">
        <v>913</v>
      </c>
      <c r="C316" s="178" t="s">
        <v>1833</v>
      </c>
      <c r="D316" s="168">
        <f>+ROUND(SUM('Alimentazione CE Costi'!H319:H327),2)</f>
        <v>1223688.58</v>
      </c>
      <c r="E316" s="168">
        <f>+ROUND(SUM('Alimentazione CE Costi'!I319:I327),2)</f>
        <v>0</v>
      </c>
      <c r="F316" s="157"/>
      <c r="H316" s="170"/>
      <c r="I316" s="168">
        <f>+ROUND(SUM('Alimentazione CE Costi'!L319:L327),2)</f>
        <v>464393.37</v>
      </c>
      <c r="K316" s="164"/>
      <c r="M316" s="170"/>
    </row>
    <row r="317" spans="1:13" s="158" customFormat="1" ht="24.95" customHeight="1">
      <c r="A317" s="869"/>
      <c r="B317" s="239" t="s">
        <v>924</v>
      </c>
      <c r="C317" s="240" t="s">
        <v>1834</v>
      </c>
      <c r="D317" s="237">
        <f>SUM(D318:D320)</f>
        <v>225359.23</v>
      </c>
      <c r="E317" s="237">
        <f>SUM(E318:E320)</f>
        <v>0</v>
      </c>
      <c r="F317" s="157" t="s">
        <v>2123</v>
      </c>
      <c r="G317" s="169"/>
      <c r="H317" s="170"/>
      <c r="I317" s="237">
        <f>SUM(I318:I320)</f>
        <v>24979.32</v>
      </c>
      <c r="K317" s="164"/>
      <c r="M317" s="170"/>
    </row>
    <row r="318" spans="1:13" s="158" customFormat="1" ht="24.95" customHeight="1">
      <c r="A318" s="869" t="s">
        <v>1550</v>
      </c>
      <c r="B318" s="177" t="s">
        <v>926</v>
      </c>
      <c r="C318" s="178" t="s">
        <v>1835</v>
      </c>
      <c r="D318" s="168">
        <f>+'Alimentazione CE Costi'!H329</f>
        <v>26418.23</v>
      </c>
      <c r="E318" s="168">
        <f>+'Alimentazione CE Costi'!I329</f>
        <v>0</v>
      </c>
      <c r="F318" s="157"/>
      <c r="H318" s="170"/>
      <c r="I318" s="168">
        <f>+'Alimentazione CE Costi'!L329</f>
        <v>24979.32</v>
      </c>
      <c r="K318" s="164"/>
      <c r="M318" s="170"/>
    </row>
    <row r="319" spans="1:13" s="158" customFormat="1" ht="24.95" customHeight="1">
      <c r="A319" s="869"/>
      <c r="B319" s="177" t="s">
        <v>928</v>
      </c>
      <c r="C319" s="178" t="s">
        <v>1836</v>
      </c>
      <c r="D319" s="168">
        <f>+'Alimentazione CE Costi'!H330</f>
        <v>0</v>
      </c>
      <c r="E319" s="168">
        <f>+'Alimentazione CE Costi'!I330</f>
        <v>0</v>
      </c>
      <c r="F319" s="157"/>
      <c r="H319" s="170"/>
      <c r="I319" s="168">
        <f>+'Alimentazione CE Costi'!L330</f>
        <v>0</v>
      </c>
      <c r="K319" s="164"/>
      <c r="M319" s="170"/>
    </row>
    <row r="320" spans="1:13" s="158" customFormat="1" ht="24.95" customHeight="1">
      <c r="A320" s="869" t="s">
        <v>1599</v>
      </c>
      <c r="B320" s="177" t="s">
        <v>930</v>
      </c>
      <c r="C320" s="178" t="s">
        <v>1837</v>
      </c>
      <c r="D320" s="168">
        <f>+'Alimentazione CE Costi'!H331</f>
        <v>198941</v>
      </c>
      <c r="E320" s="168">
        <f>+'Alimentazione CE Costi'!I331</f>
        <v>0</v>
      </c>
      <c r="F320" s="157"/>
      <c r="H320" s="170"/>
      <c r="I320" s="168">
        <f>+'Alimentazione CE Costi'!L331</f>
        <v>0</v>
      </c>
      <c r="K320" s="164"/>
      <c r="M320" s="170"/>
    </row>
    <row r="321" spans="1:13" s="158" customFormat="1" ht="24.95" customHeight="1">
      <c r="A321" s="869"/>
      <c r="B321" s="248" t="s">
        <v>932</v>
      </c>
      <c r="C321" s="249" t="s">
        <v>1838</v>
      </c>
      <c r="D321" s="234">
        <f>SUM(D322:D328)</f>
        <v>5406217.3100000005</v>
      </c>
      <c r="E321" s="234">
        <f>SUM(E322:E328)</f>
        <v>0</v>
      </c>
      <c r="F321" s="157" t="s">
        <v>2123</v>
      </c>
      <c r="G321" s="169"/>
      <c r="H321" s="170"/>
      <c r="I321" s="234">
        <f>SUM(I322:I328)</f>
        <v>2721866.02</v>
      </c>
      <c r="K321" s="164"/>
      <c r="M321" s="170"/>
    </row>
    <row r="322" spans="1:13" s="158" customFormat="1" ht="24.95" customHeight="1">
      <c r="A322" s="874" t="s">
        <v>1550</v>
      </c>
      <c r="B322" s="174" t="s">
        <v>934</v>
      </c>
      <c r="C322" s="175" t="s">
        <v>1839</v>
      </c>
      <c r="D322" s="168">
        <f>+'Alimentazione CE Costi'!H333</f>
        <v>75327</v>
      </c>
      <c r="E322" s="168">
        <f>+'Alimentazione CE Costi'!I333</f>
        <v>0</v>
      </c>
      <c r="F322" s="157"/>
      <c r="H322" s="170"/>
      <c r="I322" s="168">
        <f>+'Alimentazione CE Costi'!L333</f>
        <v>0</v>
      </c>
      <c r="K322" s="164"/>
      <c r="M322" s="170"/>
    </row>
    <row r="323" spans="1:13" s="158" customFormat="1" ht="24.95" customHeight="1">
      <c r="A323" s="869"/>
      <c r="B323" s="174" t="s">
        <v>936</v>
      </c>
      <c r="C323" s="175" t="s">
        <v>1840</v>
      </c>
      <c r="D323" s="168">
        <f>+'Alimentazione CE Costi'!H334</f>
        <v>33366.199999999997</v>
      </c>
      <c r="E323" s="168">
        <f>+'Alimentazione CE Costi'!I334</f>
        <v>0</v>
      </c>
      <c r="F323" s="157"/>
      <c r="H323" s="170"/>
      <c r="I323" s="168">
        <f>+'Alimentazione CE Costi'!L334</f>
        <v>0</v>
      </c>
      <c r="K323" s="164"/>
      <c r="M323" s="170"/>
    </row>
    <row r="324" spans="1:13" s="158" customFormat="1" ht="24.95" customHeight="1">
      <c r="A324" s="869" t="s">
        <v>1599</v>
      </c>
      <c r="B324" s="174" t="s">
        <v>938</v>
      </c>
      <c r="C324" s="175" t="s">
        <v>1841</v>
      </c>
      <c r="D324" s="168">
        <f>+'Alimentazione CE Costi'!H335</f>
        <v>16224.11</v>
      </c>
      <c r="E324" s="168">
        <f>+'Alimentazione CE Costi'!I335</f>
        <v>0</v>
      </c>
      <c r="F324" s="157"/>
      <c r="H324" s="170"/>
      <c r="I324" s="168">
        <f>+'Alimentazione CE Costi'!L335</f>
        <v>0</v>
      </c>
      <c r="K324" s="164"/>
      <c r="M324" s="170"/>
    </row>
    <row r="325" spans="1:13" s="158" customFormat="1" ht="24.95" customHeight="1">
      <c r="A325" s="874"/>
      <c r="B325" s="174" t="s">
        <v>940</v>
      </c>
      <c r="C325" s="175" t="s">
        <v>1842</v>
      </c>
      <c r="D325" s="168">
        <f>+'Alimentazione CE Costi'!H337+'Alimentazione CE Costi'!H338</f>
        <v>4007033</v>
      </c>
      <c r="E325" s="168">
        <f>+'Alimentazione CE Costi'!I337+'Alimentazione CE Costi'!I338</f>
        <v>0</v>
      </c>
      <c r="F325" s="157"/>
      <c r="H325" s="170"/>
      <c r="I325" s="168">
        <f>+'Alimentazione CE Costi'!L337+'Alimentazione CE Costi'!L338</f>
        <v>2721866.02</v>
      </c>
      <c r="K325" s="164"/>
      <c r="M325" s="170"/>
    </row>
    <row r="326" spans="1:13" s="176" customFormat="1" ht="24.95" customHeight="1">
      <c r="A326" s="871"/>
      <c r="B326" s="174" t="s">
        <v>943</v>
      </c>
      <c r="C326" s="175" t="s">
        <v>1843</v>
      </c>
      <c r="D326" s="168">
        <f>+'Alimentazione CE Costi'!H339</f>
        <v>1274267</v>
      </c>
      <c r="E326" s="168">
        <f>+'Alimentazione CE Costi'!I339</f>
        <v>0</v>
      </c>
      <c r="F326" s="157"/>
      <c r="G326" s="158"/>
      <c r="H326" s="170"/>
      <c r="I326" s="168">
        <f>+'Alimentazione CE Costi'!L339</f>
        <v>0</v>
      </c>
      <c r="K326" s="164"/>
      <c r="M326" s="170"/>
    </row>
    <row r="327" spans="1:13" s="176" customFormat="1" ht="24.95" customHeight="1">
      <c r="A327" s="871" t="s">
        <v>1550</v>
      </c>
      <c r="B327" s="174" t="s">
        <v>945</v>
      </c>
      <c r="C327" s="175" t="s">
        <v>1844</v>
      </c>
      <c r="D327" s="168">
        <f>+'Alimentazione CE Costi'!H340</f>
        <v>0</v>
      </c>
      <c r="E327" s="168">
        <f>+'Alimentazione CE Costi'!I340</f>
        <v>0</v>
      </c>
      <c r="F327" s="157"/>
      <c r="G327" s="158"/>
      <c r="H327" s="170"/>
      <c r="I327" s="168">
        <f>+'Alimentazione CE Costi'!L340</f>
        <v>0</v>
      </c>
      <c r="K327" s="164"/>
      <c r="M327" s="170"/>
    </row>
    <row r="328" spans="1:13" s="176" customFormat="1" ht="24.95" customHeight="1">
      <c r="A328" s="871" t="s">
        <v>1599</v>
      </c>
      <c r="B328" s="174" t="s">
        <v>947</v>
      </c>
      <c r="C328" s="175" t="s">
        <v>1845</v>
      </c>
      <c r="D328" s="168">
        <f>+'Alimentazione CE Costi'!H341</f>
        <v>0</v>
      </c>
      <c r="E328" s="168">
        <f>+'Alimentazione CE Costi'!I341</f>
        <v>0</v>
      </c>
      <c r="F328" s="157"/>
      <c r="G328" s="158"/>
      <c r="H328" s="170"/>
      <c r="I328" s="168">
        <f>+'Alimentazione CE Costi'!L341</f>
        <v>0</v>
      </c>
      <c r="K328" s="164"/>
      <c r="M328" s="170"/>
    </row>
    <row r="329" spans="1:13" s="176" customFormat="1" ht="24.95" customHeight="1">
      <c r="A329" s="875" t="s">
        <v>1595</v>
      </c>
      <c r="B329" s="171" t="s">
        <v>948</v>
      </c>
      <c r="C329" s="172" t="s">
        <v>1846</v>
      </c>
      <c r="D329" s="168">
        <f>+'Alimentazione CE Costi'!H342</f>
        <v>0</v>
      </c>
      <c r="E329" s="168">
        <f>+'Alimentazione CE Costi'!I342</f>
        <v>0</v>
      </c>
      <c r="F329" s="157"/>
      <c r="G329" s="158"/>
      <c r="H329" s="170"/>
      <c r="I329" s="168">
        <f>+'Alimentazione CE Costi'!L342</f>
        <v>0</v>
      </c>
      <c r="K329" s="164"/>
      <c r="M329" s="170"/>
    </row>
    <row r="330" spans="1:13" s="176" customFormat="1" ht="24.95" customHeight="1">
      <c r="A330" s="871"/>
      <c r="B330" s="221" t="s">
        <v>950</v>
      </c>
      <c r="C330" s="222" t="s">
        <v>1847</v>
      </c>
      <c r="D330" s="220">
        <f>+D331+D351+D365</f>
        <v>63927960.75999999</v>
      </c>
      <c r="E330" s="220">
        <f>+E331+E351+E365</f>
        <v>0</v>
      </c>
      <c r="F330" s="157" t="s">
        <v>2123</v>
      </c>
      <c r="G330" s="158"/>
      <c r="H330" s="170"/>
      <c r="I330" s="220">
        <f>+I331+I351+I365</f>
        <v>46286672.166000001</v>
      </c>
      <c r="K330" s="164"/>
      <c r="M330" s="170"/>
    </row>
    <row r="331" spans="1:13" s="176" customFormat="1" ht="24.95" customHeight="1">
      <c r="A331" s="867"/>
      <c r="B331" s="248" t="s">
        <v>952</v>
      </c>
      <c r="C331" s="249" t="s">
        <v>1848</v>
      </c>
      <c r="D331" s="234">
        <f>+D332+D333+D334+D337+D338+D339+D340+D341+D342+D343+D344+D347</f>
        <v>61826534.779999986</v>
      </c>
      <c r="E331" s="234">
        <f>+E332+E333+E334+E337+E338+E339+E340+E341+E342+E343+E344+E347</f>
        <v>0</v>
      </c>
      <c r="F331" s="157" t="s">
        <v>2123</v>
      </c>
      <c r="G331" s="169"/>
      <c r="H331" s="170"/>
      <c r="I331" s="234">
        <f>+I332+I333+I334+I337+I338+I339+I340+I341+I342+I343+I344+I347</f>
        <v>44931520.155999996</v>
      </c>
      <c r="K331" s="164"/>
      <c r="M331" s="170"/>
    </row>
    <row r="332" spans="1:13" s="176" customFormat="1" ht="24.95" customHeight="1">
      <c r="A332" s="867"/>
      <c r="B332" s="174" t="s">
        <v>954</v>
      </c>
      <c r="C332" s="175" t="s">
        <v>1849</v>
      </c>
      <c r="D332" s="168">
        <f>+'Alimentazione CE Costi'!H345</f>
        <v>6546387.6500000004</v>
      </c>
      <c r="E332" s="168">
        <f>+'Alimentazione CE Costi'!I345</f>
        <v>0</v>
      </c>
      <c r="F332" s="157"/>
      <c r="G332" s="158"/>
      <c r="H332" s="170"/>
      <c r="I332" s="168">
        <f>+'Alimentazione CE Costi'!L345</f>
        <v>6192068.0779999997</v>
      </c>
      <c r="K332" s="164"/>
      <c r="M332" s="170"/>
    </row>
    <row r="333" spans="1:13" s="176" customFormat="1" ht="24.95" customHeight="1">
      <c r="A333" s="867"/>
      <c r="B333" s="174" t="s">
        <v>956</v>
      </c>
      <c r="C333" s="175" t="s">
        <v>1850</v>
      </c>
      <c r="D333" s="168">
        <f>+'Alimentazione CE Costi'!H346</f>
        <v>10735386.35</v>
      </c>
      <c r="E333" s="168">
        <f>+'Alimentazione CE Costi'!I346</f>
        <v>0</v>
      </c>
      <c r="F333" s="157"/>
      <c r="G333" s="158"/>
      <c r="H333" s="170"/>
      <c r="I333" s="168">
        <f>+'Alimentazione CE Costi'!L346</f>
        <v>8456803.870000001</v>
      </c>
      <c r="K333" s="164"/>
      <c r="M333" s="170"/>
    </row>
    <row r="334" spans="1:13" s="176" customFormat="1" ht="24.95" customHeight="1">
      <c r="A334" s="867"/>
      <c r="B334" s="239" t="s">
        <v>958</v>
      </c>
      <c r="C334" s="240" t="s">
        <v>1851</v>
      </c>
      <c r="D334" s="237">
        <f>+D335+D336</f>
        <v>7341117.0099999998</v>
      </c>
      <c r="E334" s="237">
        <f>+E335+E336</f>
        <v>0</v>
      </c>
      <c r="F334" s="157" t="s">
        <v>2123</v>
      </c>
      <c r="G334" s="169"/>
      <c r="H334" s="170"/>
      <c r="I334" s="237">
        <f>+I335+I336</f>
        <v>5840728.2400000002</v>
      </c>
      <c r="K334" s="164"/>
      <c r="M334" s="170"/>
    </row>
    <row r="335" spans="1:13" s="187" customFormat="1" ht="24.95" customHeight="1">
      <c r="A335" s="867"/>
      <c r="B335" s="174" t="s">
        <v>960</v>
      </c>
      <c r="C335" s="175" t="s">
        <v>1852</v>
      </c>
      <c r="D335" s="168">
        <f>+'Alimentazione CE Costi'!H348</f>
        <v>1535263.19</v>
      </c>
      <c r="E335" s="168">
        <f>+'Alimentazione CE Costi'!I348</f>
        <v>0</v>
      </c>
      <c r="F335" s="157"/>
      <c r="G335" s="157"/>
      <c r="H335" s="170"/>
      <c r="I335" s="168">
        <f>+'Alimentazione CE Costi'!L348</f>
        <v>35184.730000000083</v>
      </c>
      <c r="K335" s="164"/>
      <c r="M335" s="170"/>
    </row>
    <row r="336" spans="1:13" s="187" customFormat="1" ht="24.95" customHeight="1">
      <c r="A336" s="867"/>
      <c r="B336" s="174" t="s">
        <v>962</v>
      </c>
      <c r="C336" s="175" t="s">
        <v>1853</v>
      </c>
      <c r="D336" s="168">
        <f>+'Alimentazione CE Costi'!H349</f>
        <v>5805853.8200000003</v>
      </c>
      <c r="E336" s="168">
        <f>+'Alimentazione CE Costi'!I349</f>
        <v>0</v>
      </c>
      <c r="F336" s="157"/>
      <c r="G336" s="157"/>
      <c r="H336" s="170"/>
      <c r="I336" s="168">
        <f>+'Alimentazione CE Costi'!L349</f>
        <v>5805543.5099999998</v>
      </c>
      <c r="K336" s="164"/>
      <c r="M336" s="170"/>
    </row>
    <row r="337" spans="1:13" s="176" customFormat="1" ht="24.95" customHeight="1">
      <c r="A337" s="867"/>
      <c r="B337" s="174" t="s">
        <v>964</v>
      </c>
      <c r="C337" s="175" t="s">
        <v>1854</v>
      </c>
      <c r="D337" s="168">
        <f>+'Alimentazione CE Costi'!H350</f>
        <v>8995861.75</v>
      </c>
      <c r="E337" s="168">
        <f>+'Alimentazione CE Costi'!I350</f>
        <v>0</v>
      </c>
      <c r="F337" s="157"/>
      <c r="G337" s="158"/>
      <c r="H337" s="170"/>
      <c r="I337" s="168">
        <f>+'Alimentazione CE Costi'!L350</f>
        <v>7710082.8700000001</v>
      </c>
      <c r="K337" s="164"/>
      <c r="M337" s="170"/>
    </row>
    <row r="338" spans="1:13" s="176" customFormat="1" ht="24.95" customHeight="1">
      <c r="A338" s="867"/>
      <c r="B338" s="174" t="s">
        <v>966</v>
      </c>
      <c r="C338" s="175" t="s">
        <v>1855</v>
      </c>
      <c r="D338" s="168">
        <f>+'Alimentazione CE Costi'!H352+'Alimentazione CE Costi'!H353+'Alimentazione CE Costi'!H354</f>
        <v>467678.68</v>
      </c>
      <c r="E338" s="168">
        <f>+'Alimentazione CE Costi'!I352+'Alimentazione CE Costi'!I353+'Alimentazione CE Costi'!I354</f>
        <v>0</v>
      </c>
      <c r="F338" s="157"/>
      <c r="G338" s="158"/>
      <c r="H338" s="170"/>
      <c r="I338" s="168">
        <f>+'Alimentazione CE Costi'!L352+'Alimentazione CE Costi'!L353+'Alimentazione CE Costi'!L354</f>
        <v>321545.12</v>
      </c>
      <c r="K338" s="164"/>
      <c r="M338" s="170"/>
    </row>
    <row r="339" spans="1:13" s="176" customFormat="1" ht="24.95" customHeight="1">
      <c r="A339" s="867"/>
      <c r="B339" s="174" t="s">
        <v>971</v>
      </c>
      <c r="C339" s="175" t="s">
        <v>1856</v>
      </c>
      <c r="D339" s="168">
        <f>+'Alimentazione CE Costi'!H355</f>
        <v>3537004.47</v>
      </c>
      <c r="E339" s="168">
        <f>+'Alimentazione CE Costi'!I355</f>
        <v>0</v>
      </c>
      <c r="F339" s="157"/>
      <c r="G339" s="158"/>
      <c r="H339" s="170"/>
      <c r="I339" s="168">
        <f>+'Alimentazione CE Costi'!L355</f>
        <v>2674557.8579999995</v>
      </c>
      <c r="K339" s="164"/>
      <c r="M339" s="170"/>
    </row>
    <row r="340" spans="1:13" s="176" customFormat="1" ht="24.95" customHeight="1">
      <c r="A340" s="867"/>
      <c r="B340" s="174" t="s">
        <v>973</v>
      </c>
      <c r="C340" s="175" t="s">
        <v>1857</v>
      </c>
      <c r="D340" s="168">
        <f>+'Alimentazione CE Costi'!H356</f>
        <v>3471093.5</v>
      </c>
      <c r="E340" s="168">
        <f>+'Alimentazione CE Costi'!I356</f>
        <v>0</v>
      </c>
      <c r="F340" s="157"/>
      <c r="G340" s="158"/>
      <c r="H340" s="170"/>
      <c r="I340" s="168">
        <f>+'Alimentazione CE Costi'!L356</f>
        <v>3367538.67</v>
      </c>
      <c r="K340" s="164"/>
      <c r="M340" s="170"/>
    </row>
    <row r="341" spans="1:13" s="176" customFormat="1" ht="24.95" customHeight="1">
      <c r="A341" s="867"/>
      <c r="B341" s="174" t="s">
        <v>975</v>
      </c>
      <c r="C341" s="175" t="s">
        <v>1858</v>
      </c>
      <c r="D341" s="168">
        <f>+'Alimentazione CE Costi'!H358+'Alimentazione CE Costi'!H359</f>
        <v>377765.05</v>
      </c>
      <c r="E341" s="168">
        <f>+'Alimentazione CE Costi'!I358+'Alimentazione CE Costi'!I359</f>
        <v>0</v>
      </c>
      <c r="F341" s="157"/>
      <c r="G341" s="158"/>
      <c r="H341" s="170"/>
      <c r="I341" s="168">
        <f>+'Alimentazione CE Costi'!L358+'Alimentazione CE Costi'!L359</f>
        <v>282807.55000000005</v>
      </c>
      <c r="K341" s="164"/>
      <c r="M341" s="170"/>
    </row>
    <row r="342" spans="1:13" s="176" customFormat="1" ht="24.95" customHeight="1">
      <c r="A342" s="867"/>
      <c r="B342" s="174" t="s">
        <v>979</v>
      </c>
      <c r="C342" s="175" t="s">
        <v>1859</v>
      </c>
      <c r="D342" s="168">
        <f>+'Alimentazione CE Costi'!H360</f>
        <v>7369240.7199999997</v>
      </c>
      <c r="E342" s="168">
        <f>+'Alimentazione CE Costi'!I360</f>
        <v>0</v>
      </c>
      <c r="F342" s="157"/>
      <c r="G342" s="158"/>
      <c r="H342" s="170"/>
      <c r="I342" s="168">
        <f>+'Alimentazione CE Costi'!L360</f>
        <v>5925233.6299999999</v>
      </c>
      <c r="K342" s="164"/>
      <c r="M342" s="170"/>
    </row>
    <row r="343" spans="1:13" s="176" customFormat="1" ht="24.95" customHeight="1">
      <c r="A343" s="867"/>
      <c r="B343" s="174" t="s">
        <v>981</v>
      </c>
      <c r="C343" s="175" t="s">
        <v>1860</v>
      </c>
      <c r="D343" s="168">
        <f>+ROUND(SUM('Alimentazione CE Costi'!H362:H366),2)</f>
        <v>1315130.54</v>
      </c>
      <c r="E343" s="168">
        <f>+ROUND(SUM('Alimentazione CE Costi'!I362:I366),2)</f>
        <v>0</v>
      </c>
      <c r="F343" s="157"/>
      <c r="G343" s="158"/>
      <c r="H343" s="170"/>
      <c r="I343" s="168">
        <f>+ROUND(SUM('Alimentazione CE Costi'!L362:L366),2)</f>
        <v>1054296.69</v>
      </c>
      <c r="K343" s="164"/>
      <c r="M343" s="170"/>
    </row>
    <row r="344" spans="1:13" s="176" customFormat="1" ht="24.95" customHeight="1">
      <c r="A344" s="871"/>
      <c r="B344" s="239" t="s">
        <v>987</v>
      </c>
      <c r="C344" s="240" t="s">
        <v>1861</v>
      </c>
      <c r="D344" s="237">
        <f>+D345+D346</f>
        <v>681631.66</v>
      </c>
      <c r="E344" s="237">
        <f>+E345+E346</f>
        <v>0</v>
      </c>
      <c r="F344" s="157" t="s">
        <v>2123</v>
      </c>
      <c r="G344" s="169"/>
      <c r="H344" s="170"/>
      <c r="I344" s="237">
        <f>+I345+I346</f>
        <v>0</v>
      </c>
      <c r="K344" s="164"/>
      <c r="M344" s="170"/>
    </row>
    <row r="345" spans="1:13" s="176" customFormat="1" ht="24.95" customHeight="1">
      <c r="A345" s="871"/>
      <c r="B345" s="177" t="s">
        <v>989</v>
      </c>
      <c r="C345" s="178" t="s">
        <v>1862</v>
      </c>
      <c r="D345" s="168">
        <f>+'Alimentazione CE Costi'!H368</f>
        <v>0</v>
      </c>
      <c r="E345" s="168">
        <f>+'Alimentazione CE Costi'!I368</f>
        <v>0</v>
      </c>
      <c r="F345" s="157"/>
      <c r="G345" s="158"/>
      <c r="H345" s="193"/>
      <c r="I345" s="168">
        <f>+'Alimentazione CE Costi'!L368</f>
        <v>0</v>
      </c>
      <c r="K345" s="164"/>
      <c r="M345" s="170"/>
    </row>
    <row r="346" spans="1:13" s="176" customFormat="1" ht="24.95" customHeight="1">
      <c r="A346" s="871"/>
      <c r="B346" s="177" t="s">
        <v>991</v>
      </c>
      <c r="C346" s="178" t="s">
        <v>1863</v>
      </c>
      <c r="D346" s="168">
        <f>+'Alimentazione CE Costi'!H369</f>
        <v>681631.66</v>
      </c>
      <c r="E346" s="168">
        <f>+'Alimentazione CE Costi'!I369</f>
        <v>0</v>
      </c>
      <c r="F346" s="157"/>
      <c r="G346" s="158"/>
      <c r="H346" s="170"/>
      <c r="I346" s="168">
        <f>+'Alimentazione CE Costi'!L369</f>
        <v>0</v>
      </c>
      <c r="K346" s="164"/>
      <c r="M346" s="170"/>
    </row>
    <row r="347" spans="1:13" s="176" customFormat="1" ht="24.95" customHeight="1">
      <c r="A347" s="871"/>
      <c r="B347" s="239" t="s">
        <v>993</v>
      </c>
      <c r="C347" s="240" t="s">
        <v>1864</v>
      </c>
      <c r="D347" s="237">
        <f>+D348+D349+D350</f>
        <v>10988237.399999999</v>
      </c>
      <c r="E347" s="237">
        <f>+E348+E349+E350</f>
        <v>0</v>
      </c>
      <c r="F347" s="157" t="s">
        <v>2123</v>
      </c>
      <c r="G347" s="169"/>
      <c r="H347" s="170"/>
      <c r="I347" s="237">
        <f>+I348+I349+I350</f>
        <v>3105857.58</v>
      </c>
      <c r="K347" s="164"/>
      <c r="M347" s="170"/>
    </row>
    <row r="348" spans="1:13" s="176" customFormat="1" ht="24.95" customHeight="1">
      <c r="A348" s="871" t="s">
        <v>1550</v>
      </c>
      <c r="B348" s="177" t="s">
        <v>995</v>
      </c>
      <c r="C348" s="178" t="s">
        <v>1865</v>
      </c>
      <c r="D348" s="168">
        <f>+'Alimentazione CE Costi'!H371</f>
        <v>1616581.51</v>
      </c>
      <c r="E348" s="168">
        <f>+'Alimentazione CE Costi'!I371</f>
        <v>0</v>
      </c>
      <c r="F348" s="157"/>
      <c r="G348" s="158"/>
      <c r="H348" s="170"/>
      <c r="I348" s="168">
        <f>+'Alimentazione CE Costi'!L371</f>
        <v>0</v>
      </c>
      <c r="K348" s="164"/>
      <c r="M348" s="170"/>
    </row>
    <row r="349" spans="1:13" s="176" customFormat="1" ht="24.95" customHeight="1">
      <c r="A349" s="867"/>
      <c r="B349" s="177" t="s">
        <v>997</v>
      </c>
      <c r="C349" s="178" t="s">
        <v>1866</v>
      </c>
      <c r="D349" s="168">
        <f>+'Alimentazione CE Costi'!H373+'Alimentazione CE Costi'!H374</f>
        <v>39098.36</v>
      </c>
      <c r="E349" s="168">
        <f>+'Alimentazione CE Costi'!I373+'Alimentazione CE Costi'!I374</f>
        <v>0</v>
      </c>
      <c r="F349" s="157"/>
      <c r="G349" s="158"/>
      <c r="H349" s="170"/>
      <c r="I349" s="168">
        <f>+'Alimentazione CE Costi'!L373+'Alimentazione CE Costi'!L374</f>
        <v>0</v>
      </c>
      <c r="K349" s="164"/>
      <c r="M349" s="170"/>
    </row>
    <row r="350" spans="1:13" s="176" customFormat="1" ht="24.95" customHeight="1">
      <c r="A350" s="871"/>
      <c r="B350" s="177" t="s">
        <v>1001</v>
      </c>
      <c r="C350" s="178" t="s">
        <v>1867</v>
      </c>
      <c r="D350" s="168">
        <f>+ROUND(SUM('Alimentazione CE Costi'!H376:H390),2)</f>
        <v>9332557.5299999993</v>
      </c>
      <c r="E350" s="168">
        <f>+ROUND(SUM('Alimentazione CE Costi'!I376:I390),2)</f>
        <v>0</v>
      </c>
      <c r="F350" s="157"/>
      <c r="G350" s="158"/>
      <c r="H350" s="170"/>
      <c r="I350" s="168">
        <f>+ROUND(SUM('Alimentazione CE Costi'!L376:L390),2)</f>
        <v>3105857.58</v>
      </c>
      <c r="K350" s="164"/>
      <c r="M350" s="170"/>
    </row>
    <row r="351" spans="1:13" s="176" customFormat="1" ht="24.95" customHeight="1">
      <c r="A351" s="867"/>
      <c r="B351" s="248" t="s">
        <v>1017</v>
      </c>
      <c r="C351" s="249" t="s">
        <v>1868</v>
      </c>
      <c r="D351" s="234">
        <f>+D352+D353+D354+D361</f>
        <v>1910827.1299999997</v>
      </c>
      <c r="E351" s="234">
        <f>+E352+E353+E354+E361</f>
        <v>0</v>
      </c>
      <c r="F351" s="157" t="s">
        <v>2123</v>
      </c>
      <c r="G351" s="169"/>
      <c r="H351" s="170"/>
      <c r="I351" s="234">
        <f>+I352+I353+I354+I361</f>
        <v>1200786.92</v>
      </c>
      <c r="K351" s="164"/>
      <c r="M351" s="170"/>
    </row>
    <row r="352" spans="1:13" s="176" customFormat="1" ht="24.95" customHeight="1">
      <c r="A352" s="867" t="s">
        <v>1550</v>
      </c>
      <c r="B352" s="174" t="s">
        <v>1019</v>
      </c>
      <c r="C352" s="175" t="s">
        <v>1869</v>
      </c>
      <c r="D352" s="168">
        <f>+'Alimentazione CE Costi'!H392</f>
        <v>0</v>
      </c>
      <c r="E352" s="168">
        <f>+'Alimentazione CE Costi'!I392</f>
        <v>0</v>
      </c>
      <c r="F352" s="157"/>
      <c r="G352" s="158"/>
      <c r="H352" s="170"/>
      <c r="I352" s="168">
        <f>+'Alimentazione CE Costi'!L392</f>
        <v>0</v>
      </c>
      <c r="K352" s="164"/>
      <c r="M352" s="170"/>
    </row>
    <row r="353" spans="1:13" s="176" customFormat="1" ht="24.95" customHeight="1">
      <c r="A353" s="867"/>
      <c r="B353" s="174" t="s">
        <v>1021</v>
      </c>
      <c r="C353" s="175" t="s">
        <v>1870</v>
      </c>
      <c r="D353" s="168">
        <f>+'Alimentazione CE Costi'!H393</f>
        <v>6976</v>
      </c>
      <c r="E353" s="168">
        <f>+'Alimentazione CE Costi'!I393</f>
        <v>0</v>
      </c>
      <c r="F353" s="157"/>
      <c r="G353" s="158"/>
      <c r="H353" s="170"/>
      <c r="I353" s="168">
        <f>+'Alimentazione CE Costi'!L393</f>
        <v>0</v>
      </c>
      <c r="K353" s="164"/>
      <c r="M353" s="170"/>
    </row>
    <row r="354" spans="1:13" s="176" customFormat="1" ht="24.95" customHeight="1">
      <c r="A354" s="867"/>
      <c r="B354" s="239" t="s">
        <v>1023</v>
      </c>
      <c r="C354" s="240" t="s">
        <v>1871</v>
      </c>
      <c r="D354" s="237">
        <f>SUM(D355:D360)</f>
        <v>1896876.4699999997</v>
      </c>
      <c r="E354" s="237">
        <f>SUM(E355:E360)</f>
        <v>0</v>
      </c>
      <c r="F354" s="157" t="s">
        <v>2123</v>
      </c>
      <c r="G354" s="169"/>
      <c r="H354" s="170"/>
      <c r="I354" s="237">
        <f>SUM(I355:I360)</f>
        <v>1200786.92</v>
      </c>
      <c r="K354" s="164"/>
      <c r="M354" s="170"/>
    </row>
    <row r="355" spans="1:13" s="176" customFormat="1" ht="24.95" customHeight="1">
      <c r="A355" s="867"/>
      <c r="B355" s="177" t="s">
        <v>1025</v>
      </c>
      <c r="C355" s="178" t="s">
        <v>1872</v>
      </c>
      <c r="D355" s="168">
        <f>+'Alimentazione CE Costi'!H396+'Alimentazione CE Costi'!H397+'Alimentazione CE Costi'!H398+'Alimentazione CE Costi'!H399+'Alimentazione CE Costi'!H400</f>
        <v>348015.24</v>
      </c>
      <c r="E355" s="168">
        <f>+'Alimentazione CE Costi'!I396+'Alimentazione CE Costi'!I397+'Alimentazione CE Costi'!I398+'Alimentazione CE Costi'!I399+'Alimentazione CE Costi'!I400</f>
        <v>0</v>
      </c>
      <c r="F355" s="157"/>
      <c r="G355" s="158"/>
      <c r="H355" s="170"/>
      <c r="I355" s="168">
        <f>+'Alimentazione CE Costi'!L396+'Alimentazione CE Costi'!L397+'Alimentazione CE Costi'!L398+'Alimentazione CE Costi'!L399+'Alimentazione CE Costi'!L400</f>
        <v>7112.56</v>
      </c>
      <c r="K355" s="164"/>
      <c r="M355" s="170"/>
    </row>
    <row r="356" spans="1:13" s="176" customFormat="1" ht="24.95" customHeight="1">
      <c r="A356" s="867"/>
      <c r="B356" s="177" t="s">
        <v>1032</v>
      </c>
      <c r="C356" s="178" t="s">
        <v>1873</v>
      </c>
      <c r="D356" s="168">
        <f>+'Alimentazione CE Costi'!H401</f>
        <v>33603.089999999997</v>
      </c>
      <c r="E356" s="168">
        <f>+'Alimentazione CE Costi'!I401</f>
        <v>0</v>
      </c>
      <c r="F356" s="157"/>
      <c r="G356" s="158"/>
      <c r="H356" s="170"/>
      <c r="I356" s="168">
        <f>+'Alimentazione CE Costi'!L401</f>
        <v>0</v>
      </c>
      <c r="K356" s="164"/>
      <c r="M356" s="170"/>
    </row>
    <row r="357" spans="1:13" s="176" customFormat="1" ht="24.95" customHeight="1">
      <c r="A357" s="867"/>
      <c r="B357" s="177" t="s">
        <v>1034</v>
      </c>
      <c r="C357" s="178" t="s">
        <v>1874</v>
      </c>
      <c r="D357" s="168">
        <f>+'Alimentazione CE Costi'!H402</f>
        <v>0</v>
      </c>
      <c r="E357" s="168">
        <f>+'Alimentazione CE Costi'!I402</f>
        <v>0</v>
      </c>
      <c r="F357" s="157"/>
      <c r="G357" s="158"/>
      <c r="H357" s="170"/>
      <c r="I357" s="168">
        <f>+'Alimentazione CE Costi'!L402</f>
        <v>0</v>
      </c>
      <c r="K357" s="164"/>
      <c r="M357" s="170"/>
    </row>
    <row r="358" spans="1:13" s="176" customFormat="1" ht="24.95" customHeight="1">
      <c r="A358" s="867"/>
      <c r="B358" s="177" t="s">
        <v>1036</v>
      </c>
      <c r="C358" s="178" t="s">
        <v>1875</v>
      </c>
      <c r="D358" s="168">
        <f>+'Alimentazione CE Costi'!H403</f>
        <v>1443926.49</v>
      </c>
      <c r="E358" s="168">
        <f>+'Alimentazione CE Costi'!I403</f>
        <v>0</v>
      </c>
      <c r="F358" s="157"/>
      <c r="G358" s="158"/>
      <c r="H358" s="170"/>
      <c r="I358" s="168">
        <f>+'Alimentazione CE Costi'!L403</f>
        <v>1182580.3899999999</v>
      </c>
      <c r="K358" s="164"/>
      <c r="M358" s="170"/>
    </row>
    <row r="359" spans="1:13" s="176" customFormat="1" ht="24.95" customHeight="1">
      <c r="A359" s="867"/>
      <c r="B359" s="177" t="s">
        <v>1038</v>
      </c>
      <c r="C359" s="178" t="s">
        <v>1876</v>
      </c>
      <c r="D359" s="188">
        <f>+SUM('Alimentazione CE Costi'!H405:H409)</f>
        <v>71331.649999999994</v>
      </c>
      <c r="E359" s="188">
        <f>+SUM('Alimentazione CE Costi'!I405:I409)</f>
        <v>0</v>
      </c>
      <c r="F359" s="157"/>
      <c r="G359" s="158"/>
      <c r="H359" s="170"/>
      <c r="I359" s="188">
        <f>+SUM('Alimentazione CE Costi'!L405:L409)</f>
        <v>11093.97</v>
      </c>
      <c r="K359" s="164"/>
      <c r="M359" s="170"/>
    </row>
    <row r="360" spans="1:13" s="187" customFormat="1" ht="24.95" customHeight="1">
      <c r="A360" s="867"/>
      <c r="B360" s="177" t="s">
        <v>1044</v>
      </c>
      <c r="C360" s="178" t="s">
        <v>1877</v>
      </c>
      <c r="D360" s="168">
        <f>+'Alimentazione CE Costi'!H410</f>
        <v>0</v>
      </c>
      <c r="E360" s="168">
        <f>+'Alimentazione CE Costi'!I410</f>
        <v>0</v>
      </c>
      <c r="F360" s="157"/>
      <c r="G360" s="157"/>
      <c r="H360" s="170"/>
      <c r="I360" s="168">
        <f>+'Alimentazione CE Costi'!L410</f>
        <v>0</v>
      </c>
      <c r="K360" s="164"/>
      <c r="M360" s="170"/>
    </row>
    <row r="361" spans="1:13" s="176" customFormat="1" ht="24.95" customHeight="1">
      <c r="A361" s="867"/>
      <c r="B361" s="239" t="s">
        <v>1046</v>
      </c>
      <c r="C361" s="240" t="s">
        <v>1878</v>
      </c>
      <c r="D361" s="237">
        <f>SUM(D362:D364)</f>
        <v>6974.66</v>
      </c>
      <c r="E361" s="237">
        <f>SUM(E362:E364)</f>
        <v>0</v>
      </c>
      <c r="F361" s="157" t="s">
        <v>2123</v>
      </c>
      <c r="G361" s="169"/>
      <c r="H361" s="170"/>
      <c r="I361" s="237">
        <f>SUM(I362:I364)</f>
        <v>0</v>
      </c>
      <c r="K361" s="164"/>
      <c r="M361" s="170"/>
    </row>
    <row r="362" spans="1:13" s="176" customFormat="1" ht="24.95" customHeight="1">
      <c r="A362" s="867" t="s">
        <v>1550</v>
      </c>
      <c r="B362" s="177" t="s">
        <v>1048</v>
      </c>
      <c r="C362" s="178" t="s">
        <v>1879</v>
      </c>
      <c r="D362" s="168">
        <f>+'Alimentazione CE Costi'!H412</f>
        <v>0</v>
      </c>
      <c r="E362" s="168">
        <f>+'Alimentazione CE Costi'!I412</f>
        <v>0</v>
      </c>
      <c r="F362" s="157"/>
      <c r="G362" s="158"/>
      <c r="H362" s="170"/>
      <c r="I362" s="168">
        <f>+'Alimentazione CE Costi'!L412</f>
        <v>0</v>
      </c>
      <c r="K362" s="164"/>
      <c r="M362" s="170"/>
    </row>
    <row r="363" spans="1:13" s="176" customFormat="1" ht="24.95" customHeight="1">
      <c r="A363" s="867"/>
      <c r="B363" s="177" t="s">
        <v>1050</v>
      </c>
      <c r="C363" s="178" t="s">
        <v>1880</v>
      </c>
      <c r="D363" s="168">
        <f>+'Alimentazione CE Costi'!H413</f>
        <v>0</v>
      </c>
      <c r="E363" s="168">
        <f>+'Alimentazione CE Costi'!I413</f>
        <v>0</v>
      </c>
      <c r="F363" s="157"/>
      <c r="G363" s="158"/>
      <c r="H363" s="170"/>
      <c r="I363" s="168">
        <f>+'Alimentazione CE Costi'!L413</f>
        <v>0</v>
      </c>
      <c r="K363" s="164"/>
      <c r="M363" s="170"/>
    </row>
    <row r="364" spans="1:13" s="176" customFormat="1" ht="24.95" customHeight="1">
      <c r="A364" s="867" t="s">
        <v>1599</v>
      </c>
      <c r="B364" s="177" t="s">
        <v>1052</v>
      </c>
      <c r="C364" s="178" t="s">
        <v>1881</v>
      </c>
      <c r="D364" s="168">
        <f>+'Alimentazione CE Costi'!H414</f>
        <v>6974.66</v>
      </c>
      <c r="E364" s="168">
        <f>+'Alimentazione CE Costi'!I414</f>
        <v>0</v>
      </c>
      <c r="F364" s="157"/>
      <c r="G364" s="158"/>
      <c r="H364" s="170"/>
      <c r="I364" s="168">
        <f>+'Alimentazione CE Costi'!L414</f>
        <v>0</v>
      </c>
      <c r="K364" s="164"/>
      <c r="M364" s="170"/>
    </row>
    <row r="365" spans="1:13" s="176" customFormat="1" ht="24.95" customHeight="1">
      <c r="A365" s="867"/>
      <c r="B365" s="248" t="s">
        <v>1054</v>
      </c>
      <c r="C365" s="249" t="s">
        <v>1882</v>
      </c>
      <c r="D365" s="234">
        <f>+D366+D367</f>
        <v>190598.85</v>
      </c>
      <c r="E365" s="234">
        <f>+E366+E367</f>
        <v>0</v>
      </c>
      <c r="F365" s="157" t="s">
        <v>2123</v>
      </c>
      <c r="G365" s="169"/>
      <c r="H365" s="170"/>
      <c r="I365" s="234">
        <f>+I366+I367</f>
        <v>154365.09</v>
      </c>
      <c r="K365" s="164"/>
      <c r="M365" s="170"/>
    </row>
    <row r="366" spans="1:13" s="176" customFormat="1" ht="24.95" customHeight="1">
      <c r="A366" s="867"/>
      <c r="B366" s="174" t="s">
        <v>1056</v>
      </c>
      <c r="C366" s="175" t="s">
        <v>1883</v>
      </c>
      <c r="D366" s="168">
        <f>+'Alimentazione CE Costi'!H416</f>
        <v>7082.7</v>
      </c>
      <c r="E366" s="168">
        <f>+'Alimentazione CE Costi'!I416</f>
        <v>0</v>
      </c>
      <c r="F366" s="157"/>
      <c r="G366" s="158"/>
      <c r="H366" s="170"/>
      <c r="I366" s="168">
        <f>+'Alimentazione CE Costi'!L416</f>
        <v>3800</v>
      </c>
      <c r="K366" s="164"/>
      <c r="M366" s="170"/>
    </row>
    <row r="367" spans="1:13" s="176" customFormat="1" ht="24.95" customHeight="1">
      <c r="A367" s="867"/>
      <c r="B367" s="174" t="s">
        <v>1058</v>
      </c>
      <c r="C367" s="175" t="s">
        <v>1884</v>
      </c>
      <c r="D367" s="168">
        <f>+'Alimentazione CE Costi'!H417</f>
        <v>183516.15</v>
      </c>
      <c r="E367" s="168">
        <f>+'Alimentazione CE Costi'!I417</f>
        <v>0</v>
      </c>
      <c r="F367" s="157"/>
      <c r="G367" s="158"/>
      <c r="H367" s="170"/>
      <c r="I367" s="168">
        <f>+'Alimentazione CE Costi'!L417</f>
        <v>150565.09</v>
      </c>
      <c r="K367" s="164"/>
      <c r="M367" s="170"/>
    </row>
    <row r="368" spans="1:13" s="176" customFormat="1" ht="24.95" customHeight="1">
      <c r="A368" s="867"/>
      <c r="B368" s="226" t="s">
        <v>1885</v>
      </c>
      <c r="C368" s="227" t="s">
        <v>1886</v>
      </c>
      <c r="D368" s="228">
        <f>SUM(D369:D375)</f>
        <v>15111997.960000001</v>
      </c>
      <c r="E368" s="228">
        <f>SUM(E369:E375)</f>
        <v>0</v>
      </c>
      <c r="F368" s="157" t="s">
        <v>2123</v>
      </c>
      <c r="G368" s="169"/>
      <c r="H368" s="170"/>
      <c r="I368" s="228">
        <f>SUM(I369:I375)</f>
        <v>11419260.336000001</v>
      </c>
      <c r="K368" s="164"/>
      <c r="M368" s="170"/>
    </row>
    <row r="369" spans="1:13" s="176" customFormat="1" ht="24.95" customHeight="1">
      <c r="A369" s="867"/>
      <c r="B369" s="171" t="s">
        <v>1061</v>
      </c>
      <c r="C369" s="172" t="s">
        <v>1887</v>
      </c>
      <c r="D369" s="168">
        <f>+'Alimentazione CE Costi'!H419</f>
        <v>935913.12</v>
      </c>
      <c r="E369" s="168">
        <f>+'Alimentazione CE Costi'!I419</f>
        <v>0</v>
      </c>
      <c r="F369" s="157"/>
      <c r="G369" s="158"/>
      <c r="H369" s="170"/>
      <c r="I369" s="168">
        <f>+'Alimentazione CE Costi'!L419</f>
        <v>524422.89799999993</v>
      </c>
      <c r="K369" s="164"/>
      <c r="M369" s="170"/>
    </row>
    <row r="370" spans="1:13" s="176" customFormat="1" ht="24.95" customHeight="1">
      <c r="A370" s="871"/>
      <c r="B370" s="171" t="s">
        <v>1063</v>
      </c>
      <c r="C370" s="172" t="s">
        <v>1888</v>
      </c>
      <c r="D370" s="168">
        <f>+'Alimentazione CE Costi'!H421+'Alimentazione CE Costi'!H422+'Alimentazione CE Costi'!H423</f>
        <v>6143883.8000000007</v>
      </c>
      <c r="E370" s="168">
        <f>+'Alimentazione CE Costi'!I421+'Alimentazione CE Costi'!I422+'Alimentazione CE Costi'!I423</f>
        <v>0</v>
      </c>
      <c r="F370" s="157"/>
      <c r="G370" s="158"/>
      <c r="H370" s="170"/>
      <c r="I370" s="168">
        <f>+'Alimentazione CE Costi'!L421+'Alimentazione CE Costi'!L422+'Alimentazione CE Costi'!L423</f>
        <v>4939933.9460000005</v>
      </c>
      <c r="K370" s="164"/>
      <c r="M370" s="170"/>
    </row>
    <row r="371" spans="1:13" s="176" customFormat="1" ht="24.95" customHeight="1">
      <c r="A371" s="871"/>
      <c r="B371" s="171" t="s">
        <v>1068</v>
      </c>
      <c r="C371" s="172" t="s">
        <v>1889</v>
      </c>
      <c r="D371" s="168">
        <f>+'Alimentazione CE Costi'!H424</f>
        <v>5812056.3700000001</v>
      </c>
      <c r="E371" s="168">
        <f>+'Alimentazione CE Costi'!I424</f>
        <v>0</v>
      </c>
      <c r="F371" s="157"/>
      <c r="G371" s="158"/>
      <c r="H371" s="170"/>
      <c r="I371" s="168">
        <f>+'Alimentazione CE Costi'!L424</f>
        <v>4654836.9419999998</v>
      </c>
      <c r="K371" s="164"/>
      <c r="M371" s="170"/>
    </row>
    <row r="372" spans="1:13" s="176" customFormat="1" ht="24.95" customHeight="1">
      <c r="A372" s="871"/>
      <c r="B372" s="171" t="s">
        <v>1070</v>
      </c>
      <c r="C372" s="172" t="s">
        <v>1890</v>
      </c>
      <c r="D372" s="168">
        <f>+'Alimentazione CE Costi'!H425</f>
        <v>123843.19</v>
      </c>
      <c r="E372" s="168">
        <f>+'Alimentazione CE Costi'!I425</f>
        <v>0</v>
      </c>
      <c r="F372" s="157"/>
      <c r="G372" s="158"/>
      <c r="H372" s="170"/>
      <c r="I372" s="168">
        <f>+'Alimentazione CE Costi'!L425</f>
        <v>113388.71</v>
      </c>
      <c r="K372" s="164"/>
      <c r="M372" s="170"/>
    </row>
    <row r="373" spans="1:13" s="176" customFormat="1" ht="24.95" customHeight="1">
      <c r="A373" s="871"/>
      <c r="B373" s="171" t="s">
        <v>1072</v>
      </c>
      <c r="C373" s="172" t="s">
        <v>1891</v>
      </c>
      <c r="D373" s="168">
        <f>+'Alimentazione CE Costi'!H426</f>
        <v>394179.47</v>
      </c>
      <c r="E373" s="168">
        <f>+'Alimentazione CE Costi'!I426</f>
        <v>0</v>
      </c>
      <c r="F373" s="157"/>
      <c r="G373" s="158"/>
      <c r="H373" s="170"/>
      <c r="I373" s="168">
        <f>+'Alimentazione CE Costi'!L426</f>
        <v>48293.03</v>
      </c>
      <c r="K373" s="164"/>
      <c r="M373" s="170"/>
    </row>
    <row r="374" spans="1:13" s="176" customFormat="1" ht="24.95" customHeight="1">
      <c r="A374" s="871"/>
      <c r="B374" s="171" t="s">
        <v>1074</v>
      </c>
      <c r="C374" s="172" t="s">
        <v>1892</v>
      </c>
      <c r="D374" s="168">
        <f>+'Alimentazione CE Costi'!H428+'Alimentazione CE Costi'!H429+'Alimentazione CE Costi'!H430</f>
        <v>1702122.01</v>
      </c>
      <c r="E374" s="168">
        <f>+'Alimentazione CE Costi'!I428+'Alimentazione CE Costi'!I429+'Alimentazione CE Costi'!I430</f>
        <v>0</v>
      </c>
      <c r="F374" s="157"/>
      <c r="G374" s="158"/>
      <c r="H374" s="170"/>
      <c r="I374" s="168">
        <f>+'Alimentazione CE Costi'!L428+'Alimentazione CE Costi'!L429+'Alimentazione CE Costi'!L430</f>
        <v>1138384.81</v>
      </c>
      <c r="K374" s="164"/>
      <c r="M374" s="170"/>
    </row>
    <row r="375" spans="1:13" s="176" customFormat="1" ht="24.95" customHeight="1">
      <c r="A375" s="876" t="s">
        <v>1550</v>
      </c>
      <c r="B375" s="171" t="s">
        <v>1078</v>
      </c>
      <c r="C375" s="172" t="s">
        <v>1893</v>
      </c>
      <c r="D375" s="168">
        <f>+'Alimentazione CE Costi'!H431</f>
        <v>0</v>
      </c>
      <c r="E375" s="168">
        <f>+'Alimentazione CE Costi'!I431</f>
        <v>0</v>
      </c>
      <c r="F375" s="157"/>
      <c r="G375" s="158"/>
      <c r="H375" s="170"/>
      <c r="I375" s="168">
        <f>+'Alimentazione CE Costi'!L431</f>
        <v>0</v>
      </c>
      <c r="K375" s="164"/>
      <c r="M375" s="170"/>
    </row>
    <row r="376" spans="1:13" s="176" customFormat="1" ht="24.95" customHeight="1">
      <c r="A376" s="867"/>
      <c r="B376" s="226" t="s">
        <v>1079</v>
      </c>
      <c r="C376" s="227" t="s">
        <v>1894</v>
      </c>
      <c r="D376" s="228">
        <f>+D377+D378+D381+D384+D385</f>
        <v>3580781.44</v>
      </c>
      <c r="E376" s="228">
        <f>+E377+E378+E381+E384+E385</f>
        <v>0</v>
      </c>
      <c r="F376" s="157" t="s">
        <v>2123</v>
      </c>
      <c r="G376" s="169"/>
      <c r="H376" s="170"/>
      <c r="I376" s="228">
        <f>+I377+I378+I381+I384+I385</f>
        <v>2514130.7800000003</v>
      </c>
      <c r="K376" s="164"/>
      <c r="M376" s="170"/>
    </row>
    <row r="377" spans="1:13" s="176" customFormat="1" ht="24.95" customHeight="1">
      <c r="A377" s="867"/>
      <c r="B377" s="171" t="s">
        <v>1081</v>
      </c>
      <c r="C377" s="172" t="s">
        <v>1895</v>
      </c>
      <c r="D377" s="168">
        <f>+'Alimentazione CE Costi'!H434+'Alimentazione CE Costi'!H435</f>
        <v>371221.42000000004</v>
      </c>
      <c r="E377" s="168">
        <f>+'Alimentazione CE Costi'!I434+'Alimentazione CE Costi'!I435</f>
        <v>0</v>
      </c>
      <c r="F377" s="157"/>
      <c r="G377" s="158"/>
      <c r="H377" s="170"/>
      <c r="I377" s="168">
        <f>+'Alimentazione CE Costi'!L434+'Alimentazione CE Costi'!L435</f>
        <v>118468.12</v>
      </c>
      <c r="K377" s="164"/>
      <c r="M377" s="170"/>
    </row>
    <row r="378" spans="1:13" s="176" customFormat="1" ht="24.95" customHeight="1">
      <c r="A378" s="867"/>
      <c r="B378" s="221" t="s">
        <v>1085</v>
      </c>
      <c r="C378" s="222" t="s">
        <v>1896</v>
      </c>
      <c r="D378" s="220">
        <f>+D379+D380</f>
        <v>3209560.02</v>
      </c>
      <c r="E378" s="220">
        <f>+E379+E380</f>
        <v>0</v>
      </c>
      <c r="F378" s="157" t="s">
        <v>2123</v>
      </c>
      <c r="G378" s="169"/>
      <c r="H378" s="170"/>
      <c r="I378" s="220">
        <f>+I379+I380</f>
        <v>2395662.66</v>
      </c>
      <c r="K378" s="164"/>
      <c r="M378" s="170"/>
    </row>
    <row r="379" spans="1:13" s="176" customFormat="1" ht="24.95" customHeight="1">
      <c r="A379" s="867"/>
      <c r="B379" s="174" t="s">
        <v>1087</v>
      </c>
      <c r="C379" s="175" t="s">
        <v>1897</v>
      </c>
      <c r="D379" s="168">
        <f>+'Alimentazione CE Costi'!H437</f>
        <v>2016933.37</v>
      </c>
      <c r="E379" s="168">
        <f>+'Alimentazione CE Costi'!I437</f>
        <v>0</v>
      </c>
      <c r="F379" s="157"/>
      <c r="G379" s="158"/>
      <c r="H379" s="170"/>
      <c r="I379" s="168">
        <f>+'Alimentazione CE Costi'!L437</f>
        <v>1764112.09</v>
      </c>
      <c r="K379" s="164"/>
      <c r="M379" s="170"/>
    </row>
    <row r="380" spans="1:13" s="176" customFormat="1" ht="24.95" customHeight="1">
      <c r="A380" s="867"/>
      <c r="B380" s="174" t="s">
        <v>1089</v>
      </c>
      <c r="C380" s="175" t="s">
        <v>1898</v>
      </c>
      <c r="D380" s="168">
        <f>+ROUND(SUM('Alimentazione CE Costi'!H439:H442),2)</f>
        <v>1192626.6499999999</v>
      </c>
      <c r="E380" s="168">
        <f>+ROUND(SUM('Alimentazione CE Costi'!I439:I442),2)</f>
        <v>0</v>
      </c>
      <c r="F380" s="157"/>
      <c r="G380" s="158"/>
      <c r="H380" s="170"/>
      <c r="I380" s="168">
        <f>+ROUND(SUM('Alimentazione CE Costi'!L439:L442),2)</f>
        <v>631550.56999999995</v>
      </c>
      <c r="K380" s="164"/>
      <c r="M380" s="170"/>
    </row>
    <row r="381" spans="1:13" s="176" customFormat="1" ht="24.95" customHeight="1">
      <c r="A381" s="867"/>
      <c r="B381" s="221" t="s">
        <v>1095</v>
      </c>
      <c r="C381" s="222" t="s">
        <v>1899</v>
      </c>
      <c r="D381" s="220">
        <f>+D382+D383</f>
        <v>0</v>
      </c>
      <c r="E381" s="220">
        <f>+E382+E383</f>
        <v>0</v>
      </c>
      <c r="F381" s="157" t="s">
        <v>2123</v>
      </c>
      <c r="G381" s="169"/>
      <c r="H381" s="170"/>
      <c r="I381" s="220">
        <f>+I382+I383</f>
        <v>0</v>
      </c>
      <c r="K381" s="164"/>
      <c r="M381" s="170"/>
    </row>
    <row r="382" spans="1:13" s="176" customFormat="1" ht="24.95" customHeight="1">
      <c r="A382" s="867"/>
      <c r="B382" s="174" t="s">
        <v>1097</v>
      </c>
      <c r="C382" s="175" t="s">
        <v>1900</v>
      </c>
      <c r="D382" s="168">
        <f>+'Alimentazione CE Costi'!H445+'Alimentazione CE Costi'!H446</f>
        <v>0</v>
      </c>
      <c r="E382" s="168">
        <f>+'Alimentazione CE Costi'!I445+'Alimentazione CE Costi'!I446</f>
        <v>0</v>
      </c>
      <c r="F382" s="157"/>
      <c r="G382" s="158"/>
      <c r="H382" s="170"/>
      <c r="I382" s="168">
        <f>+'Alimentazione CE Costi'!L445+'Alimentazione CE Costi'!L446</f>
        <v>0</v>
      </c>
      <c r="K382" s="164"/>
      <c r="M382" s="170"/>
    </row>
    <row r="383" spans="1:13" s="176" customFormat="1" ht="24.95" customHeight="1">
      <c r="A383" s="867"/>
      <c r="B383" s="174" t="s">
        <v>1101</v>
      </c>
      <c r="C383" s="175" t="s">
        <v>1901</v>
      </c>
      <c r="D383" s="168">
        <f>+'Alimentazione CE Costi'!H448+'Alimentazione CE Costi'!H449</f>
        <v>0</v>
      </c>
      <c r="E383" s="168">
        <f>+'Alimentazione CE Costi'!I448+'Alimentazione CE Costi'!I449</f>
        <v>0</v>
      </c>
      <c r="F383" s="157"/>
      <c r="G383" s="158"/>
      <c r="H383" s="170"/>
      <c r="I383" s="168">
        <f>+'Alimentazione CE Costi'!L448+'Alimentazione CE Costi'!L449</f>
        <v>0</v>
      </c>
      <c r="K383" s="164"/>
      <c r="M383" s="170"/>
    </row>
    <row r="384" spans="1:13" s="158" customFormat="1" ht="24.95" customHeight="1">
      <c r="A384" s="869"/>
      <c r="B384" s="171" t="s">
        <v>1103</v>
      </c>
      <c r="C384" s="172" t="s">
        <v>1902</v>
      </c>
      <c r="D384" s="168">
        <f>+'Alimentazione CE Costi'!H450</f>
        <v>0</v>
      </c>
      <c r="E384" s="168">
        <f>+'Alimentazione CE Costi'!I450</f>
        <v>0</v>
      </c>
      <c r="F384" s="157"/>
      <c r="H384" s="170"/>
      <c r="I384" s="168">
        <f>+'Alimentazione CE Costi'!L450</f>
        <v>0</v>
      </c>
      <c r="K384" s="164"/>
      <c r="M384" s="170"/>
    </row>
    <row r="385" spans="1:13" s="158" customFormat="1" ht="24.95" customHeight="1">
      <c r="A385" s="877" t="s">
        <v>1550</v>
      </c>
      <c r="B385" s="171" t="s">
        <v>1105</v>
      </c>
      <c r="C385" s="172" t="s">
        <v>1903</v>
      </c>
      <c r="D385" s="168">
        <f>+'Alimentazione CE Costi'!H451</f>
        <v>0</v>
      </c>
      <c r="E385" s="168">
        <f>+'Alimentazione CE Costi'!I451</f>
        <v>0</v>
      </c>
      <c r="F385" s="157"/>
      <c r="H385" s="170"/>
      <c r="I385" s="168">
        <f>+'Alimentazione CE Costi'!L451</f>
        <v>0</v>
      </c>
      <c r="K385" s="164"/>
      <c r="M385" s="170"/>
    </row>
    <row r="386" spans="1:13" s="176" customFormat="1" ht="24.95" customHeight="1">
      <c r="A386" s="867"/>
      <c r="B386" s="250" t="s">
        <v>1904</v>
      </c>
      <c r="C386" s="251" t="s">
        <v>1905</v>
      </c>
      <c r="D386" s="252">
        <f>+D387+D401+D410+D419</f>
        <v>300902896.01999998</v>
      </c>
      <c r="E386" s="252">
        <f>+E387+E401+E410+E419</f>
        <v>0</v>
      </c>
      <c r="F386" s="157" t="s">
        <v>2123</v>
      </c>
      <c r="G386" s="169"/>
      <c r="H386" s="170"/>
      <c r="I386" s="252">
        <f>+I387+I401+I410+I419</f>
        <v>194917609.73000002</v>
      </c>
      <c r="K386" s="164"/>
      <c r="M386" s="170"/>
    </row>
    <row r="387" spans="1:13" s="176" customFormat="1" ht="24.95" customHeight="1">
      <c r="A387" s="867"/>
      <c r="B387" s="226" t="s">
        <v>1107</v>
      </c>
      <c r="C387" s="227" t="s">
        <v>1906</v>
      </c>
      <c r="D387" s="228">
        <f>+D388+D397</f>
        <v>235938149.13999999</v>
      </c>
      <c r="E387" s="228">
        <f>+E388+E397</f>
        <v>0</v>
      </c>
      <c r="F387" s="157" t="s">
        <v>2123</v>
      </c>
      <c r="G387" s="169"/>
      <c r="H387" s="170"/>
      <c r="I387" s="228">
        <f>+I388+I397</f>
        <v>161132095.28</v>
      </c>
      <c r="K387" s="164"/>
      <c r="M387" s="170"/>
    </row>
    <row r="388" spans="1:13" s="176" customFormat="1" ht="24.95" customHeight="1">
      <c r="A388" s="867"/>
      <c r="B388" s="221" t="s">
        <v>1109</v>
      </c>
      <c r="C388" s="222" t="s">
        <v>1907</v>
      </c>
      <c r="D388" s="220">
        <f>+D389+D393</f>
        <v>97121489.109999985</v>
      </c>
      <c r="E388" s="220">
        <f>+E389+E393</f>
        <v>0</v>
      </c>
      <c r="F388" s="157" t="s">
        <v>2123</v>
      </c>
      <c r="G388" s="169"/>
      <c r="H388" s="170"/>
      <c r="I388" s="220">
        <f>+I389+I393</f>
        <v>70840343.129999995</v>
      </c>
      <c r="K388" s="164"/>
      <c r="M388" s="170"/>
    </row>
    <row r="389" spans="1:13" s="176" customFormat="1" ht="24.95" customHeight="1">
      <c r="A389" s="867"/>
      <c r="B389" s="232" t="s">
        <v>1111</v>
      </c>
      <c r="C389" s="233" t="s">
        <v>1908</v>
      </c>
      <c r="D389" s="234">
        <f>SUM(D390:D392)</f>
        <v>85867046.11999999</v>
      </c>
      <c r="E389" s="234">
        <f>SUM(E390:E392)</f>
        <v>0</v>
      </c>
      <c r="F389" s="157" t="s">
        <v>2123</v>
      </c>
      <c r="G389" s="169"/>
      <c r="H389" s="170"/>
      <c r="I389" s="234">
        <f>SUM(I390:I392)</f>
        <v>68811754.25999999</v>
      </c>
      <c r="K389" s="164"/>
      <c r="M389" s="170"/>
    </row>
    <row r="390" spans="1:13" s="176" customFormat="1" ht="24.95" customHeight="1">
      <c r="A390" s="871"/>
      <c r="B390" s="174" t="s">
        <v>1113</v>
      </c>
      <c r="C390" s="175" t="s">
        <v>1909</v>
      </c>
      <c r="D390" s="168">
        <f>+ROUND(SUM('Alimentazione CE Costi'!H456:H471),2)</f>
        <v>82086550.349999994</v>
      </c>
      <c r="E390" s="168">
        <f>+ROUND(SUM('Alimentazione CE Costi'!I456:I471),2)</f>
        <v>0</v>
      </c>
      <c r="F390" s="157"/>
      <c r="G390" s="158"/>
      <c r="H390" s="170"/>
      <c r="I390" s="168">
        <f>+ROUND(SUM('Alimentazione CE Costi'!L456:L471),2)</f>
        <v>65741377.409999996</v>
      </c>
      <c r="K390" s="164"/>
      <c r="M390" s="170"/>
    </row>
    <row r="391" spans="1:13" s="176" customFormat="1" ht="24.95" customHeight="1">
      <c r="A391" s="871"/>
      <c r="B391" s="174" t="s">
        <v>1131</v>
      </c>
      <c r="C391" s="175" t="s">
        <v>1910</v>
      </c>
      <c r="D391" s="168">
        <f>+ROUND(SUM('Alimentazione CE Costi'!H473:H488),2)</f>
        <v>3780495.77</v>
      </c>
      <c r="E391" s="168">
        <f>+ROUND(SUM('Alimentazione CE Costi'!I473:I488),2)</f>
        <v>0</v>
      </c>
      <c r="F391" s="157"/>
      <c r="G391" s="158"/>
      <c r="H391" s="170"/>
      <c r="I391" s="168">
        <f>+ROUND(SUM('Alimentazione CE Costi'!L473:L488),2)</f>
        <v>3070376.85</v>
      </c>
      <c r="K391" s="164"/>
      <c r="M391" s="170"/>
    </row>
    <row r="392" spans="1:13" s="176" customFormat="1" ht="24.95" customHeight="1">
      <c r="A392" s="871"/>
      <c r="B392" s="174" t="s">
        <v>1133</v>
      </c>
      <c r="C392" s="175" t="s">
        <v>1911</v>
      </c>
      <c r="D392" s="168">
        <f>+'Alimentazione CE Costi'!H489</f>
        <v>0</v>
      </c>
      <c r="E392" s="168">
        <f>+'Alimentazione CE Costi'!I489</f>
        <v>0</v>
      </c>
      <c r="F392" s="157"/>
      <c r="G392" s="158"/>
      <c r="H392" s="170"/>
      <c r="I392" s="168">
        <f>+'Alimentazione CE Costi'!L489</f>
        <v>0</v>
      </c>
      <c r="K392" s="164"/>
      <c r="M392" s="170"/>
    </row>
    <row r="393" spans="1:13" s="176" customFormat="1" ht="24.95" customHeight="1">
      <c r="A393" s="867"/>
      <c r="B393" s="232" t="s">
        <v>1135</v>
      </c>
      <c r="C393" s="233" t="s">
        <v>1912</v>
      </c>
      <c r="D393" s="234">
        <f>SUM(D394:D396)</f>
        <v>11254442.99</v>
      </c>
      <c r="E393" s="234">
        <f>SUM(E394:E396)</f>
        <v>0</v>
      </c>
      <c r="F393" s="157" t="s">
        <v>2123</v>
      </c>
      <c r="G393" s="169"/>
      <c r="H393" s="170"/>
      <c r="I393" s="234">
        <f>SUM(I394:I396)</f>
        <v>2028588.87</v>
      </c>
      <c r="K393" s="164"/>
      <c r="M393" s="170"/>
    </row>
    <row r="394" spans="1:13" s="176" customFormat="1" ht="24.95" customHeight="1">
      <c r="A394" s="871"/>
      <c r="B394" s="174" t="s">
        <v>1137</v>
      </c>
      <c r="C394" s="175" t="s">
        <v>1913</v>
      </c>
      <c r="D394" s="168">
        <f>+ROUND(SUM('Alimentazione CE Costi'!H492:H500),2)</f>
        <v>10875870.25</v>
      </c>
      <c r="E394" s="168">
        <f>+ROUND(SUM('Alimentazione CE Costi'!I492:I500),2)</f>
        <v>0</v>
      </c>
      <c r="F394" s="157"/>
      <c r="G394" s="158"/>
      <c r="H394" s="170"/>
      <c r="I394" s="168">
        <f>+ROUND(SUM('Alimentazione CE Costi'!L492:L500),2)</f>
        <v>1967902.83</v>
      </c>
      <c r="K394" s="164"/>
      <c r="M394" s="170"/>
    </row>
    <row r="395" spans="1:13" s="176" customFormat="1" ht="24.95" customHeight="1">
      <c r="A395" s="871"/>
      <c r="B395" s="174" t="s">
        <v>1144</v>
      </c>
      <c r="C395" s="175" t="s">
        <v>1914</v>
      </c>
      <c r="D395" s="168">
        <f>+ROUND(SUM('Alimentazione CE Costi'!H502:H510),2)</f>
        <v>378572.74</v>
      </c>
      <c r="E395" s="168">
        <f>+ROUND(SUM('Alimentazione CE Costi'!I502:I510),2)</f>
        <v>0</v>
      </c>
      <c r="F395" s="157"/>
      <c r="G395" s="158"/>
      <c r="H395" s="170"/>
      <c r="I395" s="168">
        <f>+ROUND(SUM('Alimentazione CE Costi'!L502:L510),2)</f>
        <v>60686.04</v>
      </c>
      <c r="K395" s="164"/>
      <c r="M395" s="170"/>
    </row>
    <row r="396" spans="1:13" s="176" customFormat="1" ht="24.95" customHeight="1">
      <c r="A396" s="871"/>
      <c r="B396" s="174" t="s">
        <v>1145</v>
      </c>
      <c r="C396" s="175" t="s">
        <v>1915</v>
      </c>
      <c r="D396" s="168">
        <f>+'Alimentazione CE Costi'!H511</f>
        <v>0</v>
      </c>
      <c r="E396" s="168">
        <f>+'Alimentazione CE Costi'!I511</f>
        <v>0</v>
      </c>
      <c r="F396" s="157"/>
      <c r="G396" s="158"/>
      <c r="H396" s="170"/>
      <c r="I396" s="168">
        <f>+'Alimentazione CE Costi'!L511</f>
        <v>0</v>
      </c>
      <c r="K396" s="164"/>
      <c r="M396" s="170"/>
    </row>
    <row r="397" spans="1:13" s="176" customFormat="1" ht="24.95" customHeight="1">
      <c r="A397" s="867"/>
      <c r="B397" s="248" t="s">
        <v>1147</v>
      </c>
      <c r="C397" s="249" t="s">
        <v>1916</v>
      </c>
      <c r="D397" s="234">
        <f>SUM(D398:D400)</f>
        <v>138816660.03</v>
      </c>
      <c r="E397" s="234">
        <f>SUM(E398:E400)</f>
        <v>0</v>
      </c>
      <c r="F397" s="157" t="s">
        <v>2123</v>
      </c>
      <c r="G397" s="169"/>
      <c r="H397" s="170"/>
      <c r="I397" s="234">
        <f>SUM(I398:I400)</f>
        <v>90291752.150000006</v>
      </c>
      <c r="K397" s="164"/>
      <c r="M397" s="170"/>
    </row>
    <row r="398" spans="1:13" s="176" customFormat="1" ht="24.95" customHeight="1">
      <c r="A398" s="871"/>
      <c r="B398" s="174" t="s">
        <v>1149</v>
      </c>
      <c r="C398" s="175" t="s">
        <v>1917</v>
      </c>
      <c r="D398" s="168">
        <f>+ROUND(SUM('Alimentazione CE Costi'!H514:H523),2)</f>
        <v>131019760.95999999</v>
      </c>
      <c r="E398" s="168">
        <f>+ROUND(SUM('Alimentazione CE Costi'!I514:I523),2)</f>
        <v>0</v>
      </c>
      <c r="F398" s="157"/>
      <c r="G398" s="158"/>
      <c r="H398" s="170"/>
      <c r="I398" s="168">
        <f>+ROUND(SUM('Alimentazione CE Costi'!L514:L523),2)</f>
        <v>84624402.900000006</v>
      </c>
      <c r="K398" s="164"/>
      <c r="M398" s="170"/>
    </row>
    <row r="399" spans="1:13" s="176" customFormat="1" ht="24.95" customHeight="1">
      <c r="A399" s="871"/>
      <c r="B399" s="174" t="s">
        <v>1155</v>
      </c>
      <c r="C399" s="175" t="s">
        <v>1918</v>
      </c>
      <c r="D399" s="168">
        <f>+ROUND(SUM('Alimentazione CE Costi'!H525:H534),2)</f>
        <v>7796899.0700000003</v>
      </c>
      <c r="E399" s="168">
        <f>+ROUND(SUM('Alimentazione CE Costi'!I525:I534),2)</f>
        <v>0</v>
      </c>
      <c r="F399" s="157"/>
      <c r="G399" s="158"/>
      <c r="H399" s="170"/>
      <c r="I399" s="168">
        <f>+ROUND(SUM('Alimentazione CE Costi'!L525:L534),2)</f>
        <v>5667349.25</v>
      </c>
      <c r="K399" s="164"/>
      <c r="M399" s="170"/>
    </row>
    <row r="400" spans="1:13" s="176" customFormat="1" ht="24.95" customHeight="1">
      <c r="A400" s="871"/>
      <c r="B400" s="174" t="s">
        <v>1157</v>
      </c>
      <c r="C400" s="175" t="s">
        <v>1919</v>
      </c>
      <c r="D400" s="168">
        <f>+'Alimentazione CE Costi'!H535</f>
        <v>0</v>
      </c>
      <c r="E400" s="168">
        <f>+'Alimentazione CE Costi'!I535</f>
        <v>0</v>
      </c>
      <c r="F400" s="157"/>
      <c r="G400" s="158"/>
      <c r="H400" s="170"/>
      <c r="I400" s="168">
        <f>+'Alimentazione CE Costi'!L535</f>
        <v>0</v>
      </c>
      <c r="K400" s="164"/>
      <c r="M400" s="170"/>
    </row>
    <row r="401" spans="1:13" s="176" customFormat="1" ht="24.95" customHeight="1">
      <c r="A401" s="867"/>
      <c r="B401" s="226" t="s">
        <v>1159</v>
      </c>
      <c r="C401" s="227" t="s">
        <v>1920</v>
      </c>
      <c r="D401" s="228">
        <f>+D402+D406</f>
        <v>1365671.78</v>
      </c>
      <c r="E401" s="228">
        <f>+E402+E406</f>
        <v>0</v>
      </c>
      <c r="F401" s="157" t="s">
        <v>2123</v>
      </c>
      <c r="G401" s="169"/>
      <c r="H401" s="170"/>
      <c r="I401" s="228">
        <f>+I402+I406</f>
        <v>0</v>
      </c>
      <c r="K401" s="164"/>
      <c r="M401" s="170"/>
    </row>
    <row r="402" spans="1:13" s="176" customFormat="1" ht="24.95" customHeight="1">
      <c r="A402" s="867"/>
      <c r="B402" s="221" t="s">
        <v>1161</v>
      </c>
      <c r="C402" s="222" t="s">
        <v>1921</v>
      </c>
      <c r="D402" s="220">
        <f>SUM(D403:D405)</f>
        <v>1365671.78</v>
      </c>
      <c r="E402" s="220">
        <f>SUM(E403:E405)</f>
        <v>0</v>
      </c>
      <c r="F402" s="157" t="s">
        <v>2123</v>
      </c>
      <c r="G402" s="169"/>
      <c r="H402" s="170"/>
      <c r="I402" s="220">
        <f>SUM(I403:I405)</f>
        <v>0</v>
      </c>
      <c r="K402" s="164"/>
      <c r="M402" s="170"/>
    </row>
    <row r="403" spans="1:13" s="176" customFormat="1" ht="24.95" customHeight="1">
      <c r="A403" s="871"/>
      <c r="B403" s="174" t="s">
        <v>1163</v>
      </c>
      <c r="C403" s="175" t="s">
        <v>1922</v>
      </c>
      <c r="D403" s="168">
        <f>+ROUND(SUM('Alimentazione CE Costi'!H539:H547),2)</f>
        <v>1193748.46</v>
      </c>
      <c r="E403" s="168">
        <f>+ROUND(SUM('Alimentazione CE Costi'!I539:I547),2)</f>
        <v>0</v>
      </c>
      <c r="F403" s="157"/>
      <c r="G403" s="158"/>
      <c r="H403" s="170"/>
      <c r="I403" s="168">
        <f>+ROUND(SUM('Alimentazione CE Costi'!L539:L547),2)</f>
        <v>0</v>
      </c>
      <c r="K403" s="164"/>
      <c r="M403" s="170"/>
    </row>
    <row r="404" spans="1:13" s="176" customFormat="1" ht="24.95" customHeight="1">
      <c r="A404" s="871"/>
      <c r="B404" s="174" t="s">
        <v>1166</v>
      </c>
      <c r="C404" s="175" t="s">
        <v>1923</v>
      </c>
      <c r="D404" s="168">
        <f>+ROUND(SUM('Alimentazione CE Costi'!H549:H557),2)</f>
        <v>171923.32</v>
      </c>
      <c r="E404" s="168">
        <f>+ROUND(SUM('Alimentazione CE Costi'!I549:I557),2)</f>
        <v>0</v>
      </c>
      <c r="F404" s="157"/>
      <c r="G404" s="158"/>
      <c r="H404" s="170"/>
      <c r="I404" s="168">
        <f>+ROUND(SUM('Alimentazione CE Costi'!L549:L557),2)</f>
        <v>0</v>
      </c>
      <c r="K404" s="164"/>
      <c r="M404" s="170"/>
    </row>
    <row r="405" spans="1:13" s="176" customFormat="1" ht="24.95" customHeight="1">
      <c r="A405" s="871"/>
      <c r="B405" s="174" t="s">
        <v>1168</v>
      </c>
      <c r="C405" s="175" t="s">
        <v>1924</v>
      </c>
      <c r="D405" s="168">
        <f>+'Alimentazione CE Costi'!H558</f>
        <v>0</v>
      </c>
      <c r="E405" s="168">
        <f>+'Alimentazione CE Costi'!I558</f>
        <v>0</v>
      </c>
      <c r="F405" s="157"/>
      <c r="G405" s="158"/>
      <c r="H405" s="170"/>
      <c r="I405" s="168">
        <f>+'Alimentazione CE Costi'!L558</f>
        <v>0</v>
      </c>
      <c r="K405" s="164"/>
      <c r="M405" s="170"/>
    </row>
    <row r="406" spans="1:13" s="176" customFormat="1" ht="24.95" customHeight="1">
      <c r="A406" s="867"/>
      <c r="B406" s="221" t="s">
        <v>1170</v>
      </c>
      <c r="C406" s="222" t="s">
        <v>1925</v>
      </c>
      <c r="D406" s="220">
        <f>SUM(D407:D409)</f>
        <v>0</v>
      </c>
      <c r="E406" s="220">
        <f>SUM(E407:E409)</f>
        <v>0</v>
      </c>
      <c r="F406" s="157" t="s">
        <v>2123</v>
      </c>
      <c r="G406" s="169"/>
      <c r="H406" s="170"/>
      <c r="I406" s="220">
        <f>SUM(I407:I409)</f>
        <v>0</v>
      </c>
      <c r="K406" s="164"/>
      <c r="M406" s="170"/>
    </row>
    <row r="407" spans="1:13" s="176" customFormat="1" ht="24.95" customHeight="1">
      <c r="A407" s="871"/>
      <c r="B407" s="174" t="s">
        <v>1172</v>
      </c>
      <c r="C407" s="175" t="s">
        <v>1926</v>
      </c>
      <c r="D407" s="168">
        <f>+ROUND(SUM('Alimentazione CE Costi'!H561:H570),2)</f>
        <v>0</v>
      </c>
      <c r="E407" s="168">
        <f>+ROUND(SUM('Alimentazione CE Costi'!I561:I570),2)</f>
        <v>0</v>
      </c>
      <c r="F407" s="157"/>
      <c r="G407" s="158"/>
      <c r="H407" s="170"/>
      <c r="I407" s="168">
        <f>+ROUND(SUM('Alimentazione CE Costi'!L561:L570),2)</f>
        <v>0</v>
      </c>
      <c r="K407" s="164"/>
      <c r="M407" s="170"/>
    </row>
    <row r="408" spans="1:13" s="176" customFormat="1" ht="24.95" customHeight="1">
      <c r="A408" s="871"/>
      <c r="B408" s="174" t="s">
        <v>1174</v>
      </c>
      <c r="C408" s="175" t="s">
        <v>1927</v>
      </c>
      <c r="D408" s="168">
        <f>+ROUND(SUM('Alimentazione CE Costi'!H572:H581),2)</f>
        <v>0</v>
      </c>
      <c r="E408" s="168">
        <f>+ROUND(SUM('Alimentazione CE Costi'!I572:I581),2)</f>
        <v>0</v>
      </c>
      <c r="F408" s="157"/>
      <c r="G408" s="158"/>
      <c r="H408" s="170"/>
      <c r="I408" s="168">
        <f>+ROUND(SUM('Alimentazione CE Costi'!L572:L581),2)</f>
        <v>0</v>
      </c>
      <c r="K408" s="164"/>
      <c r="M408" s="170"/>
    </row>
    <row r="409" spans="1:13" s="176" customFormat="1" ht="24.95" customHeight="1">
      <c r="A409" s="871"/>
      <c r="B409" s="174" t="s">
        <v>1176</v>
      </c>
      <c r="C409" s="175" t="s">
        <v>1928</v>
      </c>
      <c r="D409" s="168">
        <f>+'Alimentazione CE Costi'!H582</f>
        <v>0</v>
      </c>
      <c r="E409" s="168">
        <f>+'Alimentazione CE Costi'!I582</f>
        <v>0</v>
      </c>
      <c r="F409" s="157"/>
      <c r="G409" s="158"/>
      <c r="H409" s="170"/>
      <c r="I409" s="168">
        <f>+'Alimentazione CE Costi'!L582</f>
        <v>0</v>
      </c>
      <c r="K409" s="164"/>
      <c r="M409" s="170"/>
    </row>
    <row r="410" spans="1:13" s="176" customFormat="1" ht="24.95" customHeight="1">
      <c r="A410" s="867"/>
      <c r="B410" s="226" t="s">
        <v>1178</v>
      </c>
      <c r="C410" s="227" t="s">
        <v>1929</v>
      </c>
      <c r="D410" s="228">
        <f>+D411+D415</f>
        <v>45873515.709999993</v>
      </c>
      <c r="E410" s="228">
        <f>+E411+E415</f>
        <v>0</v>
      </c>
      <c r="F410" s="157" t="s">
        <v>2123</v>
      </c>
      <c r="G410" s="169"/>
      <c r="H410" s="170"/>
      <c r="I410" s="228">
        <f>+I411+I415</f>
        <v>31331809.18</v>
      </c>
      <c r="K410" s="164"/>
      <c r="M410" s="170"/>
    </row>
    <row r="411" spans="1:13" s="176" customFormat="1" ht="24.95" customHeight="1">
      <c r="A411" s="867"/>
      <c r="B411" s="221" t="s">
        <v>1180</v>
      </c>
      <c r="C411" s="222" t="s">
        <v>1930</v>
      </c>
      <c r="D411" s="220">
        <f>SUM(D412:D414)</f>
        <v>166706.66</v>
      </c>
      <c r="E411" s="220">
        <f>SUM(E412:E414)</f>
        <v>0</v>
      </c>
      <c r="F411" s="157" t="s">
        <v>2123</v>
      </c>
      <c r="G411" s="169"/>
      <c r="H411" s="170"/>
      <c r="I411" s="220">
        <f>SUM(I412:I414)</f>
        <v>0</v>
      </c>
      <c r="K411" s="164"/>
      <c r="M411" s="170"/>
    </row>
    <row r="412" spans="1:13" s="176" customFormat="1" ht="24.95" customHeight="1">
      <c r="A412" s="871"/>
      <c r="B412" s="174" t="s">
        <v>1182</v>
      </c>
      <c r="C412" s="175" t="s">
        <v>1931</v>
      </c>
      <c r="D412" s="168">
        <f>+ROUND(SUM('Alimentazione CE Costi'!H586:H594),2)</f>
        <v>123046.51</v>
      </c>
      <c r="E412" s="168">
        <f>+ROUND(SUM('Alimentazione CE Costi'!I586:I594),2)</f>
        <v>0</v>
      </c>
      <c r="F412" s="157"/>
      <c r="G412" s="158"/>
      <c r="H412" s="170"/>
      <c r="I412" s="168">
        <f>+ROUND(SUM('Alimentazione CE Costi'!L586:L594),2)</f>
        <v>0</v>
      </c>
      <c r="K412" s="164"/>
      <c r="M412" s="170"/>
    </row>
    <row r="413" spans="1:13" s="176" customFormat="1" ht="24.95" customHeight="1">
      <c r="A413" s="871"/>
      <c r="B413" s="174" t="s">
        <v>1185</v>
      </c>
      <c r="C413" s="175" t="s">
        <v>1932</v>
      </c>
      <c r="D413" s="168">
        <f>+ROUND(SUM('Alimentazione CE Costi'!H596:H604),2)</f>
        <v>43660.15</v>
      </c>
      <c r="E413" s="168">
        <f>+ROUND(SUM('Alimentazione CE Costi'!I596:I604),2)</f>
        <v>0</v>
      </c>
      <c r="F413" s="157"/>
      <c r="G413" s="158"/>
      <c r="H413" s="170"/>
      <c r="I413" s="168">
        <f>+ROUND(SUM('Alimentazione CE Costi'!L596:L604),2)</f>
        <v>0</v>
      </c>
      <c r="K413" s="164"/>
      <c r="M413" s="170"/>
    </row>
    <row r="414" spans="1:13" s="176" customFormat="1" ht="24.95" customHeight="1">
      <c r="A414" s="871"/>
      <c r="B414" s="174" t="s">
        <v>1187</v>
      </c>
      <c r="C414" s="175" t="s">
        <v>1933</v>
      </c>
      <c r="D414" s="168">
        <f>+'Alimentazione CE Costi'!H605</f>
        <v>0</v>
      </c>
      <c r="E414" s="168">
        <f>+'Alimentazione CE Costi'!I605</f>
        <v>0</v>
      </c>
      <c r="F414" s="157"/>
      <c r="G414" s="158"/>
      <c r="H414" s="170"/>
      <c r="I414" s="168">
        <f>+'Alimentazione CE Costi'!L605</f>
        <v>0</v>
      </c>
      <c r="K414" s="164"/>
      <c r="M414" s="170"/>
    </row>
    <row r="415" spans="1:13" s="176" customFormat="1" ht="24.95" customHeight="1">
      <c r="A415" s="867"/>
      <c r="B415" s="221" t="s">
        <v>1189</v>
      </c>
      <c r="C415" s="222" t="s">
        <v>1934</v>
      </c>
      <c r="D415" s="220">
        <f>SUM(D416:D418)</f>
        <v>45706809.049999997</v>
      </c>
      <c r="E415" s="220">
        <f>SUM(E416:E418)</f>
        <v>0</v>
      </c>
      <c r="F415" s="157" t="s">
        <v>2123</v>
      </c>
      <c r="G415" s="169"/>
      <c r="H415" s="170"/>
      <c r="I415" s="220">
        <f>SUM(I416:I418)</f>
        <v>31331809.18</v>
      </c>
      <c r="K415" s="164"/>
      <c r="M415" s="170"/>
    </row>
    <row r="416" spans="1:13" s="176" customFormat="1" ht="24.95" customHeight="1">
      <c r="A416" s="871"/>
      <c r="B416" s="174" t="s">
        <v>1191</v>
      </c>
      <c r="C416" s="175" t="s">
        <v>1935</v>
      </c>
      <c r="D416" s="168">
        <f>+ROUND(SUM('Alimentazione CE Costi'!H608:H617),2)</f>
        <v>43554917.890000001</v>
      </c>
      <c r="E416" s="168">
        <f>+ROUND(SUM('Alimentazione CE Costi'!I608:I617),2)</f>
        <v>0</v>
      </c>
      <c r="F416" s="157"/>
      <c r="G416" s="158"/>
      <c r="H416" s="170"/>
      <c r="I416" s="168">
        <f>+ROUND(SUM('Alimentazione CE Costi'!L608:L617),2)</f>
        <v>29954742.530000001</v>
      </c>
      <c r="K416" s="164"/>
      <c r="M416" s="170"/>
    </row>
    <row r="417" spans="1:13" s="176" customFormat="1" ht="24.95" customHeight="1">
      <c r="A417" s="871"/>
      <c r="B417" s="174" t="s">
        <v>1193</v>
      </c>
      <c r="C417" s="175" t="s">
        <v>1936</v>
      </c>
      <c r="D417" s="168">
        <f>+ROUND(SUM('Alimentazione CE Costi'!H619:H628),2)</f>
        <v>2151891.16</v>
      </c>
      <c r="E417" s="168">
        <f>+ROUND(SUM('Alimentazione CE Costi'!I619:I628),2)</f>
        <v>0</v>
      </c>
      <c r="F417" s="157"/>
      <c r="G417" s="158"/>
      <c r="H417" s="170"/>
      <c r="I417" s="168">
        <f>+ROUND(SUM('Alimentazione CE Costi'!L619:L628),2)</f>
        <v>1377066.65</v>
      </c>
      <c r="K417" s="164"/>
      <c r="M417" s="170"/>
    </row>
    <row r="418" spans="1:13" s="176" customFormat="1" ht="24.95" customHeight="1">
      <c r="A418" s="871"/>
      <c r="B418" s="174" t="s">
        <v>1195</v>
      </c>
      <c r="C418" s="175" t="s">
        <v>1937</v>
      </c>
      <c r="D418" s="168">
        <f>+'Alimentazione CE Costi'!H629</f>
        <v>0</v>
      </c>
      <c r="E418" s="168">
        <f>+'Alimentazione CE Costi'!I629</f>
        <v>0</v>
      </c>
      <c r="F418" s="157"/>
      <c r="G418" s="158"/>
      <c r="H418" s="170"/>
      <c r="I418" s="168">
        <f>+'Alimentazione CE Costi'!L629</f>
        <v>0</v>
      </c>
      <c r="K418" s="164"/>
      <c r="M418" s="170"/>
    </row>
    <row r="419" spans="1:13" s="176" customFormat="1" ht="24.95" customHeight="1">
      <c r="A419" s="867"/>
      <c r="B419" s="226" t="s">
        <v>1197</v>
      </c>
      <c r="C419" s="227" t="s">
        <v>1938</v>
      </c>
      <c r="D419" s="228">
        <f>+D420+D424</f>
        <v>17725559.390000001</v>
      </c>
      <c r="E419" s="228">
        <f>+E420+E424</f>
        <v>0</v>
      </c>
      <c r="F419" s="157" t="s">
        <v>2123</v>
      </c>
      <c r="G419" s="169"/>
      <c r="H419" s="170"/>
      <c r="I419" s="228">
        <f>+I420+I424</f>
        <v>2453705.27</v>
      </c>
      <c r="K419" s="164"/>
      <c r="M419" s="170"/>
    </row>
    <row r="420" spans="1:13" s="176" customFormat="1" ht="24.95" customHeight="1">
      <c r="A420" s="867"/>
      <c r="B420" s="221" t="s">
        <v>1199</v>
      </c>
      <c r="C420" s="222" t="s">
        <v>1939</v>
      </c>
      <c r="D420" s="220">
        <f>SUM(D421:D423)</f>
        <v>2272115.34</v>
      </c>
      <c r="E420" s="220">
        <f>SUM(E421:E423)</f>
        <v>0</v>
      </c>
      <c r="F420" s="157" t="s">
        <v>2123</v>
      </c>
      <c r="G420" s="169"/>
      <c r="H420" s="170"/>
      <c r="I420" s="220">
        <f>SUM(I421:I423)</f>
        <v>0</v>
      </c>
      <c r="K420" s="164"/>
      <c r="M420" s="170"/>
    </row>
    <row r="421" spans="1:13" s="176" customFormat="1" ht="24.95" customHeight="1">
      <c r="A421" s="871"/>
      <c r="B421" s="174" t="s">
        <v>1201</v>
      </c>
      <c r="C421" s="175" t="s">
        <v>1940</v>
      </c>
      <c r="D421" s="168">
        <f>+ROUND(SUM('Alimentazione CE Costi'!H633:H641),2)</f>
        <v>2143149.88</v>
      </c>
      <c r="E421" s="168">
        <f>+ROUND(SUM('Alimentazione CE Costi'!I633:I641),2)</f>
        <v>0</v>
      </c>
      <c r="F421" s="157"/>
      <c r="G421" s="158"/>
      <c r="H421" s="170"/>
      <c r="I421" s="168">
        <f>+ROUND(SUM('Alimentazione CE Costi'!L633:L641),2)</f>
        <v>0</v>
      </c>
      <c r="K421" s="164"/>
      <c r="M421" s="170"/>
    </row>
    <row r="422" spans="1:13" s="176" customFormat="1" ht="24.95" customHeight="1">
      <c r="A422" s="871"/>
      <c r="B422" s="174" t="s">
        <v>1204</v>
      </c>
      <c r="C422" s="175" t="s">
        <v>1941</v>
      </c>
      <c r="D422" s="168">
        <f>+ROUND(SUM('Alimentazione CE Costi'!H643:H651),2)</f>
        <v>128965.46</v>
      </c>
      <c r="E422" s="168">
        <f>+ROUND(SUM('Alimentazione CE Costi'!I643:I651),2)</f>
        <v>0</v>
      </c>
      <c r="F422" s="157"/>
      <c r="G422" s="158"/>
      <c r="H422" s="170"/>
      <c r="I422" s="168">
        <f>+ROUND(SUM('Alimentazione CE Costi'!L643:L651),2)</f>
        <v>0</v>
      </c>
      <c r="K422" s="164"/>
      <c r="M422" s="170"/>
    </row>
    <row r="423" spans="1:13" s="176" customFormat="1" ht="24.95" customHeight="1">
      <c r="A423" s="871"/>
      <c r="B423" s="174" t="s">
        <v>1206</v>
      </c>
      <c r="C423" s="175" t="s">
        <v>1942</v>
      </c>
      <c r="D423" s="168">
        <f>+'Alimentazione CE Costi'!H652</f>
        <v>0</v>
      </c>
      <c r="E423" s="168">
        <f>+'Alimentazione CE Costi'!I652</f>
        <v>0</v>
      </c>
      <c r="F423" s="157"/>
      <c r="G423" s="158"/>
      <c r="H423" s="170"/>
      <c r="I423" s="168">
        <f>+'Alimentazione CE Costi'!L652</f>
        <v>0</v>
      </c>
      <c r="K423" s="164"/>
      <c r="M423" s="170"/>
    </row>
    <row r="424" spans="1:13" s="176" customFormat="1" ht="24.95" customHeight="1">
      <c r="A424" s="867"/>
      <c r="B424" s="221" t="s">
        <v>1208</v>
      </c>
      <c r="C424" s="222" t="s">
        <v>1943</v>
      </c>
      <c r="D424" s="220">
        <f>SUM(D425:D427)</f>
        <v>15453444.050000001</v>
      </c>
      <c r="E424" s="220">
        <f>SUM(E425:E427)</f>
        <v>0</v>
      </c>
      <c r="F424" s="157" t="s">
        <v>2123</v>
      </c>
      <c r="G424" s="169"/>
      <c r="H424" s="170"/>
      <c r="I424" s="220">
        <f>SUM(I425:I427)</f>
        <v>2453705.27</v>
      </c>
      <c r="K424" s="164"/>
      <c r="M424" s="170"/>
    </row>
    <row r="425" spans="1:13" s="176" customFormat="1" ht="24.95" customHeight="1">
      <c r="A425" s="871"/>
      <c r="B425" s="174" t="s">
        <v>1210</v>
      </c>
      <c r="C425" s="175" t="s">
        <v>1944</v>
      </c>
      <c r="D425" s="168">
        <f>+ROUND(SUM('Alimentazione CE Costi'!H655:H664),2)</f>
        <v>14846204.51</v>
      </c>
      <c r="E425" s="168">
        <f>+ROUND(SUM('Alimentazione CE Costi'!I655:I664),2)</f>
        <v>0</v>
      </c>
      <c r="F425" s="157"/>
      <c r="G425" s="158"/>
      <c r="H425" s="170"/>
      <c r="I425" s="168">
        <f>+ROUND(SUM('Alimentazione CE Costi'!L655:L664),2)</f>
        <v>2346995.7799999998</v>
      </c>
      <c r="K425" s="164"/>
      <c r="M425" s="170"/>
    </row>
    <row r="426" spans="1:13" s="176" customFormat="1" ht="24.95" customHeight="1">
      <c r="A426" s="871"/>
      <c r="B426" s="174" t="s">
        <v>1212</v>
      </c>
      <c r="C426" s="175" t="s">
        <v>1945</v>
      </c>
      <c r="D426" s="168">
        <f>+ROUND(SUM('Alimentazione CE Costi'!H666:H675),2)</f>
        <v>607239.54</v>
      </c>
      <c r="E426" s="168">
        <f>+ROUND(SUM('Alimentazione CE Costi'!I666:I675),2)</f>
        <v>0</v>
      </c>
      <c r="F426" s="157"/>
      <c r="G426" s="158"/>
      <c r="H426" s="170"/>
      <c r="I426" s="168">
        <f>+ROUND(SUM('Alimentazione CE Costi'!L666:L675),2)</f>
        <v>106709.49</v>
      </c>
      <c r="K426" s="164"/>
      <c r="M426" s="170"/>
    </row>
    <row r="427" spans="1:13" s="176" customFormat="1" ht="24.95" customHeight="1">
      <c r="A427" s="871"/>
      <c r="B427" s="174" t="s">
        <v>1214</v>
      </c>
      <c r="C427" s="175" t="s">
        <v>1946</v>
      </c>
      <c r="D427" s="168">
        <f>+'Alimentazione CE Costi'!H676</f>
        <v>0</v>
      </c>
      <c r="E427" s="168">
        <f>+'Alimentazione CE Costi'!I676</f>
        <v>0</v>
      </c>
      <c r="F427" s="157"/>
      <c r="G427" s="158"/>
      <c r="H427" s="170"/>
      <c r="I427" s="168">
        <f>+'Alimentazione CE Costi'!L676</f>
        <v>0</v>
      </c>
      <c r="K427" s="164"/>
      <c r="M427" s="170"/>
    </row>
    <row r="428" spans="1:13" s="176" customFormat="1" ht="24.95" customHeight="1">
      <c r="A428" s="867"/>
      <c r="B428" s="226" t="s">
        <v>1215</v>
      </c>
      <c r="C428" s="227" t="s">
        <v>1947</v>
      </c>
      <c r="D428" s="228">
        <f>+D429+D430+D431</f>
        <v>1960238.62</v>
      </c>
      <c r="E428" s="228">
        <f>+E429+E430+E431</f>
        <v>0</v>
      </c>
      <c r="F428" s="157" t="s">
        <v>2123</v>
      </c>
      <c r="G428" s="169"/>
      <c r="H428" s="170"/>
      <c r="I428" s="228">
        <f>+I429+I430+I431</f>
        <v>5633.0300000000007</v>
      </c>
      <c r="K428" s="164"/>
      <c r="M428" s="170"/>
    </row>
    <row r="429" spans="1:13" s="176" customFormat="1" ht="24.95" customHeight="1">
      <c r="A429" s="867"/>
      <c r="B429" s="171" t="s">
        <v>1217</v>
      </c>
      <c r="C429" s="172" t="s">
        <v>1948</v>
      </c>
      <c r="D429" s="188">
        <f>+ROUND(SUM('Alimentazione CE Costi'!H679:H685),2)</f>
        <v>1198904.07</v>
      </c>
      <c r="E429" s="188">
        <f>+ROUND(SUM('Alimentazione CE Costi'!I679:I685),2)</f>
        <v>0</v>
      </c>
      <c r="F429" s="157"/>
      <c r="G429" s="158"/>
      <c r="H429" s="170"/>
      <c r="I429" s="188">
        <f>+ROUND(SUM('Alimentazione CE Costi'!L679:L685),2)</f>
        <v>2502.5500000000002</v>
      </c>
      <c r="K429" s="164"/>
      <c r="M429" s="170"/>
    </row>
    <row r="430" spans="1:13" s="176" customFormat="1" ht="24.95" customHeight="1">
      <c r="A430" s="867"/>
      <c r="B430" s="171" t="s">
        <v>1226</v>
      </c>
      <c r="C430" s="172" t="s">
        <v>1949</v>
      </c>
      <c r="D430" s="188">
        <f>+'Alimentazione CE Costi'!H686</f>
        <v>0</v>
      </c>
      <c r="E430" s="188">
        <f>+'Alimentazione CE Costi'!I686</f>
        <v>0</v>
      </c>
      <c r="F430" s="157"/>
      <c r="G430" s="158"/>
      <c r="H430" s="170"/>
      <c r="I430" s="188">
        <f>+'Alimentazione CE Costi'!L686</f>
        <v>0</v>
      </c>
      <c r="K430" s="164"/>
      <c r="M430" s="170"/>
    </row>
    <row r="431" spans="1:13" s="176" customFormat="1" ht="24.95" customHeight="1">
      <c r="A431" s="867"/>
      <c r="B431" s="221" t="s">
        <v>1228</v>
      </c>
      <c r="C431" s="222" t="s">
        <v>1950</v>
      </c>
      <c r="D431" s="220">
        <f>+D432+D433+D434+D435</f>
        <v>761334.55</v>
      </c>
      <c r="E431" s="220">
        <f>+E432+E433+E434+E435</f>
        <v>0</v>
      </c>
      <c r="F431" s="157" t="s">
        <v>2123</v>
      </c>
      <c r="G431" s="169"/>
      <c r="H431" s="170"/>
      <c r="I431" s="220">
        <f>+I432+I433+I434+I435</f>
        <v>3130.48</v>
      </c>
      <c r="K431" s="164"/>
      <c r="M431" s="170"/>
    </row>
    <row r="432" spans="1:13" s="176" customFormat="1" ht="25.5">
      <c r="A432" s="867"/>
      <c r="B432" s="174" t="s">
        <v>1230</v>
      </c>
      <c r="C432" s="175" t="s">
        <v>1951</v>
      </c>
      <c r="D432" s="168">
        <f>+ROUND(SUM('Alimentazione CE Costi'!H690:H700),2)</f>
        <v>632089.03</v>
      </c>
      <c r="E432" s="168">
        <f>+ROUND(SUM('Alimentazione CE Costi'!I690:I700),2)</f>
        <v>0</v>
      </c>
      <c r="F432" s="157"/>
      <c r="G432" s="158"/>
      <c r="H432" s="170"/>
      <c r="I432" s="168">
        <f>+ROUND(SUM('Alimentazione CE Costi'!L690:L700),2)</f>
        <v>0</v>
      </c>
      <c r="K432" s="164"/>
      <c r="M432" s="170"/>
    </row>
    <row r="433" spans="1:13" s="176" customFormat="1" ht="24.95" customHeight="1">
      <c r="A433" s="871"/>
      <c r="B433" s="174" t="s">
        <v>1238</v>
      </c>
      <c r="C433" s="175" t="s">
        <v>1952</v>
      </c>
      <c r="D433" s="168">
        <f>+'Alimentazione CE Costi'!H702+'Alimentazione CE Costi'!H703+'Alimentazione CE Costi'!H704</f>
        <v>129245.52</v>
      </c>
      <c r="E433" s="168">
        <f>+'Alimentazione CE Costi'!I702+'Alimentazione CE Costi'!I703+'Alimentazione CE Costi'!I704</f>
        <v>0</v>
      </c>
      <c r="F433" s="157"/>
      <c r="G433" s="158"/>
      <c r="H433" s="170"/>
      <c r="I433" s="168">
        <f>+'Alimentazione CE Costi'!L702+'Alimentazione CE Costi'!L703+'Alimentazione CE Costi'!L704</f>
        <v>3130.48</v>
      </c>
      <c r="K433" s="164"/>
      <c r="M433" s="170"/>
    </row>
    <row r="434" spans="1:13" s="187" customFormat="1" ht="24.95" customHeight="1">
      <c r="A434" s="871" t="s">
        <v>1550</v>
      </c>
      <c r="B434" s="174" t="s">
        <v>1242</v>
      </c>
      <c r="C434" s="175" t="s">
        <v>1953</v>
      </c>
      <c r="D434" s="168">
        <f>+'Alimentazione CE Costi'!H705</f>
        <v>0</v>
      </c>
      <c r="E434" s="168">
        <f>+'Alimentazione CE Costi'!I705</f>
        <v>0</v>
      </c>
      <c r="F434" s="157"/>
      <c r="G434" s="157"/>
      <c r="H434" s="170"/>
      <c r="I434" s="168">
        <f>+'Alimentazione CE Costi'!L705</f>
        <v>0</v>
      </c>
      <c r="K434" s="164"/>
      <c r="M434" s="170"/>
    </row>
    <row r="435" spans="1:13" s="187" customFormat="1" ht="24.95" customHeight="1">
      <c r="A435" s="871"/>
      <c r="B435" s="174" t="s">
        <v>1244</v>
      </c>
      <c r="C435" s="175" t="s">
        <v>1954</v>
      </c>
      <c r="D435" s="168">
        <f>+'Alimentazione CE Costi'!H706</f>
        <v>0</v>
      </c>
      <c r="E435" s="168">
        <f>+'Alimentazione CE Costi'!I706</f>
        <v>0</v>
      </c>
      <c r="F435" s="157"/>
      <c r="G435" s="157"/>
      <c r="H435" s="170"/>
      <c r="I435" s="168">
        <f>+'Alimentazione CE Costi'!L706</f>
        <v>0</v>
      </c>
      <c r="K435" s="164"/>
      <c r="M435" s="170"/>
    </row>
    <row r="436" spans="1:13" s="176" customFormat="1" ht="24.95" customHeight="1">
      <c r="A436" s="867"/>
      <c r="B436" s="253" t="s">
        <v>1955</v>
      </c>
      <c r="C436" s="254" t="s">
        <v>1956</v>
      </c>
      <c r="D436" s="242">
        <f>+D437+D438</f>
        <v>25357306.330000002</v>
      </c>
      <c r="E436" s="242">
        <f>+E437+E438</f>
        <v>0</v>
      </c>
      <c r="F436" s="157" t="s">
        <v>2123</v>
      </c>
      <c r="G436" s="169"/>
      <c r="H436" s="170"/>
      <c r="I436" s="242">
        <f>+I437+I438</f>
        <v>20379903.710000001</v>
      </c>
      <c r="K436" s="164"/>
      <c r="M436" s="170"/>
    </row>
    <row r="437" spans="1:13" s="176" customFormat="1" ht="24.95" customHeight="1">
      <c r="A437" s="867"/>
      <c r="B437" s="166" t="s">
        <v>1246</v>
      </c>
      <c r="C437" s="167" t="s">
        <v>1957</v>
      </c>
      <c r="D437" s="168">
        <f>+ROUND(SUM('Alimentazione CE Costi'!H708:H715),2)</f>
        <v>226369.28</v>
      </c>
      <c r="E437" s="168">
        <f>+ROUND(SUM('Alimentazione CE Costi'!I708:I715),2)</f>
        <v>0</v>
      </c>
      <c r="F437" s="157"/>
      <c r="G437" s="158"/>
      <c r="H437" s="170"/>
      <c r="I437" s="168">
        <f>+ROUND(SUM('Alimentazione CE Costi'!L708:L715),2)</f>
        <v>0</v>
      </c>
      <c r="K437" s="164"/>
      <c r="M437" s="170"/>
    </row>
    <row r="438" spans="1:13" s="176" customFormat="1" ht="24.95" customHeight="1">
      <c r="A438" s="867"/>
      <c r="B438" s="226" t="s">
        <v>1256</v>
      </c>
      <c r="C438" s="227" t="s">
        <v>1958</v>
      </c>
      <c r="D438" s="228">
        <f>+D439+D442</f>
        <v>25130937.050000001</v>
      </c>
      <c r="E438" s="228">
        <f>+E439+E442</f>
        <v>0</v>
      </c>
      <c r="F438" s="157" t="s">
        <v>2123</v>
      </c>
      <c r="G438" s="169"/>
      <c r="H438" s="170"/>
      <c r="I438" s="228">
        <f>+I439+I442</f>
        <v>20379903.710000001</v>
      </c>
      <c r="K438" s="164"/>
      <c r="M438" s="170"/>
    </row>
    <row r="439" spans="1:13" s="158" customFormat="1" ht="24.95" customHeight="1">
      <c r="A439" s="869"/>
      <c r="B439" s="221" t="s">
        <v>1258</v>
      </c>
      <c r="C439" s="222" t="s">
        <v>1959</v>
      </c>
      <c r="D439" s="220">
        <f>+D440+D441</f>
        <v>15927306.25</v>
      </c>
      <c r="E439" s="220">
        <f>+E440+E441</f>
        <v>0</v>
      </c>
      <c r="F439" s="157" t="s">
        <v>2123</v>
      </c>
      <c r="G439" s="169"/>
      <c r="H439" s="170"/>
      <c r="I439" s="220">
        <f>+I440+I441</f>
        <v>12205083.550000001</v>
      </c>
      <c r="K439" s="164"/>
      <c r="M439" s="170"/>
    </row>
    <row r="440" spans="1:13" s="158" customFormat="1" ht="24.95" customHeight="1">
      <c r="A440" s="869"/>
      <c r="B440" s="174" t="s">
        <v>1260</v>
      </c>
      <c r="C440" s="175" t="s">
        <v>1960</v>
      </c>
      <c r="D440" s="168">
        <f>+'Alimentazione CE Costi'!H718</f>
        <v>81243.009999999995</v>
      </c>
      <c r="E440" s="168">
        <f>+'Alimentazione CE Costi'!I718</f>
        <v>0</v>
      </c>
      <c r="F440" s="157"/>
      <c r="H440" s="170"/>
      <c r="I440" s="168">
        <f>+'Alimentazione CE Costi'!L718</f>
        <v>0</v>
      </c>
      <c r="K440" s="164"/>
      <c r="M440" s="170"/>
    </row>
    <row r="441" spans="1:13" s="158" customFormat="1" ht="24.95" customHeight="1">
      <c r="A441" s="869"/>
      <c r="B441" s="174" t="s">
        <v>1262</v>
      </c>
      <c r="C441" s="175" t="s">
        <v>1961</v>
      </c>
      <c r="D441" s="168">
        <f>+'Alimentazione CE Costi'!H719</f>
        <v>15846063.24</v>
      </c>
      <c r="E441" s="168">
        <f>+'Alimentazione CE Costi'!I719</f>
        <v>0</v>
      </c>
      <c r="F441" s="157"/>
      <c r="H441" s="170"/>
      <c r="I441" s="168">
        <f>+'Alimentazione CE Costi'!L719</f>
        <v>12205083.550000001</v>
      </c>
      <c r="K441" s="164"/>
      <c r="M441" s="170"/>
    </row>
    <row r="442" spans="1:13" s="158" customFormat="1" ht="24.95" customHeight="1">
      <c r="A442" s="869"/>
      <c r="B442" s="166" t="s">
        <v>1264</v>
      </c>
      <c r="C442" s="167" t="s">
        <v>1962</v>
      </c>
      <c r="D442" s="168">
        <f>+ROUND(SUM('Alimentazione CE Costi'!H721:H725),2)</f>
        <v>9203630.8000000007</v>
      </c>
      <c r="E442" s="168">
        <f>+ROUND(SUM('Alimentazione CE Costi'!I721:I725),2)</f>
        <v>0</v>
      </c>
      <c r="F442" s="157"/>
      <c r="H442" s="170"/>
      <c r="I442" s="168">
        <f>+ROUND(SUM('Alimentazione CE Costi'!L721:L725),2)</f>
        <v>8174820.1600000001</v>
      </c>
      <c r="K442" s="164"/>
      <c r="M442" s="170"/>
    </row>
    <row r="443" spans="1:13" s="158" customFormat="1" ht="24.95" customHeight="1">
      <c r="A443" s="869"/>
      <c r="B443" s="226" t="s">
        <v>1271</v>
      </c>
      <c r="C443" s="227" t="s">
        <v>1963</v>
      </c>
      <c r="D443" s="228">
        <f>+D444+D445</f>
        <v>497096.97</v>
      </c>
      <c r="E443" s="228">
        <f>+E444+E445</f>
        <v>0</v>
      </c>
      <c r="F443" s="157" t="s">
        <v>2123</v>
      </c>
      <c r="G443" s="169"/>
      <c r="H443" s="170"/>
      <c r="I443" s="228">
        <f>+I444+I445</f>
        <v>497096.97</v>
      </c>
      <c r="K443" s="164"/>
      <c r="M443" s="170"/>
    </row>
    <row r="444" spans="1:13" s="158" customFormat="1" ht="24.95" customHeight="1">
      <c r="A444" s="869"/>
      <c r="B444" s="171" t="s">
        <v>1273</v>
      </c>
      <c r="C444" s="172" t="s">
        <v>1964</v>
      </c>
      <c r="D444" s="188">
        <f>+ROUND(SUM('Alimentazione CE Costi'!H729:H743),2)</f>
        <v>0</v>
      </c>
      <c r="E444" s="188">
        <f>+ROUND(SUM('Alimentazione CE Costi'!I729:I743),2)</f>
        <v>0</v>
      </c>
      <c r="F444" s="157"/>
      <c r="H444" s="170"/>
      <c r="I444" s="188">
        <f>+ROUND(SUM('Alimentazione CE Costi'!L729:L743),2)</f>
        <v>0</v>
      </c>
      <c r="K444" s="164"/>
      <c r="M444" s="170"/>
    </row>
    <row r="445" spans="1:13" s="158" customFormat="1" ht="24.95" customHeight="1">
      <c r="A445" s="869"/>
      <c r="B445" s="171" t="s">
        <v>1291</v>
      </c>
      <c r="C445" s="172" t="s">
        <v>1965</v>
      </c>
      <c r="D445" s="168">
        <f>+ROUND(SUM('Alimentazione CE Costi'!H745:H791),2)</f>
        <v>497096.97</v>
      </c>
      <c r="E445" s="168">
        <f>+ROUND(SUM('Alimentazione CE Costi'!I745:I791),2)</f>
        <v>0</v>
      </c>
      <c r="F445" s="157"/>
      <c r="H445" s="170"/>
      <c r="I445" s="168">
        <f>+ROUND(SUM('Alimentazione CE Costi'!L745:L791),2)</f>
        <v>497096.97</v>
      </c>
      <c r="K445" s="164"/>
      <c r="M445" s="170"/>
    </row>
    <row r="446" spans="1:13" s="158" customFormat="1" ht="24.95" customHeight="1">
      <c r="A446" s="869"/>
      <c r="B446" s="226" t="s">
        <v>1339</v>
      </c>
      <c r="C446" s="227" t="s">
        <v>1966</v>
      </c>
      <c r="D446" s="228">
        <f>+D447+D456</f>
        <v>-1493200.01</v>
      </c>
      <c r="E446" s="228">
        <f>+E447+E456</f>
        <v>0</v>
      </c>
      <c r="F446" s="157" t="s">
        <v>2123</v>
      </c>
      <c r="G446" s="169"/>
      <c r="H446" s="170"/>
      <c r="I446" s="228">
        <f>+I447+I456</f>
        <v>0</v>
      </c>
      <c r="K446" s="164"/>
      <c r="M446" s="170"/>
    </row>
    <row r="447" spans="1:13" s="158" customFormat="1" ht="24.95" customHeight="1">
      <c r="A447" s="869"/>
      <c r="B447" s="221" t="s">
        <v>1341</v>
      </c>
      <c r="C447" s="222" t="s">
        <v>1967</v>
      </c>
      <c r="D447" s="220">
        <f>SUM(D448:D455)</f>
        <v>-1082884.05</v>
      </c>
      <c r="E447" s="220">
        <f>SUM(E448:E455)</f>
        <v>0</v>
      </c>
      <c r="F447" s="157" t="s">
        <v>2123</v>
      </c>
      <c r="G447" s="169"/>
      <c r="H447" s="170"/>
      <c r="I447" s="220">
        <f>SUM(I448:I455)</f>
        <v>0</v>
      </c>
      <c r="K447" s="164"/>
      <c r="M447" s="170"/>
    </row>
    <row r="448" spans="1:13" s="158" customFormat="1" ht="24.95" customHeight="1">
      <c r="A448" s="869"/>
      <c r="B448" s="174" t="s">
        <v>1342</v>
      </c>
      <c r="C448" s="175" t="s">
        <v>1968</v>
      </c>
      <c r="D448" s="168">
        <f>+'Alimentazione CE Costi'!H794</f>
        <v>581201.5</v>
      </c>
      <c r="E448" s="168">
        <f>+'Alimentazione CE Costi'!I794</f>
        <v>0</v>
      </c>
      <c r="F448" s="157"/>
      <c r="H448" s="170"/>
      <c r="I448" s="168">
        <f>+'Alimentazione CE Costi'!L794</f>
        <v>0</v>
      </c>
      <c r="K448" s="164"/>
      <c r="M448" s="170"/>
    </row>
    <row r="449" spans="1:13" s="158" customFormat="1" ht="24.95" customHeight="1">
      <c r="A449" s="869"/>
      <c r="B449" s="174" t="s">
        <v>1343</v>
      </c>
      <c r="C449" s="175" t="s">
        <v>1969</v>
      </c>
      <c r="D449" s="168">
        <f>+'Alimentazione CE Costi'!H795</f>
        <v>0</v>
      </c>
      <c r="E449" s="168">
        <f>+'Alimentazione CE Costi'!I795</f>
        <v>0</v>
      </c>
      <c r="F449" s="157"/>
      <c r="H449" s="170"/>
      <c r="I449" s="168">
        <f>+'Alimentazione CE Costi'!L795</f>
        <v>0</v>
      </c>
      <c r="K449" s="164"/>
      <c r="M449" s="170"/>
    </row>
    <row r="450" spans="1:13" s="158" customFormat="1" ht="24.95" customHeight="1">
      <c r="A450" s="869"/>
      <c r="B450" s="174" t="s">
        <v>1344</v>
      </c>
      <c r="C450" s="175" t="s">
        <v>1970</v>
      </c>
      <c r="D450" s="168">
        <f>+'Alimentazione CE Costi'!H796</f>
        <v>-1630038.07</v>
      </c>
      <c r="E450" s="168">
        <f>+'Alimentazione CE Costi'!I796</f>
        <v>0</v>
      </c>
      <c r="F450" s="157"/>
      <c r="H450" s="170"/>
      <c r="I450" s="168">
        <f>+'Alimentazione CE Costi'!L796</f>
        <v>0</v>
      </c>
      <c r="K450" s="164"/>
      <c r="M450" s="170"/>
    </row>
    <row r="451" spans="1:13" s="158" customFormat="1" ht="24.95" customHeight="1">
      <c r="A451" s="869"/>
      <c r="B451" s="174" t="s">
        <v>1345</v>
      </c>
      <c r="C451" s="175" t="s">
        <v>1971</v>
      </c>
      <c r="D451" s="168">
        <f>+'Alimentazione CE Costi'!H797</f>
        <v>-111.23</v>
      </c>
      <c r="E451" s="168">
        <f>+'Alimentazione CE Costi'!I797</f>
        <v>0</v>
      </c>
      <c r="F451" s="157"/>
      <c r="H451" s="170"/>
      <c r="I451" s="168">
        <f>+'Alimentazione CE Costi'!L797</f>
        <v>0</v>
      </c>
      <c r="K451" s="164"/>
      <c r="M451" s="170"/>
    </row>
    <row r="452" spans="1:13" s="158" customFormat="1" ht="24.95" customHeight="1">
      <c r="A452" s="869"/>
      <c r="B452" s="174" t="s">
        <v>1346</v>
      </c>
      <c r="C452" s="175" t="s">
        <v>1972</v>
      </c>
      <c r="D452" s="168">
        <f>+'Alimentazione CE Costi'!H798</f>
        <v>0</v>
      </c>
      <c r="E452" s="168">
        <f>+'Alimentazione CE Costi'!I798</f>
        <v>0</v>
      </c>
      <c r="F452" s="157"/>
      <c r="H452" s="170"/>
      <c r="I452" s="168">
        <f>+'Alimentazione CE Costi'!L798</f>
        <v>0</v>
      </c>
      <c r="K452" s="164"/>
      <c r="M452" s="170"/>
    </row>
    <row r="453" spans="1:13" s="158" customFormat="1" ht="24.95" customHeight="1">
      <c r="A453" s="869"/>
      <c r="B453" s="174" t="s">
        <v>1347</v>
      </c>
      <c r="C453" s="175" t="s">
        <v>1973</v>
      </c>
      <c r="D453" s="168">
        <f>+'Alimentazione CE Costi'!H799</f>
        <v>-813.64</v>
      </c>
      <c r="E453" s="168">
        <f>+'Alimentazione CE Costi'!I799</f>
        <v>0</v>
      </c>
      <c r="F453" s="157"/>
      <c r="H453" s="170"/>
      <c r="I453" s="168">
        <f>+'Alimentazione CE Costi'!L799</f>
        <v>0</v>
      </c>
      <c r="K453" s="164"/>
      <c r="M453" s="170"/>
    </row>
    <row r="454" spans="1:13" s="158" customFormat="1" ht="24.95" customHeight="1">
      <c r="A454" s="869"/>
      <c r="B454" s="174" t="s">
        <v>1348</v>
      </c>
      <c r="C454" s="175" t="s">
        <v>1974</v>
      </c>
      <c r="D454" s="168">
        <f>+'Alimentazione CE Costi'!H800</f>
        <v>0</v>
      </c>
      <c r="E454" s="168">
        <f>+'Alimentazione CE Costi'!I800</f>
        <v>0</v>
      </c>
      <c r="F454" s="157"/>
      <c r="H454" s="170"/>
      <c r="I454" s="168">
        <f>+'Alimentazione CE Costi'!L800</f>
        <v>0</v>
      </c>
      <c r="K454" s="164"/>
      <c r="M454" s="170"/>
    </row>
    <row r="455" spans="1:13" s="158" customFormat="1" ht="24.95" customHeight="1">
      <c r="A455" s="869"/>
      <c r="B455" s="174" t="s">
        <v>1349</v>
      </c>
      <c r="C455" s="175" t="s">
        <v>1975</v>
      </c>
      <c r="D455" s="168">
        <f>+'Alimentazione CE Costi'!H801</f>
        <v>-33122.61</v>
      </c>
      <c r="E455" s="168">
        <f>+'Alimentazione CE Costi'!I801</f>
        <v>0</v>
      </c>
      <c r="F455" s="157"/>
      <c r="H455" s="170"/>
      <c r="I455" s="168">
        <f>+'Alimentazione CE Costi'!L801</f>
        <v>0</v>
      </c>
      <c r="K455" s="164"/>
      <c r="M455" s="170"/>
    </row>
    <row r="456" spans="1:13" s="158" customFormat="1" ht="24.95" customHeight="1">
      <c r="A456" s="869"/>
      <c r="B456" s="221" t="s">
        <v>1351</v>
      </c>
      <c r="C456" s="222" t="s">
        <v>1976</v>
      </c>
      <c r="D456" s="220">
        <f>SUM(D457:D462)</f>
        <v>-410315.96</v>
      </c>
      <c r="E456" s="220">
        <f>SUM(E457:E462)</f>
        <v>0</v>
      </c>
      <c r="F456" s="157" t="s">
        <v>2123</v>
      </c>
      <c r="G456" s="169"/>
      <c r="H456" s="170"/>
      <c r="I456" s="220">
        <f>SUM(I457:I462)</f>
        <v>0</v>
      </c>
      <c r="K456" s="164"/>
      <c r="M456" s="170"/>
    </row>
    <row r="457" spans="1:13" s="158" customFormat="1" ht="24.95" customHeight="1">
      <c r="A457" s="869"/>
      <c r="B457" s="174" t="s">
        <v>1352</v>
      </c>
      <c r="C457" s="175" t="s">
        <v>1977</v>
      </c>
      <c r="D457" s="168">
        <f>+'Alimentazione CE Costi'!H803</f>
        <v>11.97</v>
      </c>
      <c r="E457" s="168">
        <f>+'Alimentazione CE Costi'!I803</f>
        <v>0</v>
      </c>
      <c r="F457" s="157"/>
      <c r="H457" s="170"/>
      <c r="I457" s="168">
        <f>+'Alimentazione CE Costi'!L803</f>
        <v>0</v>
      </c>
      <c r="K457" s="164"/>
      <c r="M457" s="170"/>
    </row>
    <row r="458" spans="1:13" s="158" customFormat="1" ht="24.95" customHeight="1">
      <c r="A458" s="869"/>
      <c r="B458" s="174" t="s">
        <v>1353</v>
      </c>
      <c r="C458" s="175" t="s">
        <v>1978</v>
      </c>
      <c r="D458" s="168">
        <f>+'Alimentazione CE Costi'!H804</f>
        <v>-442207.67</v>
      </c>
      <c r="E458" s="168">
        <f>+'Alimentazione CE Costi'!I804</f>
        <v>0</v>
      </c>
      <c r="F458" s="157"/>
      <c r="H458" s="170"/>
      <c r="I458" s="168">
        <f>+'Alimentazione CE Costi'!L804</f>
        <v>0</v>
      </c>
      <c r="K458" s="164"/>
      <c r="M458" s="170"/>
    </row>
    <row r="459" spans="1:13" s="158" customFormat="1" ht="24.95" customHeight="1">
      <c r="A459" s="869"/>
      <c r="B459" s="174" t="s">
        <v>1354</v>
      </c>
      <c r="C459" s="175" t="s">
        <v>1979</v>
      </c>
      <c r="D459" s="168">
        <f>+'Alimentazione CE Costi'!H805</f>
        <v>0</v>
      </c>
      <c r="E459" s="168">
        <f>+'Alimentazione CE Costi'!I805</f>
        <v>0</v>
      </c>
      <c r="F459" s="157"/>
      <c r="H459" s="170"/>
      <c r="I459" s="168">
        <f>+'Alimentazione CE Costi'!L805</f>
        <v>0</v>
      </c>
      <c r="K459" s="164"/>
      <c r="M459" s="170"/>
    </row>
    <row r="460" spans="1:13" s="158" customFormat="1" ht="24.95" customHeight="1">
      <c r="A460" s="869"/>
      <c r="B460" s="174" t="s">
        <v>1355</v>
      </c>
      <c r="C460" s="175" t="s">
        <v>1980</v>
      </c>
      <c r="D460" s="168">
        <f>+'Alimentazione CE Costi'!H806</f>
        <v>-10454.64</v>
      </c>
      <c r="E460" s="168">
        <f>+'Alimentazione CE Costi'!I806</f>
        <v>0</v>
      </c>
      <c r="F460" s="157"/>
      <c r="H460" s="170"/>
      <c r="I460" s="168">
        <f>+'Alimentazione CE Costi'!L806</f>
        <v>0</v>
      </c>
      <c r="K460" s="164"/>
      <c r="M460" s="170"/>
    </row>
    <row r="461" spans="1:13" s="158" customFormat="1" ht="24.95" customHeight="1">
      <c r="A461" s="869"/>
      <c r="B461" s="174" t="s">
        <v>1356</v>
      </c>
      <c r="C461" s="175" t="s">
        <v>1981</v>
      </c>
      <c r="D461" s="168">
        <f>+'Alimentazione CE Costi'!H807</f>
        <v>47569.85</v>
      </c>
      <c r="E461" s="168">
        <f>+'Alimentazione CE Costi'!I807</f>
        <v>0</v>
      </c>
      <c r="F461" s="157"/>
      <c r="H461" s="170"/>
      <c r="I461" s="168">
        <f>+'Alimentazione CE Costi'!L807</f>
        <v>0</v>
      </c>
      <c r="K461" s="164"/>
      <c r="M461" s="170"/>
    </row>
    <row r="462" spans="1:13" s="158" customFormat="1" ht="24.95" customHeight="1">
      <c r="A462" s="869"/>
      <c r="B462" s="174" t="s">
        <v>1357</v>
      </c>
      <c r="C462" s="175" t="s">
        <v>1982</v>
      </c>
      <c r="D462" s="168">
        <f>+'Alimentazione CE Costi'!H808</f>
        <v>-5235.47</v>
      </c>
      <c r="E462" s="168">
        <f>+'Alimentazione CE Costi'!I808</f>
        <v>0</v>
      </c>
      <c r="F462" s="157"/>
      <c r="H462" s="170"/>
      <c r="I462" s="168">
        <f>+'Alimentazione CE Costi'!L808</f>
        <v>0</v>
      </c>
      <c r="K462" s="164"/>
      <c r="M462" s="170"/>
    </row>
    <row r="463" spans="1:13" s="158" customFormat="1" ht="24.95" customHeight="1">
      <c r="A463" s="869"/>
      <c r="B463" s="226" t="s">
        <v>1359</v>
      </c>
      <c r="C463" s="227" t="s">
        <v>1983</v>
      </c>
      <c r="D463" s="228">
        <f>+D464+D472+D473+D480</f>
        <v>34621415.760000005</v>
      </c>
      <c r="E463" s="228">
        <f>+E464+E472+E473+E480</f>
        <v>0</v>
      </c>
      <c r="F463" s="157" t="s">
        <v>2123</v>
      </c>
      <c r="G463" s="169"/>
      <c r="H463" s="170"/>
      <c r="I463" s="228">
        <f>+I464+I472+I473+I480</f>
        <v>6009648.54</v>
      </c>
      <c r="K463" s="164"/>
      <c r="M463" s="170"/>
    </row>
    <row r="464" spans="1:13" s="158" customFormat="1" ht="24.95" customHeight="1">
      <c r="A464" s="869"/>
      <c r="B464" s="221" t="s">
        <v>1361</v>
      </c>
      <c r="C464" s="222" t="s">
        <v>1984</v>
      </c>
      <c r="D464" s="220">
        <f>SUM(D465:D471)</f>
        <v>4481516.13</v>
      </c>
      <c r="E464" s="220">
        <f>SUM(E465:E471)</f>
        <v>0</v>
      </c>
      <c r="F464" s="157" t="s">
        <v>2123</v>
      </c>
      <c r="G464" s="169"/>
      <c r="H464" s="170"/>
      <c r="I464" s="220">
        <f>SUM(I465:I471)</f>
        <v>2066756.13</v>
      </c>
      <c r="K464" s="164"/>
      <c r="M464" s="170"/>
    </row>
    <row r="465" spans="1:13" s="158" customFormat="1" ht="24.95" customHeight="1">
      <c r="A465" s="869"/>
      <c r="B465" s="174" t="s">
        <v>1363</v>
      </c>
      <c r="C465" s="175" t="s">
        <v>1985</v>
      </c>
      <c r="D465" s="168">
        <f>+'Alimentazione CE Costi'!H811</f>
        <v>3646292</v>
      </c>
      <c r="E465" s="168">
        <f>+'Alimentazione CE Costi'!I811</f>
        <v>0</v>
      </c>
      <c r="F465" s="157"/>
      <c r="H465" s="170"/>
      <c r="I465" s="168">
        <f>+'Alimentazione CE Costi'!L811</f>
        <v>1885837</v>
      </c>
      <c r="K465" s="164"/>
      <c r="M465" s="170"/>
    </row>
    <row r="466" spans="1:13" s="158" customFormat="1" ht="24.95" customHeight="1">
      <c r="A466" s="869"/>
      <c r="B466" s="174" t="s">
        <v>1365</v>
      </c>
      <c r="C466" s="175" t="s">
        <v>1986</v>
      </c>
      <c r="D466" s="168">
        <f>+'Alimentazione CE Costi'!H812</f>
        <v>223800</v>
      </c>
      <c r="E466" s="168">
        <f>+'Alimentazione CE Costi'!I812</f>
        <v>0</v>
      </c>
      <c r="F466" s="157"/>
      <c r="H466" s="170"/>
      <c r="I466" s="168">
        <f>+'Alimentazione CE Costi'!L812</f>
        <v>150000</v>
      </c>
      <c r="K466" s="164"/>
      <c r="M466" s="170"/>
    </row>
    <row r="467" spans="1:13" s="158" customFormat="1" ht="24.95" customHeight="1">
      <c r="A467" s="869"/>
      <c r="B467" s="174" t="s">
        <v>1367</v>
      </c>
      <c r="C467" s="175" t="s">
        <v>1987</v>
      </c>
      <c r="D467" s="168">
        <f>+'Alimentazione CE Costi'!H813</f>
        <v>225335</v>
      </c>
      <c r="E467" s="168">
        <f>+'Alimentazione CE Costi'!I813</f>
        <v>0</v>
      </c>
      <c r="F467" s="157"/>
      <c r="H467" s="170"/>
      <c r="I467" s="168">
        <f>+'Alimentazione CE Costi'!L813</f>
        <v>0</v>
      </c>
      <c r="K467" s="164"/>
      <c r="M467" s="170"/>
    </row>
    <row r="468" spans="1:13" s="158" customFormat="1" ht="24.95" customHeight="1">
      <c r="A468" s="869"/>
      <c r="B468" s="174" t="s">
        <v>1369</v>
      </c>
      <c r="C468" s="175" t="s">
        <v>1988</v>
      </c>
      <c r="D468" s="168">
        <f>+'Alimentazione CE Costi'!H814</f>
        <v>0</v>
      </c>
      <c r="E468" s="168">
        <f>+'Alimentazione CE Costi'!I814</f>
        <v>0</v>
      </c>
      <c r="F468" s="157"/>
      <c r="H468" s="170"/>
      <c r="I468" s="168">
        <f>+'Alimentazione CE Costi'!L814</f>
        <v>0</v>
      </c>
      <c r="K468" s="164"/>
      <c r="M468" s="170"/>
    </row>
    <row r="469" spans="1:13" s="158" customFormat="1" ht="24.95" customHeight="1">
      <c r="A469" s="869"/>
      <c r="B469" s="174" t="s">
        <v>1371</v>
      </c>
      <c r="C469" s="175" t="s">
        <v>1989</v>
      </c>
      <c r="D469" s="168">
        <f>+'Alimentazione CE Costi'!H815</f>
        <v>0</v>
      </c>
      <c r="E469" s="168">
        <f>+'Alimentazione CE Costi'!I815</f>
        <v>0</v>
      </c>
      <c r="F469" s="157"/>
      <c r="H469" s="170"/>
      <c r="I469" s="168">
        <f>+'Alimentazione CE Costi'!L815</f>
        <v>0</v>
      </c>
      <c r="K469" s="164"/>
      <c r="M469" s="170"/>
    </row>
    <row r="470" spans="1:13" s="158" customFormat="1" ht="24.95" customHeight="1">
      <c r="A470" s="869"/>
      <c r="B470" s="174" t="s">
        <v>1373</v>
      </c>
      <c r="C470" s="175" t="s">
        <v>1990</v>
      </c>
      <c r="D470" s="168">
        <f>+'Alimentazione CE Costi'!H817+'Alimentazione CE Costi'!H818+'Alimentazione CE Costi'!H819</f>
        <v>386089.13</v>
      </c>
      <c r="E470" s="168">
        <f>+'Alimentazione CE Costi'!I817+'Alimentazione CE Costi'!I818+'Alimentazione CE Costi'!I819</f>
        <v>0</v>
      </c>
      <c r="F470" s="157"/>
      <c r="H470" s="170"/>
      <c r="I470" s="168">
        <f>+'Alimentazione CE Costi'!L817+'Alimentazione CE Costi'!L818+'Alimentazione CE Costi'!L819</f>
        <v>30919.13</v>
      </c>
      <c r="K470" s="164"/>
      <c r="M470" s="170"/>
    </row>
    <row r="471" spans="1:13" s="157" customFormat="1" ht="24.95" customHeight="1">
      <c r="A471" s="869"/>
      <c r="B471" s="174" t="s">
        <v>1377</v>
      </c>
      <c r="C471" s="175" t="s">
        <v>1991</v>
      </c>
      <c r="D471" s="168">
        <f>+'Alimentazione CE Costi'!H820</f>
        <v>0</v>
      </c>
      <c r="E471" s="168">
        <f>+'Alimentazione CE Costi'!I820</f>
        <v>0</v>
      </c>
      <c r="H471" s="170"/>
      <c r="I471" s="168">
        <f>+'Alimentazione CE Costi'!L820</f>
        <v>0</v>
      </c>
      <c r="K471" s="164"/>
      <c r="M471" s="170"/>
    </row>
    <row r="472" spans="1:13" s="158" customFormat="1" ht="24.95" customHeight="1">
      <c r="A472" s="869"/>
      <c r="B472" s="171" t="s">
        <v>1379</v>
      </c>
      <c r="C472" s="172" t="s">
        <v>1992</v>
      </c>
      <c r="D472" s="168">
        <f>+'Alimentazione CE Costi'!H822+'Alimentazione CE Costi'!H823</f>
        <v>203552.46000000002</v>
      </c>
      <c r="E472" s="168">
        <f>+'Alimentazione CE Costi'!I822+'Alimentazione CE Costi'!I823</f>
        <v>0</v>
      </c>
      <c r="F472" s="157"/>
      <c r="H472" s="170"/>
      <c r="I472" s="168">
        <f>+'Alimentazione CE Costi'!L822+'Alimentazione CE Costi'!L823</f>
        <v>0</v>
      </c>
      <c r="K472" s="164"/>
      <c r="M472" s="170"/>
    </row>
    <row r="473" spans="1:13" s="158" customFormat="1" ht="24.95" customHeight="1">
      <c r="A473" s="869"/>
      <c r="B473" s="221" t="s">
        <v>1383</v>
      </c>
      <c r="C473" s="222" t="s">
        <v>1993</v>
      </c>
      <c r="D473" s="220">
        <f>SUM(D474:D479)</f>
        <v>23865737.430000003</v>
      </c>
      <c r="E473" s="220">
        <f>SUM(E474:E479)</f>
        <v>0</v>
      </c>
      <c r="F473" s="157" t="s">
        <v>2123</v>
      </c>
      <c r="G473" s="169"/>
      <c r="H473" s="170"/>
      <c r="I473" s="220">
        <f>SUM(I474:I479)</f>
        <v>417806.81</v>
      </c>
      <c r="K473" s="164"/>
      <c r="M473" s="170"/>
    </row>
    <row r="474" spans="1:13" s="158" customFormat="1" ht="24.95" customHeight="1">
      <c r="A474" s="869"/>
      <c r="B474" s="174" t="s">
        <v>1385</v>
      </c>
      <c r="C474" s="175" t="s">
        <v>1994</v>
      </c>
      <c r="D474" s="168">
        <f>+'Alimentazione CE Costi'!H825</f>
        <v>14055857.43</v>
      </c>
      <c r="E474" s="168">
        <f>+'Alimentazione CE Costi'!I825</f>
        <v>0</v>
      </c>
      <c r="F474" s="157"/>
      <c r="H474" s="170"/>
      <c r="I474" s="168">
        <f>+'Alimentazione CE Costi'!L825</f>
        <v>0</v>
      </c>
      <c r="K474" s="164"/>
      <c r="M474" s="170"/>
    </row>
    <row r="475" spans="1:13" s="158" customFormat="1" ht="24.95" customHeight="1">
      <c r="A475" s="869"/>
      <c r="B475" s="174" t="s">
        <v>1387</v>
      </c>
      <c r="C475" s="175" t="s">
        <v>1995</v>
      </c>
      <c r="D475" s="168">
        <f>+'Alimentazione CE Costi'!H826</f>
        <v>3517974.85</v>
      </c>
      <c r="E475" s="168">
        <f>+'Alimentazione CE Costi'!I826</f>
        <v>0</v>
      </c>
      <c r="F475" s="157"/>
      <c r="H475" s="170"/>
      <c r="I475" s="168">
        <f>+'Alimentazione CE Costi'!L826</f>
        <v>0</v>
      </c>
      <c r="K475" s="164"/>
      <c r="M475" s="170"/>
    </row>
    <row r="476" spans="1:13" s="158" customFormat="1" ht="24.95" customHeight="1">
      <c r="A476" s="869"/>
      <c r="B476" s="174" t="s">
        <v>1389</v>
      </c>
      <c r="C476" s="175" t="s">
        <v>1996</v>
      </c>
      <c r="D476" s="168">
        <f>+'Alimentazione CE Costi'!H827</f>
        <v>5263416.6399999997</v>
      </c>
      <c r="E476" s="168">
        <f>+'Alimentazione CE Costi'!I827</f>
        <v>0</v>
      </c>
      <c r="F476" s="157"/>
      <c r="H476" s="170"/>
      <c r="I476" s="168">
        <f>+'Alimentazione CE Costi'!L827</f>
        <v>8000</v>
      </c>
      <c r="K476" s="164"/>
      <c r="M476" s="170"/>
    </row>
    <row r="477" spans="1:13" s="158" customFormat="1" ht="24.95" customHeight="1">
      <c r="A477" s="869"/>
      <c r="B477" s="174" t="s">
        <v>1391</v>
      </c>
      <c r="C477" s="175" t="s">
        <v>1997</v>
      </c>
      <c r="D477" s="168">
        <f>+'Alimentazione CE Costi'!H828</f>
        <v>0</v>
      </c>
      <c r="E477" s="168">
        <f>+'Alimentazione CE Costi'!I828</f>
        <v>0</v>
      </c>
      <c r="F477" s="157"/>
      <c r="H477" s="170"/>
      <c r="I477" s="168">
        <f>+'Alimentazione CE Costi'!L828</f>
        <v>0</v>
      </c>
      <c r="K477" s="164"/>
      <c r="M477" s="170"/>
    </row>
    <row r="478" spans="1:13" s="158" customFormat="1" ht="24.95" customHeight="1">
      <c r="A478" s="869"/>
      <c r="B478" s="174" t="s">
        <v>1393</v>
      </c>
      <c r="C478" s="175" t="s">
        <v>1998</v>
      </c>
      <c r="D478" s="168">
        <f>+'Alimentazione CE Costi'!H830+'Alimentazione CE Costi'!H831</f>
        <v>1028488.51</v>
      </c>
      <c r="E478" s="168">
        <f>+'Alimentazione CE Costi'!I830+'Alimentazione CE Costi'!I831</f>
        <v>0</v>
      </c>
      <c r="F478" s="157"/>
      <c r="H478" s="170"/>
      <c r="I478" s="168">
        <f>+'Alimentazione CE Costi'!L830+'Alimentazione CE Costi'!L831</f>
        <v>409806.81</v>
      </c>
      <c r="K478" s="164"/>
      <c r="M478" s="170"/>
    </row>
    <row r="479" spans="1:13" s="157" customFormat="1" ht="24.95" customHeight="1">
      <c r="A479" s="869"/>
      <c r="B479" s="174" t="s">
        <v>1397</v>
      </c>
      <c r="C479" s="175" t="s">
        <v>1999</v>
      </c>
      <c r="D479" s="168">
        <f>+'Alimentazione CE Costi'!H832</f>
        <v>0</v>
      </c>
      <c r="E479" s="168">
        <f>+'Alimentazione CE Costi'!I832</f>
        <v>0</v>
      </c>
      <c r="H479" s="170"/>
      <c r="I479" s="168">
        <f>+'Alimentazione CE Costi'!L832</f>
        <v>0</v>
      </c>
      <c r="K479" s="164"/>
      <c r="M479" s="170"/>
    </row>
    <row r="480" spans="1:13" s="158" customFormat="1" ht="24.95" customHeight="1">
      <c r="A480" s="869"/>
      <c r="B480" s="221" t="s">
        <v>1399</v>
      </c>
      <c r="C480" s="222" t="s">
        <v>2000</v>
      </c>
      <c r="D480" s="220">
        <f>SUM(D481:D490)</f>
        <v>6070609.7399999993</v>
      </c>
      <c r="E480" s="220">
        <f>SUM(E481:E490)</f>
        <v>0</v>
      </c>
      <c r="F480" s="157" t="s">
        <v>2123</v>
      </c>
      <c r="G480" s="169"/>
      <c r="H480" s="170"/>
      <c r="I480" s="220">
        <f>SUM(I481:I490)</f>
        <v>3525085.6</v>
      </c>
      <c r="K480" s="164"/>
      <c r="M480" s="170"/>
    </row>
    <row r="481" spans="1:13" s="158" customFormat="1" ht="24.95" customHeight="1">
      <c r="A481" s="869"/>
      <c r="B481" s="196" t="s">
        <v>1401</v>
      </c>
      <c r="C481" s="197" t="s">
        <v>2001</v>
      </c>
      <c r="D481" s="168">
        <f>+'Alimentazione CE Costi'!H834</f>
        <v>2128840.13</v>
      </c>
      <c r="E481" s="168">
        <f>+'Alimentazione CE Costi'!I834</f>
        <v>0</v>
      </c>
      <c r="F481" s="157"/>
      <c r="H481" s="170"/>
      <c r="I481" s="168">
        <f>+'Alimentazione CE Costi'!L834</f>
        <v>0</v>
      </c>
      <c r="K481" s="164"/>
      <c r="M481" s="170"/>
    </row>
    <row r="482" spans="1:13" s="158" customFormat="1" ht="24.95" customHeight="1">
      <c r="A482" s="869"/>
      <c r="B482" s="196" t="s">
        <v>1403</v>
      </c>
      <c r="C482" s="197" t="s">
        <v>2002</v>
      </c>
      <c r="D482" s="168">
        <f>+'Alimentazione CE Costi'!H835</f>
        <v>180184.01</v>
      </c>
      <c r="E482" s="168">
        <f>+'Alimentazione CE Costi'!I835</f>
        <v>0</v>
      </c>
      <c r="F482" s="157"/>
      <c r="H482" s="170"/>
      <c r="I482" s="168">
        <f>+'Alimentazione CE Costi'!L835</f>
        <v>0</v>
      </c>
      <c r="K482" s="164"/>
      <c r="M482" s="170"/>
    </row>
    <row r="483" spans="1:13" s="158" customFormat="1" ht="24.95" customHeight="1">
      <c r="A483" s="869"/>
      <c r="B483" s="196" t="s">
        <v>1405</v>
      </c>
      <c r="C483" s="197" t="s">
        <v>2003</v>
      </c>
      <c r="D483" s="168">
        <f>+'Alimentazione CE Costi'!H836</f>
        <v>1393771.73</v>
      </c>
      <c r="E483" s="168">
        <f>+'Alimentazione CE Costi'!I836</f>
        <v>0</v>
      </c>
      <c r="F483" s="157"/>
      <c r="H483" s="170"/>
      <c r="I483" s="168">
        <f>+'Alimentazione CE Costi'!L836</f>
        <v>1393771.73</v>
      </c>
      <c r="K483" s="164"/>
      <c r="M483" s="170"/>
    </row>
    <row r="484" spans="1:13" s="158" customFormat="1" ht="24.95" customHeight="1">
      <c r="A484" s="869"/>
      <c r="B484" s="174" t="s">
        <v>1407</v>
      </c>
      <c r="C484" s="175" t="s">
        <v>2004</v>
      </c>
      <c r="D484" s="168">
        <f>+'Alimentazione CE Costi'!H837</f>
        <v>245335.74</v>
      </c>
      <c r="E484" s="168">
        <f>+'Alimentazione CE Costi'!I837</f>
        <v>0</v>
      </c>
      <c r="F484" s="157"/>
      <c r="H484" s="170"/>
      <c r="I484" s="168">
        <f>+'Alimentazione CE Costi'!L837</f>
        <v>245335.74</v>
      </c>
      <c r="K484" s="164"/>
      <c r="M484" s="170"/>
    </row>
    <row r="485" spans="1:13" s="158" customFormat="1" ht="24.95" customHeight="1">
      <c r="A485" s="869"/>
      <c r="B485" s="174" t="s">
        <v>1409</v>
      </c>
      <c r="C485" s="175" t="s">
        <v>2005</v>
      </c>
      <c r="D485" s="168">
        <f>+'Alimentazione CE Costi'!H838</f>
        <v>1211034.6399999999</v>
      </c>
      <c r="E485" s="168">
        <f>+'Alimentazione CE Costi'!I838</f>
        <v>0</v>
      </c>
      <c r="F485" s="157"/>
      <c r="H485" s="170"/>
      <c r="I485" s="168">
        <f>+'Alimentazione CE Costi'!L838</f>
        <v>1211034.6399999999</v>
      </c>
      <c r="K485" s="164"/>
      <c r="M485" s="170"/>
    </row>
    <row r="486" spans="1:13" s="158" customFormat="1" ht="24.95" customHeight="1">
      <c r="A486" s="869"/>
      <c r="B486" s="174" t="s">
        <v>1411</v>
      </c>
      <c r="C486" s="175" t="s">
        <v>2006</v>
      </c>
      <c r="D486" s="168">
        <f>+'Alimentazione CE Costi'!H839</f>
        <v>0</v>
      </c>
      <c r="E486" s="168">
        <f>+'Alimentazione CE Costi'!I839</f>
        <v>0</v>
      </c>
      <c r="F486" s="157"/>
      <c r="H486" s="170"/>
      <c r="I486" s="168">
        <f>+'Alimentazione CE Costi'!L839</f>
        <v>0</v>
      </c>
      <c r="K486" s="164"/>
      <c r="M486" s="170"/>
    </row>
    <row r="487" spans="1:13" s="158" customFormat="1" ht="24.95" customHeight="1">
      <c r="A487" s="869"/>
      <c r="B487" s="174" t="s">
        <v>1413</v>
      </c>
      <c r="C487" s="175" t="s">
        <v>2007</v>
      </c>
      <c r="D487" s="168">
        <f>+'Alimentazione CE Costi'!H840</f>
        <v>0</v>
      </c>
      <c r="E487" s="168">
        <f>+'Alimentazione CE Costi'!I840</f>
        <v>0</v>
      </c>
      <c r="F487" s="157"/>
      <c r="H487" s="170"/>
      <c r="I487" s="168">
        <f>+'Alimentazione CE Costi'!L840</f>
        <v>0</v>
      </c>
      <c r="K487" s="164"/>
      <c r="M487" s="170"/>
    </row>
    <row r="488" spans="1:13" s="158" customFormat="1" ht="24.95" customHeight="1">
      <c r="A488" s="869"/>
      <c r="B488" s="174" t="s">
        <v>1415</v>
      </c>
      <c r="C488" s="175" t="s">
        <v>2008</v>
      </c>
      <c r="D488" s="168">
        <f>+'Alimentazione CE Costi'!H841</f>
        <v>0</v>
      </c>
      <c r="E488" s="168">
        <f>+'Alimentazione CE Costi'!I841</f>
        <v>0</v>
      </c>
      <c r="F488" s="157"/>
      <c r="H488" s="170"/>
      <c r="I488" s="168">
        <f>+'Alimentazione CE Costi'!L841</f>
        <v>0</v>
      </c>
      <c r="K488" s="164"/>
      <c r="M488" s="170"/>
    </row>
    <row r="489" spans="1:13" s="158" customFormat="1" ht="24.95" customHeight="1">
      <c r="A489" s="869"/>
      <c r="B489" s="174" t="s">
        <v>1417</v>
      </c>
      <c r="C489" s="175" t="s">
        <v>2009</v>
      </c>
      <c r="D489" s="168">
        <f>+'Alimentazione CE Costi'!H842</f>
        <v>100761.49</v>
      </c>
      <c r="E489" s="168">
        <f>+'Alimentazione CE Costi'!I842</f>
        <v>0</v>
      </c>
      <c r="F489" s="157"/>
      <c r="H489" s="170"/>
      <c r="I489" s="168">
        <f>+'Alimentazione CE Costi'!L842</f>
        <v>100761.49</v>
      </c>
      <c r="K489" s="164"/>
      <c r="M489" s="170"/>
    </row>
    <row r="490" spans="1:13" s="158" customFormat="1" ht="24.95" customHeight="1">
      <c r="A490" s="869"/>
      <c r="B490" s="196" t="s">
        <v>1418</v>
      </c>
      <c r="C490" s="198" t="s">
        <v>2010</v>
      </c>
      <c r="D490" s="168">
        <f>+'Alimentazione CE Costi'!H843</f>
        <v>810682</v>
      </c>
      <c r="E490" s="168">
        <f>+'Alimentazione CE Costi'!I843</f>
        <v>0</v>
      </c>
      <c r="F490" s="157"/>
      <c r="H490" s="170"/>
      <c r="I490" s="168">
        <f>+'Alimentazione CE Costi'!L843</f>
        <v>574182</v>
      </c>
      <c r="K490" s="164"/>
      <c r="M490" s="170"/>
    </row>
    <row r="491" spans="1:13" s="176" customFormat="1" ht="24.95" customHeight="1">
      <c r="A491" s="867"/>
      <c r="B491" s="229" t="s">
        <v>2011</v>
      </c>
      <c r="C491" s="230" t="s">
        <v>2012</v>
      </c>
      <c r="D491" s="231">
        <f>+D463+D446+D436+D428+D386+D376+D368+D199+D159+D443</f>
        <v>889506886.82999992</v>
      </c>
      <c r="E491" s="231">
        <f>+E463+E446+E436+E428+E386+E376+E368+E199+E159+E443</f>
        <v>0</v>
      </c>
      <c r="F491" s="157"/>
      <c r="G491" s="169"/>
      <c r="H491" s="170"/>
      <c r="I491" s="231">
        <f>+I463+I446+I436+I428+I386+I376+I368+I199+I159+I443</f>
        <v>398416686.39360005</v>
      </c>
      <c r="K491" s="164"/>
      <c r="M491" s="170"/>
    </row>
    <row r="492" spans="1:13" s="176" customFormat="1" ht="24.95" customHeight="1">
      <c r="A492" s="867"/>
      <c r="B492" s="243"/>
      <c r="C492" s="244" t="s">
        <v>2013</v>
      </c>
      <c r="D492" s="245"/>
      <c r="E492" s="245"/>
      <c r="F492" s="157"/>
      <c r="G492" s="158"/>
      <c r="H492" s="170"/>
      <c r="I492" s="245"/>
      <c r="K492" s="164"/>
      <c r="M492" s="170"/>
    </row>
    <row r="493" spans="1:13" s="176" customFormat="1" ht="24.95" customHeight="1">
      <c r="A493" s="867"/>
      <c r="B493" s="226" t="s">
        <v>464</v>
      </c>
      <c r="C493" s="227" t="s">
        <v>2014</v>
      </c>
      <c r="D493" s="228">
        <f>+D494+D495+D496</f>
        <v>26.69</v>
      </c>
      <c r="E493" s="228">
        <f>+E494+E495+E496</f>
        <v>0</v>
      </c>
      <c r="F493" s="157" t="s">
        <v>2123</v>
      </c>
      <c r="G493" s="169"/>
      <c r="H493" s="170"/>
      <c r="I493" s="228">
        <f>+I494+I495+I496</f>
        <v>0</v>
      </c>
      <c r="K493" s="164"/>
      <c r="M493" s="170"/>
    </row>
    <row r="494" spans="1:13" s="176" customFormat="1" ht="24.95" customHeight="1">
      <c r="A494" s="867"/>
      <c r="B494" s="171" t="s">
        <v>466</v>
      </c>
      <c r="C494" s="172" t="s">
        <v>2015</v>
      </c>
      <c r="D494" s="168">
        <f>+'Alimentazione CE Ricavi'!H232</f>
        <v>0.39</v>
      </c>
      <c r="E494" s="168">
        <f>+'Alimentazione CE Ricavi'!I232</f>
        <v>0</v>
      </c>
      <c r="F494" s="157"/>
      <c r="G494" s="158"/>
      <c r="H494" s="170"/>
      <c r="I494" s="168">
        <f>+'Alimentazione CE Ricavi'!L232</f>
        <v>0</v>
      </c>
      <c r="K494" s="164"/>
      <c r="M494" s="170"/>
    </row>
    <row r="495" spans="1:13" s="176" customFormat="1" ht="24.95" customHeight="1">
      <c r="A495" s="867"/>
      <c r="B495" s="171" t="s">
        <v>468</v>
      </c>
      <c r="C495" s="172" t="s">
        <v>2016</v>
      </c>
      <c r="D495" s="168">
        <f>+'Alimentazione CE Ricavi'!H234+'Alimentazione CE Ricavi'!H235</f>
        <v>0</v>
      </c>
      <c r="E495" s="168">
        <f>+'Alimentazione CE Ricavi'!I234+'Alimentazione CE Ricavi'!I235</f>
        <v>0</v>
      </c>
      <c r="F495" s="157"/>
      <c r="G495" s="158"/>
      <c r="H495" s="170"/>
      <c r="I495" s="168">
        <f>+'Alimentazione CE Ricavi'!L234+'Alimentazione CE Ricavi'!L235</f>
        <v>0</v>
      </c>
      <c r="K495" s="164"/>
      <c r="M495" s="170"/>
    </row>
    <row r="496" spans="1:13" s="176" customFormat="1" ht="24.95" customHeight="1">
      <c r="A496" s="867"/>
      <c r="B496" s="171" t="s">
        <v>472</v>
      </c>
      <c r="C496" s="172" t="s">
        <v>2017</v>
      </c>
      <c r="D496" s="168">
        <f>+'Alimentazione CE Ricavi'!H237+'Alimentazione CE Ricavi'!H238+'Alimentazione CE Ricavi'!H239</f>
        <v>26.3</v>
      </c>
      <c r="E496" s="168">
        <f>+'Alimentazione CE Ricavi'!I237+'Alimentazione CE Ricavi'!I238+'Alimentazione CE Ricavi'!I239</f>
        <v>0</v>
      </c>
      <c r="F496" s="157"/>
      <c r="G496" s="158"/>
      <c r="H496" s="170"/>
      <c r="I496" s="168">
        <f>+'Alimentazione CE Ricavi'!L237+'Alimentazione CE Ricavi'!L238+'Alimentazione CE Ricavi'!L239</f>
        <v>0</v>
      </c>
      <c r="K496" s="164"/>
      <c r="M496" s="170"/>
    </row>
    <row r="497" spans="1:13" s="176" customFormat="1" ht="24.95" customHeight="1">
      <c r="A497" s="867"/>
      <c r="B497" s="226" t="s">
        <v>476</v>
      </c>
      <c r="C497" s="227" t="s">
        <v>2018</v>
      </c>
      <c r="D497" s="228">
        <f>SUM(D498:D502)</f>
        <v>0</v>
      </c>
      <c r="E497" s="228">
        <f>SUM(E498:E502)</f>
        <v>0</v>
      </c>
      <c r="F497" s="157" t="s">
        <v>2123</v>
      </c>
      <c r="G497" s="169"/>
      <c r="H497" s="170"/>
      <c r="I497" s="228">
        <f>SUM(I498:I502)</f>
        <v>0</v>
      </c>
      <c r="K497" s="164"/>
      <c r="M497" s="170"/>
    </row>
    <row r="498" spans="1:13" s="176" customFormat="1" ht="24.95" customHeight="1">
      <c r="A498" s="867"/>
      <c r="B498" s="171" t="s">
        <v>478</v>
      </c>
      <c r="C498" s="172" t="s">
        <v>2019</v>
      </c>
      <c r="D498" s="168">
        <f>+'Alimentazione CE Ricavi'!H241</f>
        <v>0</v>
      </c>
      <c r="E498" s="168">
        <f>+'Alimentazione CE Ricavi'!I241</f>
        <v>0</v>
      </c>
      <c r="F498" s="157"/>
      <c r="G498" s="158"/>
      <c r="H498" s="170"/>
      <c r="I498" s="168">
        <f>+'Alimentazione CE Ricavi'!L241</f>
        <v>0</v>
      </c>
      <c r="K498" s="164"/>
      <c r="M498" s="170"/>
    </row>
    <row r="499" spans="1:13" s="176" customFormat="1" ht="24.95" customHeight="1">
      <c r="A499" s="867"/>
      <c r="B499" s="171" t="s">
        <v>480</v>
      </c>
      <c r="C499" s="172" t="s">
        <v>2020</v>
      </c>
      <c r="D499" s="168">
        <f>+'Alimentazione CE Ricavi'!H242</f>
        <v>0</v>
      </c>
      <c r="E499" s="168">
        <f>+'Alimentazione CE Ricavi'!I242</f>
        <v>0</v>
      </c>
      <c r="F499" s="157"/>
      <c r="G499" s="158"/>
      <c r="H499" s="170"/>
      <c r="I499" s="168">
        <f>+'Alimentazione CE Ricavi'!L242</f>
        <v>0</v>
      </c>
      <c r="K499" s="164"/>
      <c r="M499" s="170"/>
    </row>
    <row r="500" spans="1:13" s="176" customFormat="1" ht="24.95" customHeight="1">
      <c r="A500" s="867"/>
      <c r="B500" s="171" t="s">
        <v>482</v>
      </c>
      <c r="C500" s="172" t="s">
        <v>2021</v>
      </c>
      <c r="D500" s="168">
        <f>+'Alimentazione CE Ricavi'!H243</f>
        <v>0</v>
      </c>
      <c r="E500" s="168">
        <f>+'Alimentazione CE Ricavi'!I243</f>
        <v>0</v>
      </c>
      <c r="F500" s="157"/>
      <c r="G500" s="158"/>
      <c r="H500" s="170"/>
      <c r="I500" s="168">
        <f>+'Alimentazione CE Ricavi'!L243</f>
        <v>0</v>
      </c>
      <c r="K500" s="164"/>
      <c r="M500" s="170"/>
    </row>
    <row r="501" spans="1:13" s="176" customFormat="1" ht="24.95" customHeight="1">
      <c r="A501" s="867"/>
      <c r="B501" s="171" t="s">
        <v>484</v>
      </c>
      <c r="C501" s="172" t="s">
        <v>2022</v>
      </c>
      <c r="D501" s="168">
        <f>+'Alimentazione CE Ricavi'!H244</f>
        <v>0</v>
      </c>
      <c r="E501" s="168">
        <f>+'Alimentazione CE Ricavi'!I244</f>
        <v>0</v>
      </c>
      <c r="F501" s="157"/>
      <c r="G501" s="158"/>
      <c r="H501" s="170"/>
      <c r="I501" s="168">
        <f>+'Alimentazione CE Ricavi'!L244</f>
        <v>0</v>
      </c>
      <c r="K501" s="164"/>
      <c r="M501" s="170"/>
    </row>
    <row r="502" spans="1:13" s="176" customFormat="1" ht="24.95" customHeight="1">
      <c r="A502" s="867"/>
      <c r="B502" s="171" t="s">
        <v>486</v>
      </c>
      <c r="C502" s="172" t="s">
        <v>2023</v>
      </c>
      <c r="D502" s="168">
        <f>+'Alimentazione CE Ricavi'!H245</f>
        <v>0</v>
      </c>
      <c r="E502" s="168">
        <f>+'Alimentazione CE Ricavi'!I245</f>
        <v>0</v>
      </c>
      <c r="F502" s="157"/>
      <c r="G502" s="158"/>
      <c r="H502" s="170"/>
      <c r="I502" s="168">
        <f>+'Alimentazione CE Ricavi'!L245</f>
        <v>0</v>
      </c>
      <c r="K502" s="164"/>
      <c r="M502" s="170"/>
    </row>
    <row r="503" spans="1:13" s="176" customFormat="1" ht="24.95" customHeight="1">
      <c r="A503" s="867"/>
      <c r="B503" s="226" t="s">
        <v>1420</v>
      </c>
      <c r="C503" s="227" t="s">
        <v>2024</v>
      </c>
      <c r="D503" s="228">
        <f>SUM(D504:D506)</f>
        <v>56607.199999999997</v>
      </c>
      <c r="E503" s="228">
        <f>SUM(E504:E506)</f>
        <v>0</v>
      </c>
      <c r="F503" s="157" t="s">
        <v>2123</v>
      </c>
      <c r="G503" s="169"/>
      <c r="H503" s="170"/>
      <c r="I503" s="228">
        <f>SUM(I504:I506)</f>
        <v>27652.03</v>
      </c>
      <c r="K503" s="164"/>
      <c r="M503" s="170"/>
    </row>
    <row r="504" spans="1:13" s="176" customFormat="1" ht="24.95" customHeight="1">
      <c r="A504" s="867"/>
      <c r="B504" s="171" t="s">
        <v>1422</v>
      </c>
      <c r="C504" s="172" t="s">
        <v>2025</v>
      </c>
      <c r="D504" s="168">
        <f>+'Alimentazione CE Costi'!H845</f>
        <v>0</v>
      </c>
      <c r="E504" s="168">
        <f>+'Alimentazione CE Costi'!I845</f>
        <v>0</v>
      </c>
      <c r="F504" s="157"/>
      <c r="G504" s="158"/>
      <c r="H504" s="170"/>
      <c r="I504" s="168">
        <f>+'Alimentazione CE Costi'!L845</f>
        <v>0</v>
      </c>
      <c r="K504" s="164"/>
      <c r="M504" s="170"/>
    </row>
    <row r="505" spans="1:13" s="176" customFormat="1" ht="24.95" customHeight="1">
      <c r="A505" s="867"/>
      <c r="B505" s="171" t="s">
        <v>1424</v>
      </c>
      <c r="C505" s="172" t="s">
        <v>2026</v>
      </c>
      <c r="D505" s="168">
        <f>+'Alimentazione CE Costi'!H846</f>
        <v>0</v>
      </c>
      <c r="E505" s="168">
        <f>+'Alimentazione CE Costi'!I846</f>
        <v>0</v>
      </c>
      <c r="F505" s="157"/>
      <c r="G505" s="158"/>
      <c r="H505" s="170"/>
      <c r="I505" s="168">
        <f>+'Alimentazione CE Costi'!L846</f>
        <v>0</v>
      </c>
      <c r="K505" s="164"/>
      <c r="M505" s="170"/>
    </row>
    <row r="506" spans="1:13" s="176" customFormat="1" ht="24.95" customHeight="1">
      <c r="A506" s="867"/>
      <c r="B506" s="171" t="s">
        <v>1426</v>
      </c>
      <c r="C506" s="172" t="s">
        <v>2027</v>
      </c>
      <c r="D506" s="168">
        <f>+'Alimentazione CE Costi'!H848+'Alimentazione CE Costi'!H849</f>
        <v>56607.199999999997</v>
      </c>
      <c r="E506" s="168">
        <f>+'Alimentazione CE Costi'!I848+'Alimentazione CE Costi'!I849</f>
        <v>0</v>
      </c>
      <c r="F506" s="157"/>
      <c r="G506" s="158"/>
      <c r="H506" s="170"/>
      <c r="I506" s="168">
        <f>+'Alimentazione CE Costi'!L848+'Alimentazione CE Costi'!L849</f>
        <v>27652.03</v>
      </c>
      <c r="K506" s="164"/>
      <c r="M506" s="170"/>
    </row>
    <row r="507" spans="1:13" s="176" customFormat="1" ht="24.95" customHeight="1">
      <c r="A507" s="871"/>
      <c r="B507" s="226" t="s">
        <v>2028</v>
      </c>
      <c r="C507" s="227" t="s">
        <v>2029</v>
      </c>
      <c r="D507" s="228">
        <f>SUM(D508:D509)</f>
        <v>0</v>
      </c>
      <c r="E507" s="228">
        <f>SUM(E508:E509)</f>
        <v>0</v>
      </c>
      <c r="F507" s="157" t="s">
        <v>2123</v>
      </c>
      <c r="G507" s="169"/>
      <c r="H507" s="170"/>
      <c r="I507" s="228">
        <f>SUM(I508:I509)</f>
        <v>0</v>
      </c>
      <c r="K507" s="164"/>
      <c r="M507" s="170"/>
    </row>
    <row r="508" spans="1:13" s="176" customFormat="1" ht="24.95" customHeight="1">
      <c r="A508" s="871"/>
      <c r="B508" s="171" t="s">
        <v>1429</v>
      </c>
      <c r="C508" s="172" t="s">
        <v>2030</v>
      </c>
      <c r="D508" s="168">
        <f>+'Alimentazione CE Costi'!H851</f>
        <v>0</v>
      </c>
      <c r="E508" s="168">
        <f>+'Alimentazione CE Costi'!I851</f>
        <v>0</v>
      </c>
      <c r="F508" s="157"/>
      <c r="G508" s="158"/>
      <c r="H508" s="170"/>
      <c r="I508" s="168">
        <f>+'Alimentazione CE Costi'!L851</f>
        <v>0</v>
      </c>
      <c r="K508" s="164"/>
      <c r="M508" s="170"/>
    </row>
    <row r="509" spans="1:13" s="176" customFormat="1" ht="24.95" customHeight="1">
      <c r="A509" s="867"/>
      <c r="B509" s="171" t="s">
        <v>1431</v>
      </c>
      <c r="C509" s="172" t="s">
        <v>2031</v>
      </c>
      <c r="D509" s="168">
        <f>+'Alimentazione CE Costi'!H852</f>
        <v>0</v>
      </c>
      <c r="E509" s="168">
        <f>+'Alimentazione CE Costi'!I852</f>
        <v>0</v>
      </c>
      <c r="F509" s="157"/>
      <c r="G509" s="158"/>
      <c r="H509" s="170"/>
      <c r="I509" s="168">
        <f>+'Alimentazione CE Costi'!L852</f>
        <v>0</v>
      </c>
      <c r="K509" s="164"/>
      <c r="M509" s="170"/>
    </row>
    <row r="510" spans="1:13" s="176" customFormat="1" ht="24.95" customHeight="1">
      <c r="A510" s="871"/>
      <c r="B510" s="229" t="s">
        <v>2032</v>
      </c>
      <c r="C510" s="230" t="s">
        <v>2033</v>
      </c>
      <c r="D510" s="231">
        <f>+D493+D497-D503-D507</f>
        <v>-56580.509999999995</v>
      </c>
      <c r="E510" s="231">
        <f>+E493+E497-E503-E507</f>
        <v>0</v>
      </c>
      <c r="F510" s="157" t="s">
        <v>2123</v>
      </c>
      <c r="G510" s="169"/>
      <c r="H510" s="170"/>
      <c r="I510" s="231">
        <f>+I493+I497-I503-I507</f>
        <v>-27652.03</v>
      </c>
      <c r="K510" s="164"/>
      <c r="M510" s="170"/>
    </row>
    <row r="511" spans="1:13" s="176" customFormat="1" ht="24.95" customHeight="1">
      <c r="A511" s="867"/>
      <c r="B511" s="243"/>
      <c r="C511" s="244" t="s">
        <v>2034</v>
      </c>
      <c r="D511" s="245"/>
      <c r="E511" s="245"/>
      <c r="F511" s="157"/>
      <c r="G511" s="158"/>
      <c r="H511" s="170"/>
      <c r="I511" s="245"/>
      <c r="K511" s="164"/>
      <c r="M511" s="170"/>
    </row>
    <row r="512" spans="1:13" s="176" customFormat="1" ht="24.95" customHeight="1">
      <c r="A512" s="867"/>
      <c r="B512" s="166" t="s">
        <v>488</v>
      </c>
      <c r="C512" s="167" t="s">
        <v>2035</v>
      </c>
      <c r="D512" s="168">
        <f>+'Alimentazione CE Ricavi'!H246</f>
        <v>0</v>
      </c>
      <c r="E512" s="168">
        <f>+'Alimentazione CE Ricavi'!I246</f>
        <v>0</v>
      </c>
      <c r="F512" s="157"/>
      <c r="G512" s="158"/>
      <c r="H512" s="170"/>
      <c r="I512" s="168">
        <f>+'Alimentazione CE Ricavi'!L246</f>
        <v>0</v>
      </c>
      <c r="K512" s="164"/>
      <c r="M512" s="170"/>
    </row>
    <row r="513" spans="1:13" s="176" customFormat="1" ht="24.95" customHeight="1">
      <c r="A513" s="867"/>
      <c r="B513" s="166" t="s">
        <v>1433</v>
      </c>
      <c r="C513" s="167" t="s">
        <v>2036</v>
      </c>
      <c r="D513" s="168">
        <f>+'Alimentazione CE Costi'!H853</f>
        <v>0</v>
      </c>
      <c r="E513" s="168">
        <f>+'Alimentazione CE Costi'!I853</f>
        <v>0</v>
      </c>
      <c r="F513" s="157"/>
      <c r="G513" s="158"/>
      <c r="H513" s="170"/>
      <c r="I513" s="168">
        <f>+'Alimentazione CE Costi'!L853</f>
        <v>0</v>
      </c>
      <c r="K513" s="164"/>
      <c r="M513" s="170"/>
    </row>
    <row r="514" spans="1:13" s="176" customFormat="1" ht="24.95" customHeight="1">
      <c r="A514" s="867"/>
      <c r="B514" s="229" t="s">
        <v>2037</v>
      </c>
      <c r="C514" s="230" t="s">
        <v>2038</v>
      </c>
      <c r="D514" s="231">
        <f>+D512-D513</f>
        <v>0</v>
      </c>
      <c r="E514" s="231">
        <f>+E512-E513</f>
        <v>0</v>
      </c>
      <c r="F514" s="157" t="s">
        <v>2123</v>
      </c>
      <c r="G514" s="169"/>
      <c r="H514" s="170"/>
      <c r="I514" s="231">
        <f>+I512-I513</f>
        <v>0</v>
      </c>
      <c r="K514" s="164"/>
      <c r="M514" s="170"/>
    </row>
    <row r="515" spans="1:13" s="176" customFormat="1" ht="24.95" customHeight="1">
      <c r="A515" s="867"/>
      <c r="B515" s="243"/>
      <c r="C515" s="244" t="s">
        <v>2039</v>
      </c>
      <c r="D515" s="245"/>
      <c r="E515" s="245"/>
      <c r="F515" s="157"/>
      <c r="G515" s="158"/>
      <c r="H515" s="170"/>
      <c r="I515" s="245"/>
      <c r="K515" s="164"/>
      <c r="M515" s="170"/>
    </row>
    <row r="516" spans="1:13" s="176" customFormat="1" ht="24.95" customHeight="1">
      <c r="A516" s="867"/>
      <c r="B516" s="226" t="s">
        <v>489</v>
      </c>
      <c r="C516" s="227" t="s">
        <v>2040</v>
      </c>
      <c r="D516" s="228">
        <f>+D517+D518</f>
        <v>3817911.9100000006</v>
      </c>
      <c r="E516" s="228">
        <f>+E517+E518</f>
        <v>0</v>
      </c>
      <c r="F516" s="157" t="s">
        <v>2123</v>
      </c>
      <c r="G516" s="169"/>
      <c r="H516" s="170"/>
      <c r="I516" s="228">
        <f>+I517+I518</f>
        <v>1461839.9599999997</v>
      </c>
      <c r="K516" s="164"/>
      <c r="M516" s="170"/>
    </row>
    <row r="517" spans="1:13" s="176" customFormat="1" ht="24.95" customHeight="1">
      <c r="A517" s="867"/>
      <c r="B517" s="171" t="s">
        <v>491</v>
      </c>
      <c r="C517" s="172" t="s">
        <v>2041</v>
      </c>
      <c r="D517" s="168">
        <f>+'Alimentazione CE Ricavi'!H248</f>
        <v>3543.74</v>
      </c>
      <c r="E517" s="168">
        <f>+'Alimentazione CE Ricavi'!I248</f>
        <v>0</v>
      </c>
      <c r="F517" s="157"/>
      <c r="G517" s="158"/>
      <c r="H517" s="170"/>
      <c r="I517" s="168">
        <f>+'Alimentazione CE Ricavi'!L248</f>
        <v>3543.74</v>
      </c>
      <c r="K517" s="164"/>
      <c r="M517" s="170"/>
    </row>
    <row r="518" spans="1:13" s="176" customFormat="1" ht="24.95" customHeight="1">
      <c r="A518" s="867"/>
      <c r="B518" s="221" t="s">
        <v>493</v>
      </c>
      <c r="C518" s="222" t="s">
        <v>2042</v>
      </c>
      <c r="D518" s="220">
        <f>+D519+D520+D531+D541</f>
        <v>3814368.1700000004</v>
      </c>
      <c r="E518" s="220">
        <f>+E519+E520+E531+E541</f>
        <v>0</v>
      </c>
      <c r="F518" s="157" t="s">
        <v>2123</v>
      </c>
      <c r="G518" s="169"/>
      <c r="H518" s="170"/>
      <c r="I518" s="220">
        <f>+I519+I520+I531+I541</f>
        <v>1458296.2199999997</v>
      </c>
      <c r="K518" s="164"/>
      <c r="M518" s="170"/>
    </row>
    <row r="519" spans="1:13" s="176" customFormat="1" ht="24.95" customHeight="1">
      <c r="A519" s="867"/>
      <c r="B519" s="174" t="s">
        <v>495</v>
      </c>
      <c r="C519" s="175" t="s">
        <v>2043</v>
      </c>
      <c r="D519" s="168">
        <f>+'Alimentazione CE Ricavi'!H250</f>
        <v>621639.07999999996</v>
      </c>
      <c r="E519" s="168">
        <f>+'Alimentazione CE Ricavi'!I250</f>
        <v>0</v>
      </c>
      <c r="F519" s="157"/>
      <c r="G519" s="158"/>
      <c r="H519" s="170"/>
      <c r="I519" s="168">
        <f>+'Alimentazione CE Ricavi'!L250</f>
        <v>621639.07999999996</v>
      </c>
      <c r="K519" s="164"/>
      <c r="M519" s="170"/>
    </row>
    <row r="520" spans="1:13" s="176" customFormat="1" ht="24.95" customHeight="1">
      <c r="A520" s="867"/>
      <c r="B520" s="232" t="s">
        <v>497</v>
      </c>
      <c r="C520" s="233" t="s">
        <v>2044</v>
      </c>
      <c r="D520" s="234">
        <f>+D521+D522+D523</f>
        <v>1833928.09</v>
      </c>
      <c r="E520" s="234">
        <f>+E521+E522+E523</f>
        <v>0</v>
      </c>
      <c r="F520" s="157" t="s">
        <v>2123</v>
      </c>
      <c r="G520" s="169"/>
      <c r="H520" s="170"/>
      <c r="I520" s="234">
        <f>+I521+I522+I523</f>
        <v>836164.3</v>
      </c>
      <c r="K520" s="164"/>
      <c r="M520" s="170"/>
    </row>
    <row r="521" spans="1:13" s="158" customFormat="1" ht="24.95" customHeight="1">
      <c r="A521" s="869"/>
      <c r="B521" s="174" t="s">
        <v>499</v>
      </c>
      <c r="C521" s="175" t="s">
        <v>2045</v>
      </c>
      <c r="D521" s="168">
        <f>+'Alimentazione CE Ricavi'!H252</f>
        <v>0</v>
      </c>
      <c r="E521" s="168">
        <f>+'Alimentazione CE Ricavi'!I252</f>
        <v>0</v>
      </c>
      <c r="F521" s="157"/>
      <c r="H521" s="170"/>
      <c r="I521" s="168">
        <f>+'Alimentazione CE Ricavi'!L252</f>
        <v>0</v>
      </c>
      <c r="K521" s="164"/>
      <c r="M521" s="170"/>
    </row>
    <row r="522" spans="1:13" s="158" customFormat="1" ht="24.95" customHeight="1">
      <c r="A522" s="869" t="s">
        <v>1550</v>
      </c>
      <c r="B522" s="174" t="s">
        <v>501</v>
      </c>
      <c r="C522" s="175" t="s">
        <v>2046</v>
      </c>
      <c r="D522" s="168">
        <f>+'Alimentazione CE Ricavi'!H253</f>
        <v>150318.18</v>
      </c>
      <c r="E522" s="168">
        <f>+'Alimentazione CE Ricavi'!I253</f>
        <v>0</v>
      </c>
      <c r="F522" s="157"/>
      <c r="H522" s="170"/>
      <c r="I522" s="168">
        <f>+'Alimentazione CE Ricavi'!L253</f>
        <v>139434.03</v>
      </c>
      <c r="K522" s="164"/>
      <c r="M522" s="170"/>
    </row>
    <row r="523" spans="1:13" s="158" customFormat="1" ht="24.95" customHeight="1">
      <c r="A523" s="869"/>
      <c r="B523" s="239" t="s">
        <v>503</v>
      </c>
      <c r="C523" s="240" t="s">
        <v>2047</v>
      </c>
      <c r="D523" s="237">
        <f>SUM(D524:D530)</f>
        <v>1683609.9100000001</v>
      </c>
      <c r="E523" s="237">
        <f>SUM(E524:E530)</f>
        <v>0</v>
      </c>
      <c r="F523" s="157" t="s">
        <v>2123</v>
      </c>
      <c r="G523" s="169"/>
      <c r="H523" s="170"/>
      <c r="I523" s="237">
        <f>SUM(I524:I530)</f>
        <v>696730.27</v>
      </c>
      <c r="K523" s="164"/>
      <c r="M523" s="170"/>
    </row>
    <row r="524" spans="1:13" s="158" customFormat="1" ht="24.95" customHeight="1">
      <c r="A524" s="869" t="s">
        <v>1595</v>
      </c>
      <c r="B524" s="177" t="s">
        <v>505</v>
      </c>
      <c r="C524" s="178" t="s">
        <v>2048</v>
      </c>
      <c r="D524" s="168">
        <f>+'Alimentazione CE Ricavi'!H255</f>
        <v>48348.6</v>
      </c>
      <c r="E524" s="168">
        <f>+'Alimentazione CE Ricavi'!I255</f>
        <v>0</v>
      </c>
      <c r="F524" s="157"/>
      <c r="H524" s="170"/>
      <c r="I524" s="168">
        <f>+'Alimentazione CE Ricavi'!L255</f>
        <v>30866.5</v>
      </c>
      <c r="K524" s="164"/>
      <c r="M524" s="170"/>
    </row>
    <row r="525" spans="1:13" s="158" customFormat="1" ht="24.95" customHeight="1">
      <c r="A525" s="869"/>
      <c r="B525" s="177" t="s">
        <v>507</v>
      </c>
      <c r="C525" s="178" t="s">
        <v>2049</v>
      </c>
      <c r="D525" s="168">
        <f>+'Alimentazione CE Ricavi'!H256</f>
        <v>9608.0300000000007</v>
      </c>
      <c r="E525" s="168">
        <f>+'Alimentazione CE Ricavi'!I256</f>
        <v>0</v>
      </c>
      <c r="F525" s="157"/>
      <c r="H525" s="170"/>
      <c r="I525" s="168">
        <f>+'Alimentazione CE Ricavi'!L256</f>
        <v>105.3</v>
      </c>
      <c r="K525" s="164"/>
      <c r="M525" s="170"/>
    </row>
    <row r="526" spans="1:13" s="158" customFormat="1" ht="24.95" customHeight="1">
      <c r="A526" s="869"/>
      <c r="B526" s="177" t="s">
        <v>509</v>
      </c>
      <c r="C526" s="178" t="s">
        <v>2050</v>
      </c>
      <c r="D526" s="168">
        <f>+'Alimentazione CE Ricavi'!H257</f>
        <v>21375.9</v>
      </c>
      <c r="E526" s="168">
        <f>+'Alimentazione CE Ricavi'!I257</f>
        <v>0</v>
      </c>
      <c r="F526" s="157"/>
      <c r="H526" s="170"/>
      <c r="I526" s="168">
        <f>+'Alimentazione CE Ricavi'!L257</f>
        <v>0</v>
      </c>
      <c r="K526" s="164"/>
      <c r="M526" s="170"/>
    </row>
    <row r="527" spans="1:13" s="158" customFormat="1" ht="24.95" customHeight="1">
      <c r="A527" s="869"/>
      <c r="B527" s="177" t="s">
        <v>511</v>
      </c>
      <c r="C527" s="178" t="s">
        <v>2051</v>
      </c>
      <c r="D527" s="168">
        <f>+'Alimentazione CE Ricavi'!H258</f>
        <v>724.26</v>
      </c>
      <c r="E527" s="168">
        <f>+'Alimentazione CE Ricavi'!I258</f>
        <v>0</v>
      </c>
      <c r="F527" s="157"/>
      <c r="H527" s="170"/>
      <c r="I527" s="168">
        <f>+'Alimentazione CE Ricavi'!L258</f>
        <v>0</v>
      </c>
      <c r="K527" s="164"/>
      <c r="M527" s="170"/>
    </row>
    <row r="528" spans="1:13" s="158" customFormat="1" ht="24.95" customHeight="1">
      <c r="A528" s="869"/>
      <c r="B528" s="177" t="s">
        <v>513</v>
      </c>
      <c r="C528" s="178" t="s">
        <v>2052</v>
      </c>
      <c r="D528" s="168">
        <f>+'Alimentazione CE Ricavi'!H259</f>
        <v>25740.62</v>
      </c>
      <c r="E528" s="168">
        <f>+'Alimentazione CE Ricavi'!I259</f>
        <v>0</v>
      </c>
      <c r="F528" s="157"/>
      <c r="H528" s="170"/>
      <c r="I528" s="168">
        <f>+'Alimentazione CE Ricavi'!L259</f>
        <v>15492.96</v>
      </c>
      <c r="K528" s="164"/>
      <c r="M528" s="170"/>
    </row>
    <row r="529" spans="1:13" s="158" customFormat="1" ht="24.95" customHeight="1">
      <c r="A529" s="869"/>
      <c r="B529" s="177" t="s">
        <v>515</v>
      </c>
      <c r="C529" s="178" t="s">
        <v>2053</v>
      </c>
      <c r="D529" s="168">
        <f>+'Alimentazione CE Ricavi'!H260</f>
        <v>873819.5</v>
      </c>
      <c r="E529" s="168">
        <f>+'Alimentazione CE Ricavi'!I260</f>
        <v>0</v>
      </c>
      <c r="F529" s="157"/>
      <c r="H529" s="170"/>
      <c r="I529" s="168">
        <f>+'Alimentazione CE Ricavi'!L260</f>
        <v>473471.94</v>
      </c>
      <c r="K529" s="164"/>
      <c r="M529" s="170"/>
    </row>
    <row r="530" spans="1:13" s="158" customFormat="1" ht="24.95" customHeight="1">
      <c r="A530" s="869"/>
      <c r="B530" s="177" t="s">
        <v>517</v>
      </c>
      <c r="C530" s="178" t="s">
        <v>2054</v>
      </c>
      <c r="D530" s="168">
        <f>+'Alimentazione CE Ricavi'!H261</f>
        <v>703993</v>
      </c>
      <c r="E530" s="168">
        <f>+'Alimentazione CE Ricavi'!I261</f>
        <v>0</v>
      </c>
      <c r="F530" s="157"/>
      <c r="H530" s="170"/>
      <c r="I530" s="168">
        <f>+'Alimentazione CE Ricavi'!L261</f>
        <v>176793.57</v>
      </c>
      <c r="K530" s="164"/>
      <c r="M530" s="170"/>
    </row>
    <row r="531" spans="1:13" s="158" customFormat="1" ht="24.95" customHeight="1">
      <c r="A531" s="869"/>
      <c r="B531" s="232" t="s">
        <v>2055</v>
      </c>
      <c r="C531" s="233" t="s">
        <v>2056</v>
      </c>
      <c r="D531" s="234">
        <f>+D532+D533</f>
        <v>1357957.03</v>
      </c>
      <c r="E531" s="234">
        <f>+E532+E533</f>
        <v>0</v>
      </c>
      <c r="F531" s="157" t="s">
        <v>2123</v>
      </c>
      <c r="G531" s="169"/>
      <c r="H531" s="170"/>
      <c r="I531" s="234">
        <f>+I532+I533</f>
        <v>445.15</v>
      </c>
      <c r="K531" s="164"/>
      <c r="M531" s="170"/>
    </row>
    <row r="532" spans="1:13" s="176" customFormat="1" ht="24.95" customHeight="1">
      <c r="A532" s="867" t="s">
        <v>1550</v>
      </c>
      <c r="B532" s="174" t="s">
        <v>520</v>
      </c>
      <c r="C532" s="175" t="s">
        <v>2057</v>
      </c>
      <c r="D532" s="168">
        <f>+'Alimentazione CE Ricavi'!H263</f>
        <v>0</v>
      </c>
      <c r="E532" s="168">
        <f>+'Alimentazione CE Ricavi'!I263</f>
        <v>0</v>
      </c>
      <c r="F532" s="157"/>
      <c r="G532" s="158"/>
      <c r="H532" s="170"/>
      <c r="I532" s="168">
        <f>+'Alimentazione CE Ricavi'!L263</f>
        <v>0</v>
      </c>
      <c r="K532" s="164"/>
      <c r="M532" s="170"/>
    </row>
    <row r="533" spans="1:13" s="176" customFormat="1" ht="24.95" customHeight="1">
      <c r="A533" s="867"/>
      <c r="B533" s="239" t="s">
        <v>2058</v>
      </c>
      <c r="C533" s="240" t="s">
        <v>2059</v>
      </c>
      <c r="D533" s="237">
        <f>SUM(D534:D540)</f>
        <v>1357957.03</v>
      </c>
      <c r="E533" s="237">
        <f>SUM(E534:E540)</f>
        <v>0</v>
      </c>
      <c r="F533" s="157" t="s">
        <v>2123</v>
      </c>
      <c r="G533" s="169"/>
      <c r="H533" s="170"/>
      <c r="I533" s="237">
        <f>SUM(I534:I540)</f>
        <v>445.15</v>
      </c>
      <c r="K533" s="164"/>
      <c r="M533" s="170"/>
    </row>
    <row r="534" spans="1:13" s="176" customFormat="1" ht="24.95" customHeight="1">
      <c r="A534" s="867" t="s">
        <v>1595</v>
      </c>
      <c r="B534" s="177" t="s">
        <v>523</v>
      </c>
      <c r="C534" s="178" t="s">
        <v>2060</v>
      </c>
      <c r="D534" s="168">
        <f>+'Alimentazione CE Ricavi'!H265</f>
        <v>0</v>
      </c>
      <c r="E534" s="168">
        <f>+'Alimentazione CE Ricavi'!I265</f>
        <v>0</v>
      </c>
      <c r="F534" s="157"/>
      <c r="G534" s="158"/>
      <c r="H534" s="170"/>
      <c r="I534" s="168">
        <f>+'Alimentazione CE Ricavi'!L265</f>
        <v>0</v>
      </c>
      <c r="K534" s="164"/>
      <c r="M534" s="170"/>
    </row>
    <row r="535" spans="1:13" s="176" customFormat="1" ht="24.95" customHeight="1">
      <c r="A535" s="867"/>
      <c r="B535" s="177" t="s">
        <v>525</v>
      </c>
      <c r="C535" s="178" t="s">
        <v>2061</v>
      </c>
      <c r="D535" s="168">
        <f>+'Alimentazione CE Ricavi'!H266</f>
        <v>4.8899999999999997</v>
      </c>
      <c r="E535" s="168">
        <f>+'Alimentazione CE Ricavi'!I266</f>
        <v>0</v>
      </c>
      <c r="F535" s="157"/>
      <c r="G535" s="158"/>
      <c r="H535" s="170"/>
      <c r="I535" s="168">
        <f>+'Alimentazione CE Ricavi'!L266</f>
        <v>0</v>
      </c>
      <c r="K535" s="164"/>
      <c r="M535" s="170"/>
    </row>
    <row r="536" spans="1:13" s="176" customFormat="1" ht="24.95" customHeight="1">
      <c r="A536" s="867"/>
      <c r="B536" s="177" t="s">
        <v>527</v>
      </c>
      <c r="C536" s="178" t="s">
        <v>2062</v>
      </c>
      <c r="D536" s="168">
        <f>+'Alimentazione CE Ricavi'!H267</f>
        <v>0</v>
      </c>
      <c r="E536" s="168">
        <f>+'Alimentazione CE Ricavi'!I267</f>
        <v>0</v>
      </c>
      <c r="F536" s="157"/>
      <c r="G536" s="158"/>
      <c r="H536" s="170"/>
      <c r="I536" s="168">
        <f>+'Alimentazione CE Ricavi'!L267</f>
        <v>0</v>
      </c>
      <c r="K536" s="164"/>
      <c r="M536" s="170"/>
    </row>
    <row r="537" spans="1:13" s="176" customFormat="1" ht="24.95" customHeight="1">
      <c r="A537" s="867"/>
      <c r="B537" s="177" t="s">
        <v>529</v>
      </c>
      <c r="C537" s="178" t="s">
        <v>2063</v>
      </c>
      <c r="D537" s="168">
        <f>+'Alimentazione CE Ricavi'!H268</f>
        <v>0</v>
      </c>
      <c r="E537" s="168">
        <f>+'Alimentazione CE Ricavi'!I268</f>
        <v>0</v>
      </c>
      <c r="F537" s="157"/>
      <c r="G537" s="158"/>
      <c r="H537" s="170"/>
      <c r="I537" s="168">
        <f>+'Alimentazione CE Ricavi'!L268</f>
        <v>0</v>
      </c>
      <c r="K537" s="164"/>
      <c r="M537" s="170"/>
    </row>
    <row r="538" spans="1:13" s="176" customFormat="1" ht="24.95" customHeight="1">
      <c r="A538" s="867"/>
      <c r="B538" s="177" t="s">
        <v>531</v>
      </c>
      <c r="C538" s="178" t="s">
        <v>2064</v>
      </c>
      <c r="D538" s="168">
        <f>+'Alimentazione CE Ricavi'!H269</f>
        <v>0</v>
      </c>
      <c r="E538" s="168">
        <f>+'Alimentazione CE Ricavi'!I269</f>
        <v>0</v>
      </c>
      <c r="F538" s="157"/>
      <c r="G538" s="158"/>
      <c r="H538" s="170"/>
      <c r="I538" s="168">
        <f>+'Alimentazione CE Ricavi'!L269</f>
        <v>0</v>
      </c>
      <c r="K538" s="164"/>
      <c r="M538" s="170"/>
    </row>
    <row r="539" spans="1:13" s="176" customFormat="1" ht="24.95" customHeight="1">
      <c r="A539" s="867"/>
      <c r="B539" s="177" t="s">
        <v>533</v>
      </c>
      <c r="C539" s="178" t="s">
        <v>2065</v>
      </c>
      <c r="D539" s="168">
        <f>+'Alimentazione CE Ricavi'!H270</f>
        <v>184215.19</v>
      </c>
      <c r="E539" s="168">
        <f>+'Alimentazione CE Ricavi'!I270</f>
        <v>0</v>
      </c>
      <c r="F539" s="157"/>
      <c r="G539" s="158"/>
      <c r="H539" s="170"/>
      <c r="I539" s="168">
        <f>+'Alimentazione CE Ricavi'!L270</f>
        <v>264.14999999999998</v>
      </c>
      <c r="K539" s="164"/>
      <c r="M539" s="170"/>
    </row>
    <row r="540" spans="1:13" s="176" customFormat="1" ht="24.95" customHeight="1">
      <c r="A540" s="867"/>
      <c r="B540" s="177" t="s">
        <v>535</v>
      </c>
      <c r="C540" s="178" t="s">
        <v>2066</v>
      </c>
      <c r="D540" s="168">
        <f>+'Alimentazione CE Ricavi'!H271</f>
        <v>1173736.95</v>
      </c>
      <c r="E540" s="168">
        <f>+'Alimentazione CE Ricavi'!I271</f>
        <v>0</v>
      </c>
      <c r="F540" s="157"/>
      <c r="G540" s="158"/>
      <c r="H540" s="170"/>
      <c r="I540" s="168">
        <f>+'Alimentazione CE Ricavi'!L271</f>
        <v>181</v>
      </c>
      <c r="K540" s="164"/>
      <c r="M540" s="170"/>
    </row>
    <row r="541" spans="1:13" s="176" customFormat="1" ht="24.95" customHeight="1">
      <c r="A541" s="867"/>
      <c r="B541" s="174" t="s">
        <v>536</v>
      </c>
      <c r="C541" s="175" t="s">
        <v>2067</v>
      </c>
      <c r="D541" s="168">
        <f>+'Alimentazione CE Ricavi'!H272</f>
        <v>843.97</v>
      </c>
      <c r="E541" s="168">
        <f>+'Alimentazione CE Ricavi'!I272</f>
        <v>0</v>
      </c>
      <c r="F541" s="157"/>
      <c r="G541" s="158"/>
      <c r="H541" s="170"/>
      <c r="I541" s="168">
        <f>+'Alimentazione CE Ricavi'!L272</f>
        <v>47.69</v>
      </c>
      <c r="K541" s="164"/>
      <c r="M541" s="170"/>
    </row>
    <row r="542" spans="1:13" s="176" customFormat="1" ht="24.95" customHeight="1">
      <c r="A542" s="867"/>
      <c r="B542" s="226" t="s">
        <v>1434</v>
      </c>
      <c r="C542" s="227" t="s">
        <v>2068</v>
      </c>
      <c r="D542" s="228">
        <f>+D543+D544</f>
        <v>3146184.08</v>
      </c>
      <c r="E542" s="228">
        <f>+E543+E544</f>
        <v>0</v>
      </c>
      <c r="F542" s="157"/>
      <c r="G542" s="169"/>
      <c r="H542" s="170"/>
      <c r="I542" s="228">
        <f>+I543+I544</f>
        <v>73983.75</v>
      </c>
      <c r="K542" s="164"/>
      <c r="M542" s="170"/>
    </row>
    <row r="543" spans="1:13" s="176" customFormat="1" ht="24.95" customHeight="1">
      <c r="A543" s="867"/>
      <c r="B543" s="171" t="s">
        <v>1436</v>
      </c>
      <c r="C543" s="172" t="s">
        <v>2069</v>
      </c>
      <c r="D543" s="168">
        <f>+'Alimentazione CE Costi'!H855</f>
        <v>18998.45</v>
      </c>
      <c r="E543" s="168">
        <f>+'Alimentazione CE Costi'!I855</f>
        <v>0</v>
      </c>
      <c r="F543" s="157"/>
      <c r="G543" s="158"/>
      <c r="H543" s="170"/>
      <c r="I543" s="168">
        <f>+'Alimentazione CE Costi'!L855</f>
        <v>0</v>
      </c>
      <c r="K543" s="164"/>
      <c r="M543" s="170"/>
    </row>
    <row r="544" spans="1:13" s="176" customFormat="1" ht="24.95" customHeight="1">
      <c r="A544" s="867"/>
      <c r="B544" s="221" t="s">
        <v>1438</v>
      </c>
      <c r="C544" s="222" t="s">
        <v>2070</v>
      </c>
      <c r="D544" s="220">
        <f>+D545+D546+D547+D562+D573</f>
        <v>3127185.63</v>
      </c>
      <c r="E544" s="220">
        <f>+E545+E546+E547+E562+E573</f>
        <v>0</v>
      </c>
      <c r="F544" s="157"/>
      <c r="G544" s="169"/>
      <c r="H544" s="170"/>
      <c r="I544" s="220">
        <f>+I545+I546+I547+I562+I573</f>
        <v>73983.75</v>
      </c>
      <c r="K544" s="164"/>
      <c r="M544" s="170"/>
    </row>
    <row r="545" spans="1:13" s="176" customFormat="1" ht="24.95" customHeight="1">
      <c r="A545" s="867"/>
      <c r="B545" s="174" t="s">
        <v>1440</v>
      </c>
      <c r="C545" s="175" t="s">
        <v>2071</v>
      </c>
      <c r="D545" s="168">
        <f>+'Alimentazione CE Costi'!H857</f>
        <v>0</v>
      </c>
      <c r="E545" s="168">
        <f>+'Alimentazione CE Costi'!I857</f>
        <v>0</v>
      </c>
      <c r="F545" s="157"/>
      <c r="G545" s="158"/>
      <c r="H545" s="170"/>
      <c r="I545" s="168">
        <f>+'Alimentazione CE Costi'!L857</f>
        <v>0</v>
      </c>
      <c r="K545" s="164"/>
      <c r="M545" s="170"/>
    </row>
    <row r="546" spans="1:13" s="176" customFormat="1" ht="24.95" customHeight="1">
      <c r="A546" s="867"/>
      <c r="B546" s="174" t="s">
        <v>1442</v>
      </c>
      <c r="C546" s="175" t="s">
        <v>2072</v>
      </c>
      <c r="D546" s="168">
        <f>+'Alimentazione CE Costi'!H858</f>
        <v>0</v>
      </c>
      <c r="E546" s="168">
        <f>+'Alimentazione CE Costi'!I858</f>
        <v>0</v>
      </c>
      <c r="F546" s="157"/>
      <c r="G546" s="158"/>
      <c r="H546" s="170"/>
      <c r="I546" s="168">
        <f>+'Alimentazione CE Costi'!L858</f>
        <v>0</v>
      </c>
      <c r="K546" s="164"/>
      <c r="M546" s="170"/>
    </row>
    <row r="547" spans="1:13" s="176" customFormat="1" ht="24.95" customHeight="1">
      <c r="A547" s="867"/>
      <c r="B547" s="232" t="s">
        <v>1444</v>
      </c>
      <c r="C547" s="233" t="s">
        <v>2073</v>
      </c>
      <c r="D547" s="234">
        <f>+D548+D551</f>
        <v>2938864.6999999997</v>
      </c>
      <c r="E547" s="234">
        <f>+E548+E551</f>
        <v>0</v>
      </c>
      <c r="F547" s="157"/>
      <c r="G547" s="169"/>
      <c r="H547" s="170"/>
      <c r="I547" s="234">
        <f>+I548+I551</f>
        <v>73983.75</v>
      </c>
      <c r="K547" s="164"/>
      <c r="M547" s="170"/>
    </row>
    <row r="548" spans="1:13" s="176" customFormat="1" ht="24.95" customHeight="1">
      <c r="A548" s="867" t="s">
        <v>1550</v>
      </c>
      <c r="B548" s="239" t="s">
        <v>1446</v>
      </c>
      <c r="C548" s="240" t="s">
        <v>2074</v>
      </c>
      <c r="D548" s="237">
        <f>+D549+D550</f>
        <v>4010.54</v>
      </c>
      <c r="E548" s="237">
        <f>+E549+E550</f>
        <v>0</v>
      </c>
      <c r="F548" s="157"/>
      <c r="G548" s="169"/>
      <c r="H548" s="170"/>
      <c r="I548" s="237">
        <f>+I549+I550</f>
        <v>0</v>
      </c>
      <c r="K548" s="164"/>
      <c r="M548" s="170"/>
    </row>
    <row r="549" spans="1:13" s="176" customFormat="1" ht="24.95" customHeight="1">
      <c r="A549" s="867" t="s">
        <v>1550</v>
      </c>
      <c r="B549" s="177" t="s">
        <v>1448</v>
      </c>
      <c r="C549" s="178" t="s">
        <v>2075</v>
      </c>
      <c r="D549" s="168">
        <f>+'Alimentazione CE Costi'!H861</f>
        <v>0</v>
      </c>
      <c r="E549" s="168">
        <f>+'Alimentazione CE Costi'!I861</f>
        <v>0</v>
      </c>
      <c r="F549" s="157"/>
      <c r="G549" s="158"/>
      <c r="H549" s="170"/>
      <c r="I549" s="168">
        <f>+'Alimentazione CE Costi'!L861</f>
        <v>0</v>
      </c>
      <c r="K549" s="164"/>
      <c r="M549" s="170"/>
    </row>
    <row r="550" spans="1:13" s="176" customFormat="1" ht="24.95" customHeight="1">
      <c r="A550" s="867" t="s">
        <v>1550</v>
      </c>
      <c r="B550" s="177" t="s">
        <v>1450</v>
      </c>
      <c r="C550" s="178" t="s">
        <v>2076</v>
      </c>
      <c r="D550" s="168">
        <f>+'Alimentazione CE Costi'!H862</f>
        <v>4010.54</v>
      </c>
      <c r="E550" s="168">
        <f>+'Alimentazione CE Costi'!I862</f>
        <v>0</v>
      </c>
      <c r="F550" s="157"/>
      <c r="G550" s="158"/>
      <c r="H550" s="170"/>
      <c r="I550" s="168">
        <f>+'Alimentazione CE Costi'!L862</f>
        <v>0</v>
      </c>
      <c r="K550" s="164"/>
      <c r="M550" s="170"/>
    </row>
    <row r="551" spans="1:13" s="176" customFormat="1" ht="24.95" customHeight="1">
      <c r="A551" s="867"/>
      <c r="B551" s="239" t="s">
        <v>1452</v>
      </c>
      <c r="C551" s="240" t="s">
        <v>2077</v>
      </c>
      <c r="D551" s="237">
        <f>+D552+D553+D557+D558+D559+D560+D561</f>
        <v>2934854.1599999997</v>
      </c>
      <c r="E551" s="237">
        <f>+E552+E553+E557+E558+E559+E560+E561</f>
        <v>0</v>
      </c>
      <c r="F551" s="157"/>
      <c r="G551" s="169"/>
      <c r="H551" s="170"/>
      <c r="I551" s="237">
        <f>+I552+I553+I557+I558+I559+I560+I561</f>
        <v>73983.75</v>
      </c>
      <c r="K551" s="164"/>
      <c r="M551" s="170"/>
    </row>
    <row r="552" spans="1:13" s="176" customFormat="1" ht="24.95" customHeight="1">
      <c r="A552" s="867" t="s">
        <v>1595</v>
      </c>
      <c r="B552" s="177" t="s">
        <v>1454</v>
      </c>
      <c r="C552" s="178" t="s">
        <v>2078</v>
      </c>
      <c r="D552" s="168">
        <f>+'Alimentazione CE Costi'!H864</f>
        <v>143866.68</v>
      </c>
      <c r="E552" s="168">
        <f>+'Alimentazione CE Costi'!I864</f>
        <v>0</v>
      </c>
      <c r="F552" s="157"/>
      <c r="G552" s="158"/>
      <c r="H552" s="170"/>
      <c r="I552" s="168">
        <f>+'Alimentazione CE Costi'!L864</f>
        <v>32217.47</v>
      </c>
      <c r="K552" s="164"/>
      <c r="M552" s="170"/>
    </row>
    <row r="553" spans="1:13" s="176" customFormat="1" ht="24.95" customHeight="1">
      <c r="A553" s="867"/>
      <c r="B553" s="255" t="s">
        <v>1456</v>
      </c>
      <c r="C553" s="256" t="s">
        <v>2079</v>
      </c>
      <c r="D553" s="257">
        <f>+D554+D555+D556</f>
        <v>141449.12</v>
      </c>
      <c r="E553" s="257">
        <f>+E554+E555+E556</f>
        <v>0</v>
      </c>
      <c r="F553" s="157"/>
      <c r="G553" s="169"/>
      <c r="H553" s="170"/>
      <c r="I553" s="257">
        <f>+I554+I555+I556</f>
        <v>32431.84</v>
      </c>
      <c r="K553" s="164"/>
      <c r="M553" s="170"/>
    </row>
    <row r="554" spans="1:13" s="176" customFormat="1" ht="24.95" customHeight="1">
      <c r="A554" s="867"/>
      <c r="B554" s="174" t="s">
        <v>1458</v>
      </c>
      <c r="C554" s="175" t="s">
        <v>2080</v>
      </c>
      <c r="D554" s="168">
        <f>+'Alimentazione CE Costi'!H866</f>
        <v>5158.6099999999997</v>
      </c>
      <c r="E554" s="168">
        <f>+'Alimentazione CE Costi'!I866</f>
        <v>0</v>
      </c>
      <c r="F554" s="157"/>
      <c r="G554" s="158"/>
      <c r="H554" s="170"/>
      <c r="I554" s="168">
        <f>+'Alimentazione CE Costi'!L866</f>
        <v>1071.8699999999999</v>
      </c>
      <c r="K554" s="164"/>
      <c r="M554" s="170"/>
    </row>
    <row r="555" spans="1:13" s="176" customFormat="1" ht="24.95" customHeight="1">
      <c r="A555" s="867"/>
      <c r="B555" s="174" t="s">
        <v>1460</v>
      </c>
      <c r="C555" s="175" t="s">
        <v>2081</v>
      </c>
      <c r="D555" s="168">
        <f>+'Alimentazione CE Costi'!H867</f>
        <v>17.95</v>
      </c>
      <c r="E555" s="168">
        <f>+'Alimentazione CE Costi'!I867</f>
        <v>0</v>
      </c>
      <c r="F555" s="157"/>
      <c r="G555" s="158"/>
      <c r="H555" s="170"/>
      <c r="I555" s="168">
        <f>+'Alimentazione CE Costi'!L867</f>
        <v>17.95</v>
      </c>
      <c r="K555" s="164"/>
      <c r="M555" s="170"/>
    </row>
    <row r="556" spans="1:13" s="176" customFormat="1" ht="24.95" customHeight="1">
      <c r="A556" s="867"/>
      <c r="B556" s="174" t="s">
        <v>1462</v>
      </c>
      <c r="C556" s="175" t="s">
        <v>2082</v>
      </c>
      <c r="D556" s="168">
        <f>+'Alimentazione CE Costi'!H868</f>
        <v>136272.56</v>
      </c>
      <c r="E556" s="168">
        <f>+'Alimentazione CE Costi'!I868</f>
        <v>0</v>
      </c>
      <c r="F556" s="157"/>
      <c r="G556" s="158"/>
      <c r="H556" s="170"/>
      <c r="I556" s="168">
        <f>+'Alimentazione CE Costi'!L868</f>
        <v>31342.02</v>
      </c>
      <c r="K556" s="164"/>
      <c r="M556" s="170"/>
    </row>
    <row r="557" spans="1:13" s="176" customFormat="1" ht="24.95" customHeight="1">
      <c r="A557" s="867"/>
      <c r="B557" s="177" t="s">
        <v>1464</v>
      </c>
      <c r="C557" s="178" t="s">
        <v>2083</v>
      </c>
      <c r="D557" s="168">
        <f>+'Alimentazione CE Costi'!H869</f>
        <v>2274604.8199999998</v>
      </c>
      <c r="E557" s="168">
        <f>+'Alimentazione CE Costi'!I869</f>
        <v>0</v>
      </c>
      <c r="F557" s="157"/>
      <c r="G557" s="158"/>
      <c r="H557" s="170"/>
      <c r="I557" s="168">
        <f>+'Alimentazione CE Costi'!L869</f>
        <v>0</v>
      </c>
      <c r="K557" s="164"/>
      <c r="M557" s="170"/>
    </row>
    <row r="558" spans="1:13" s="176" customFormat="1" ht="24.95" customHeight="1">
      <c r="A558" s="867"/>
      <c r="B558" s="177" t="s">
        <v>1466</v>
      </c>
      <c r="C558" s="178" t="s">
        <v>2084</v>
      </c>
      <c r="D558" s="168">
        <f>+'Alimentazione CE Costi'!H870</f>
        <v>38178.68</v>
      </c>
      <c r="E558" s="168">
        <f>+'Alimentazione CE Costi'!I870</f>
        <v>0</v>
      </c>
      <c r="F558" s="157"/>
      <c r="G558" s="158"/>
      <c r="H558" s="170"/>
      <c r="I558" s="168">
        <f>+'Alimentazione CE Costi'!L870</f>
        <v>0</v>
      </c>
      <c r="K558" s="164"/>
      <c r="M558" s="170"/>
    </row>
    <row r="559" spans="1:13" s="176" customFormat="1" ht="24.95" customHeight="1">
      <c r="A559" s="867"/>
      <c r="B559" s="177" t="s">
        <v>1468</v>
      </c>
      <c r="C559" s="178" t="s">
        <v>2085</v>
      </c>
      <c r="D559" s="168">
        <f>+'Alimentazione CE Costi'!H871</f>
        <v>135.81</v>
      </c>
      <c r="E559" s="168">
        <f>+'Alimentazione CE Costi'!I871</f>
        <v>0</v>
      </c>
      <c r="F559" s="157"/>
      <c r="G559" s="158"/>
      <c r="H559" s="170"/>
      <c r="I559" s="168">
        <f>+'Alimentazione CE Costi'!L871</f>
        <v>0</v>
      </c>
      <c r="K559" s="164"/>
      <c r="M559" s="170"/>
    </row>
    <row r="560" spans="1:13" s="176" customFormat="1" ht="24.95" customHeight="1">
      <c r="A560" s="867"/>
      <c r="B560" s="177" t="s">
        <v>1470</v>
      </c>
      <c r="C560" s="178" t="s">
        <v>2086</v>
      </c>
      <c r="D560" s="168">
        <f>+'Alimentazione CE Costi'!H872</f>
        <v>235551.07</v>
      </c>
      <c r="E560" s="168">
        <f>+'Alimentazione CE Costi'!I872</f>
        <v>0</v>
      </c>
      <c r="F560" s="157"/>
      <c r="G560" s="158"/>
      <c r="H560" s="170"/>
      <c r="I560" s="168">
        <f>+'Alimentazione CE Costi'!L872</f>
        <v>0</v>
      </c>
      <c r="K560" s="164"/>
      <c r="M560" s="170"/>
    </row>
    <row r="561" spans="1:13" s="176" customFormat="1" ht="24.95" customHeight="1">
      <c r="A561" s="867"/>
      <c r="B561" s="177" t="s">
        <v>1472</v>
      </c>
      <c r="C561" s="178" t="s">
        <v>2087</v>
      </c>
      <c r="D561" s="168">
        <f>+'Alimentazione CE Costi'!H873</f>
        <v>101067.98</v>
      </c>
      <c r="E561" s="168">
        <f>+'Alimentazione CE Costi'!I873</f>
        <v>0</v>
      </c>
      <c r="F561" s="157"/>
      <c r="G561" s="158"/>
      <c r="H561" s="170"/>
      <c r="I561" s="168">
        <f>+'Alimentazione CE Costi'!L873</f>
        <v>9334.44</v>
      </c>
      <c r="K561" s="164"/>
      <c r="M561" s="170"/>
    </row>
    <row r="562" spans="1:13" s="176" customFormat="1" ht="24.95" customHeight="1">
      <c r="A562" s="867"/>
      <c r="B562" s="232" t="s">
        <v>1474</v>
      </c>
      <c r="C562" s="233" t="s">
        <v>2088</v>
      </c>
      <c r="D562" s="234">
        <f>+D563+D564+D565</f>
        <v>185391.45</v>
      </c>
      <c r="E562" s="234">
        <f>+E563+E564+E565</f>
        <v>0</v>
      </c>
      <c r="F562" s="157"/>
      <c r="G562" s="169"/>
      <c r="H562" s="170"/>
      <c r="I562" s="234">
        <f>+I563+I564+I565</f>
        <v>0</v>
      </c>
      <c r="K562" s="164"/>
      <c r="M562" s="170"/>
    </row>
    <row r="563" spans="1:13" s="158" customFormat="1" ht="24.95" customHeight="1">
      <c r="A563" s="869"/>
      <c r="B563" s="174" t="s">
        <v>1476</v>
      </c>
      <c r="C563" s="175" t="s">
        <v>2089</v>
      </c>
      <c r="D563" s="168">
        <f>+'Alimentazione CE Costi'!H875</f>
        <v>0</v>
      </c>
      <c r="E563" s="168">
        <f>+'Alimentazione CE Costi'!I875</f>
        <v>0</v>
      </c>
      <c r="F563" s="157"/>
      <c r="H563" s="170"/>
      <c r="I563" s="168">
        <f>+'Alimentazione CE Costi'!L875</f>
        <v>0</v>
      </c>
      <c r="K563" s="164"/>
      <c r="M563" s="170"/>
    </row>
    <row r="564" spans="1:13" s="158" customFormat="1" ht="24.95" customHeight="1">
      <c r="A564" s="869" t="s">
        <v>1550</v>
      </c>
      <c r="B564" s="174" t="s">
        <v>1478</v>
      </c>
      <c r="C564" s="175" t="s">
        <v>2090</v>
      </c>
      <c r="D564" s="168">
        <f>+'Alimentazione CE Costi'!H876</f>
        <v>0</v>
      </c>
      <c r="E564" s="168">
        <f>+'Alimentazione CE Costi'!I876</f>
        <v>0</v>
      </c>
      <c r="F564" s="157"/>
      <c r="H564" s="170"/>
      <c r="I564" s="168">
        <f>+'Alimentazione CE Costi'!L876</f>
        <v>0</v>
      </c>
      <c r="K564" s="164"/>
      <c r="M564" s="170"/>
    </row>
    <row r="565" spans="1:13" s="158" customFormat="1" ht="24.95" customHeight="1">
      <c r="A565" s="869"/>
      <c r="B565" s="239" t="s">
        <v>1480</v>
      </c>
      <c r="C565" s="240" t="s">
        <v>2091</v>
      </c>
      <c r="D565" s="237">
        <f>SUM(D566:D572)</f>
        <v>185391.45</v>
      </c>
      <c r="E565" s="237">
        <f>SUM(E566:E572)</f>
        <v>0</v>
      </c>
      <c r="F565" s="157"/>
      <c r="G565" s="169"/>
      <c r="H565" s="170"/>
      <c r="I565" s="237">
        <f>SUM(I566:I572)</f>
        <v>0</v>
      </c>
      <c r="K565" s="164"/>
      <c r="M565" s="170"/>
    </row>
    <row r="566" spans="1:13" s="158" customFormat="1" ht="24.95" customHeight="1">
      <c r="A566" s="869" t="s">
        <v>1595</v>
      </c>
      <c r="B566" s="177" t="s">
        <v>1482</v>
      </c>
      <c r="C566" s="178" t="s">
        <v>2092</v>
      </c>
      <c r="D566" s="168">
        <f>+'Alimentazione CE Costi'!H878</f>
        <v>0</v>
      </c>
      <c r="E566" s="168">
        <f>+'Alimentazione CE Costi'!I878</f>
        <v>0</v>
      </c>
      <c r="F566" s="157"/>
      <c r="H566" s="170"/>
      <c r="I566" s="168">
        <f>+'Alimentazione CE Costi'!L878</f>
        <v>0</v>
      </c>
      <c r="K566" s="164"/>
      <c r="M566" s="170"/>
    </row>
    <row r="567" spans="1:13" s="158" customFormat="1" ht="24.95" customHeight="1">
      <c r="A567" s="869"/>
      <c r="B567" s="177" t="s">
        <v>1484</v>
      </c>
      <c r="C567" s="178" t="s">
        <v>2093</v>
      </c>
      <c r="D567" s="168">
        <f>+'Alimentazione CE Costi'!H879</f>
        <v>0</v>
      </c>
      <c r="E567" s="168">
        <f>+'Alimentazione CE Costi'!I879</f>
        <v>0</v>
      </c>
      <c r="F567" s="157"/>
      <c r="H567" s="170"/>
      <c r="I567" s="168">
        <f>+'Alimentazione CE Costi'!L879</f>
        <v>0</v>
      </c>
      <c r="K567" s="164"/>
      <c r="M567" s="170"/>
    </row>
    <row r="568" spans="1:13" s="158" customFormat="1" ht="24.95" customHeight="1">
      <c r="A568" s="869"/>
      <c r="B568" s="177" t="s">
        <v>1486</v>
      </c>
      <c r="C568" s="178" t="s">
        <v>2094</v>
      </c>
      <c r="D568" s="168">
        <f>+'Alimentazione CE Costi'!H880</f>
        <v>0.69</v>
      </c>
      <c r="E568" s="168">
        <f>+'Alimentazione CE Costi'!I880</f>
        <v>0</v>
      </c>
      <c r="F568" s="157"/>
      <c r="H568" s="170"/>
      <c r="I568" s="168">
        <f>+'Alimentazione CE Costi'!L880</f>
        <v>0</v>
      </c>
      <c r="K568" s="164"/>
      <c r="M568" s="170"/>
    </row>
    <row r="569" spans="1:13" s="158" customFormat="1" ht="24.95" customHeight="1">
      <c r="A569" s="869"/>
      <c r="B569" s="177" t="s">
        <v>1488</v>
      </c>
      <c r="C569" s="178" t="s">
        <v>2095</v>
      </c>
      <c r="D569" s="168">
        <f>+'Alimentazione CE Costi'!H881</f>
        <v>0</v>
      </c>
      <c r="E569" s="168">
        <f>+'Alimentazione CE Costi'!I881</f>
        <v>0</v>
      </c>
      <c r="F569" s="157"/>
      <c r="H569" s="170"/>
      <c r="I569" s="168">
        <f>+'Alimentazione CE Costi'!L881</f>
        <v>0</v>
      </c>
      <c r="K569" s="164"/>
      <c r="M569" s="170"/>
    </row>
    <row r="570" spans="1:13" s="158" customFormat="1" ht="24.95" customHeight="1">
      <c r="A570" s="869"/>
      <c r="B570" s="177" t="s">
        <v>1490</v>
      </c>
      <c r="C570" s="178" t="s">
        <v>2096</v>
      </c>
      <c r="D570" s="168">
        <f>+'Alimentazione CE Costi'!H882</f>
        <v>9819.42</v>
      </c>
      <c r="E570" s="168">
        <f>+'Alimentazione CE Costi'!I882</f>
        <v>0</v>
      </c>
      <c r="F570" s="157"/>
      <c r="H570" s="170"/>
      <c r="I570" s="168">
        <f>+'Alimentazione CE Costi'!L882</f>
        <v>0</v>
      </c>
      <c r="K570" s="164"/>
      <c r="M570" s="170"/>
    </row>
    <row r="571" spans="1:13" s="158" customFormat="1" ht="24.95" customHeight="1">
      <c r="A571" s="869"/>
      <c r="B571" s="177" t="s">
        <v>1492</v>
      </c>
      <c r="C571" s="178" t="s">
        <v>2097</v>
      </c>
      <c r="D571" s="168">
        <f>+'Alimentazione CE Costi'!H883</f>
        <v>90.95</v>
      </c>
      <c r="E571" s="168">
        <f>+'Alimentazione CE Costi'!I883</f>
        <v>0</v>
      </c>
      <c r="F571" s="157"/>
      <c r="H571" s="170"/>
      <c r="I571" s="168">
        <f>+'Alimentazione CE Costi'!L883</f>
        <v>0</v>
      </c>
      <c r="K571" s="164"/>
      <c r="M571" s="170"/>
    </row>
    <row r="572" spans="1:13" s="158" customFormat="1" ht="24.95" customHeight="1">
      <c r="A572" s="869"/>
      <c r="B572" s="177" t="s">
        <v>1494</v>
      </c>
      <c r="C572" s="178" t="s">
        <v>2098</v>
      </c>
      <c r="D572" s="168">
        <f>+'Alimentazione CE Costi'!H884</f>
        <v>175480.39</v>
      </c>
      <c r="E572" s="168">
        <f>+'Alimentazione CE Costi'!I884</f>
        <v>0</v>
      </c>
      <c r="F572" s="157"/>
      <c r="H572" s="170"/>
      <c r="I572" s="168">
        <f>+'Alimentazione CE Costi'!L884</f>
        <v>0</v>
      </c>
      <c r="K572" s="164"/>
      <c r="M572" s="170"/>
    </row>
    <row r="573" spans="1:13" s="176" customFormat="1" ht="24.95" customHeight="1">
      <c r="A573" s="867"/>
      <c r="B573" s="174" t="s">
        <v>1495</v>
      </c>
      <c r="C573" s="175" t="s">
        <v>2099</v>
      </c>
      <c r="D573" s="168">
        <f>+'Alimentazione CE Costi'!H885</f>
        <v>2929.48</v>
      </c>
      <c r="E573" s="168">
        <f>+'Alimentazione CE Costi'!I885</f>
        <v>0</v>
      </c>
      <c r="F573" s="157"/>
      <c r="G573" s="158"/>
      <c r="H573" s="199"/>
      <c r="I573" s="168">
        <f>+'Alimentazione CE Costi'!L885</f>
        <v>0</v>
      </c>
      <c r="K573" s="164"/>
      <c r="M573" s="170"/>
    </row>
    <row r="574" spans="1:13" s="176" customFormat="1" ht="18.75">
      <c r="A574" s="867"/>
      <c r="B574" s="229" t="s">
        <v>2100</v>
      </c>
      <c r="C574" s="230" t="s">
        <v>2101</v>
      </c>
      <c r="D574" s="231">
        <f>+D516-D542</f>
        <v>671727.83000000054</v>
      </c>
      <c r="E574" s="231">
        <f>+E516-E542</f>
        <v>0</v>
      </c>
      <c r="F574" s="157"/>
      <c r="G574" s="169"/>
      <c r="H574" s="199"/>
      <c r="I574" s="231">
        <f>+I516-I542</f>
        <v>1387856.2099999997</v>
      </c>
      <c r="K574" s="164"/>
      <c r="M574" s="170"/>
    </row>
    <row r="575" spans="1:13" s="176" customFormat="1" ht="24.95" customHeight="1">
      <c r="A575" s="867"/>
      <c r="B575" s="166" t="s">
        <v>2102</v>
      </c>
      <c r="C575" s="167" t="s">
        <v>2103</v>
      </c>
      <c r="D575" s="168">
        <f>+D157-D491+D510+D514+D574</f>
        <v>21252037.770000048</v>
      </c>
      <c r="E575" s="168">
        <f>+E157-E491+E510+E514+E574</f>
        <v>0</v>
      </c>
      <c r="F575" s="157"/>
      <c r="G575" s="169"/>
      <c r="H575" s="200"/>
      <c r="I575" s="168">
        <f>+I157-I491+I510+I514+I574</f>
        <v>12828609.181633703</v>
      </c>
      <c r="K575" s="164"/>
      <c r="M575" s="170"/>
    </row>
    <row r="576" spans="1:13" s="158" customFormat="1" ht="24.95" customHeight="1">
      <c r="A576" s="869"/>
      <c r="B576" s="243"/>
      <c r="C576" s="244" t="s">
        <v>2104</v>
      </c>
      <c r="D576" s="245"/>
      <c r="E576" s="245"/>
      <c r="F576" s="157"/>
      <c r="H576" s="201"/>
      <c r="I576" s="245"/>
      <c r="K576" s="164"/>
      <c r="M576" s="170"/>
    </row>
    <row r="577" spans="1:19" s="176" customFormat="1" ht="18.75">
      <c r="A577" s="867"/>
      <c r="B577" s="226" t="s">
        <v>1496</v>
      </c>
      <c r="C577" s="227" t="s">
        <v>2105</v>
      </c>
      <c r="D577" s="228">
        <f>+D578+D579+D580+D581</f>
        <v>20635655.909999996</v>
      </c>
      <c r="E577" s="228">
        <f>+E578+E579+E580+E581</f>
        <v>0</v>
      </c>
      <c r="F577" s="157"/>
      <c r="G577" s="169"/>
      <c r="H577" s="202"/>
      <c r="I577" s="228">
        <f>+I578+I579+I580+I581</f>
        <v>13121452.080723582</v>
      </c>
      <c r="K577" s="164"/>
      <c r="M577" s="170"/>
    </row>
    <row r="578" spans="1:19" s="176" customFormat="1" ht="18.75">
      <c r="A578" s="871"/>
      <c r="B578" s="171" t="s">
        <v>1498</v>
      </c>
      <c r="C578" s="172" t="s">
        <v>2106</v>
      </c>
      <c r="D578" s="168">
        <f>+'Alimentazione CE Costi'!H887</f>
        <v>19846384.969999999</v>
      </c>
      <c r="E578" s="168">
        <f>+'Alimentazione CE Costi'!I887</f>
        <v>0</v>
      </c>
      <c r="F578" s="157"/>
      <c r="G578" s="158"/>
      <c r="H578" s="201"/>
      <c r="I578" s="168">
        <f>+'Alimentazione CE Costi'!L887</f>
        <v>12926268.453273581</v>
      </c>
      <c r="K578" s="164"/>
      <c r="M578" s="170"/>
    </row>
    <row r="579" spans="1:19" s="176" customFormat="1" ht="18.75">
      <c r="A579" s="871"/>
      <c r="B579" s="171" t="s">
        <v>1500</v>
      </c>
      <c r="C579" s="172" t="s">
        <v>2107</v>
      </c>
      <c r="D579" s="168">
        <f>+'Alimentazione CE Costi'!H888</f>
        <v>479428.56</v>
      </c>
      <c r="E579" s="168">
        <f>+'Alimentazione CE Costi'!I888</f>
        <v>0</v>
      </c>
      <c r="F579" s="157"/>
      <c r="G579" s="158"/>
      <c r="H579" s="199"/>
      <c r="I579" s="168">
        <f>+'Alimentazione CE Costi'!L888</f>
        <v>0</v>
      </c>
      <c r="K579" s="164"/>
      <c r="M579" s="170"/>
    </row>
    <row r="580" spans="1:19" s="176" customFormat="1" ht="18.75">
      <c r="A580" s="871"/>
      <c r="B580" s="171" t="s">
        <v>1502</v>
      </c>
      <c r="C580" s="172" t="s">
        <v>2108</v>
      </c>
      <c r="D580" s="168">
        <f>+'Alimentazione CE Costi'!H889</f>
        <v>309842.38</v>
      </c>
      <c r="E580" s="168">
        <f>+'Alimentazione CE Costi'!I889</f>
        <v>0</v>
      </c>
      <c r="F580" s="157"/>
      <c r="G580" s="158"/>
      <c r="H580" s="201"/>
      <c r="I580" s="168">
        <f>+'Alimentazione CE Costi'!L889</f>
        <v>195183.62745</v>
      </c>
      <c r="K580" s="164"/>
      <c r="M580" s="170"/>
    </row>
    <row r="581" spans="1:19" s="176" customFormat="1" ht="18.75">
      <c r="A581" s="871"/>
      <c r="B581" s="171" t="s">
        <v>1504</v>
      </c>
      <c r="C581" s="172" t="s">
        <v>2109</v>
      </c>
      <c r="D581" s="168">
        <f>+'Alimentazione CE Costi'!H890</f>
        <v>0</v>
      </c>
      <c r="E581" s="168">
        <f>+'Alimentazione CE Costi'!I890</f>
        <v>0</v>
      </c>
      <c r="F581" s="157"/>
      <c r="G581" s="158"/>
      <c r="H581" s="201"/>
      <c r="I581" s="168">
        <f>+'Alimentazione CE Costi'!L890</f>
        <v>0</v>
      </c>
      <c r="K581" s="164"/>
      <c r="M581" s="170"/>
    </row>
    <row r="582" spans="1:19" s="176" customFormat="1" ht="18.75">
      <c r="A582" s="867"/>
      <c r="B582" s="226" t="s">
        <v>1505</v>
      </c>
      <c r="C582" s="227" t="s">
        <v>2110</v>
      </c>
      <c r="D582" s="228">
        <f>+D583+D584</f>
        <v>538536.42000000004</v>
      </c>
      <c r="E582" s="228">
        <f>+E583+E584</f>
        <v>0</v>
      </c>
      <c r="F582" s="157"/>
      <c r="G582" s="169"/>
      <c r="H582" s="201"/>
      <c r="I582" s="228">
        <f>+I583+I584</f>
        <v>0</v>
      </c>
      <c r="K582" s="164"/>
      <c r="M582" s="170"/>
    </row>
    <row r="583" spans="1:19" s="176" customFormat="1" ht="18.75">
      <c r="A583" s="867"/>
      <c r="B583" s="171" t="s">
        <v>1507</v>
      </c>
      <c r="C583" s="172" t="s">
        <v>2111</v>
      </c>
      <c r="D583" s="168">
        <f>+'Alimentazione CE Costi'!H892</f>
        <v>538536.42000000004</v>
      </c>
      <c r="E583" s="168">
        <f>+'Alimentazione CE Costi'!I892</f>
        <v>0</v>
      </c>
      <c r="F583" s="157"/>
      <c r="G583" s="158"/>
      <c r="H583" s="202"/>
      <c r="I583" s="168">
        <f>+'Alimentazione CE Costi'!L892</f>
        <v>0</v>
      </c>
      <c r="K583" s="164"/>
      <c r="M583" s="170"/>
    </row>
    <row r="584" spans="1:19" s="176" customFormat="1" ht="18.75">
      <c r="A584" s="867"/>
      <c r="B584" s="171" t="s">
        <v>1509</v>
      </c>
      <c r="C584" s="172" t="s">
        <v>2112</v>
      </c>
      <c r="D584" s="168">
        <f>+'Alimentazione CE Costi'!H893</f>
        <v>0</v>
      </c>
      <c r="E584" s="168">
        <f>+'Alimentazione CE Costi'!I893</f>
        <v>0</v>
      </c>
      <c r="F584" s="157"/>
      <c r="G584" s="158"/>
      <c r="H584" s="201"/>
      <c r="I584" s="168">
        <f>+'Alimentazione CE Costi'!L893</f>
        <v>0</v>
      </c>
      <c r="K584" s="164"/>
      <c r="M584" s="170"/>
    </row>
    <row r="585" spans="1:19" s="158" customFormat="1" ht="25.5" customHeight="1">
      <c r="A585" s="869"/>
      <c r="B585" s="166" t="s">
        <v>1511</v>
      </c>
      <c r="C585" s="167" t="s">
        <v>2113</v>
      </c>
      <c r="D585" s="168">
        <f>+'Alimentazione CE Costi'!H894</f>
        <v>0</v>
      </c>
      <c r="E585" s="168">
        <f>+'Alimentazione CE Costi'!I894</f>
        <v>0</v>
      </c>
      <c r="F585" s="157"/>
      <c r="H585" s="203"/>
      <c r="I585" s="168">
        <f>+'Alimentazione CE Costi'!L894</f>
        <v>0</v>
      </c>
      <c r="K585" s="164"/>
      <c r="M585" s="170"/>
    </row>
    <row r="586" spans="1:19" s="158" customFormat="1" ht="24.95" customHeight="1">
      <c r="A586" s="869"/>
      <c r="B586" s="229" t="s">
        <v>2114</v>
      </c>
      <c r="C586" s="230" t="s">
        <v>2115</v>
      </c>
      <c r="D586" s="231">
        <f>+D577+D582+D585</f>
        <v>21174192.329999998</v>
      </c>
      <c r="E586" s="231">
        <f>+E577+E582+E585</f>
        <v>0</v>
      </c>
      <c r="F586" s="157"/>
      <c r="G586" s="169"/>
      <c r="H586" s="204"/>
      <c r="I586" s="231">
        <f>+I577+I582+I585</f>
        <v>13121452.080723582</v>
      </c>
      <c r="K586" s="164"/>
      <c r="M586" s="170"/>
    </row>
    <row r="587" spans="1:19" s="158" customFormat="1" ht="24.95" customHeight="1" thickBot="1">
      <c r="A587" s="878"/>
      <c r="B587" s="258" t="s">
        <v>2116</v>
      </c>
      <c r="C587" s="259" t="s">
        <v>2117</v>
      </c>
      <c r="D587" s="260">
        <f>+D575-D586</f>
        <v>77845.44000004977</v>
      </c>
      <c r="E587" s="260">
        <f>+E575-E586</f>
        <v>0</v>
      </c>
      <c r="F587" s="157"/>
      <c r="G587" s="169"/>
      <c r="H587" s="204"/>
      <c r="I587" s="260">
        <f>+I575-I586</f>
        <v>-292842.89908987843</v>
      </c>
      <c r="K587" s="164"/>
      <c r="M587" s="170"/>
    </row>
    <row r="588" spans="1:19" s="106" customFormat="1">
      <c r="A588" s="199"/>
      <c r="B588" s="205"/>
      <c r="C588" s="206"/>
      <c r="D588" s="207"/>
      <c r="E588" s="207"/>
      <c r="F588" s="199"/>
      <c r="G588" s="199"/>
      <c r="H588" s="204"/>
      <c r="I588" s="204"/>
      <c r="J588" s="199"/>
      <c r="K588" s="199"/>
      <c r="L588" s="199"/>
      <c r="M588" s="199"/>
      <c r="N588" s="199"/>
      <c r="O588" s="199"/>
      <c r="P588" s="199"/>
      <c r="Q588" s="199"/>
      <c r="R588" s="199"/>
      <c r="S588" s="208"/>
    </row>
    <row r="589" spans="1:19" s="106" customFormat="1">
      <c r="A589" s="199"/>
      <c r="B589" s="136" t="s">
        <v>2118</v>
      </c>
      <c r="C589" s="206"/>
      <c r="D589" s="207"/>
      <c r="E589" s="207"/>
      <c r="F589" s="199"/>
      <c r="G589" s="199"/>
      <c r="H589" s="204"/>
      <c r="I589" s="204"/>
      <c r="J589" s="199"/>
      <c r="K589" s="199"/>
      <c r="L589" s="199"/>
      <c r="M589" s="199"/>
      <c r="N589" s="199"/>
      <c r="O589" s="199"/>
      <c r="P589" s="199"/>
      <c r="Q589" s="199"/>
      <c r="R589" s="199"/>
      <c r="S589" s="208"/>
    </row>
    <row r="590" spans="1:19" s="106" customFormat="1">
      <c r="A590" s="209"/>
      <c r="B590" s="105"/>
      <c r="C590" s="210"/>
      <c r="D590" s="211"/>
      <c r="E590" s="211"/>
      <c r="F590" s="200"/>
      <c r="G590" s="200"/>
      <c r="H590" s="204"/>
      <c r="I590" s="204"/>
      <c r="J590" s="200"/>
      <c r="K590" s="200"/>
      <c r="L590" s="200"/>
      <c r="M590" s="200"/>
      <c r="N590" s="200"/>
      <c r="O590" s="200"/>
      <c r="P590" s="200"/>
      <c r="Q590" s="200"/>
      <c r="R590" s="200"/>
      <c r="S590" s="212"/>
    </row>
    <row r="591" spans="1:19" s="106" customFormat="1">
      <c r="A591" s="209"/>
      <c r="B591" s="136"/>
      <c r="C591" s="136"/>
      <c r="D591" s="213"/>
      <c r="E591" s="213"/>
      <c r="F591" s="201"/>
      <c r="G591" s="201"/>
      <c r="H591" s="204"/>
      <c r="I591" s="204"/>
      <c r="J591" s="201"/>
      <c r="K591" s="201"/>
      <c r="L591" s="201"/>
      <c r="M591" s="201"/>
      <c r="N591" s="201"/>
      <c r="O591" s="201"/>
      <c r="P591" s="201"/>
      <c r="Q591" s="201"/>
      <c r="R591" s="201"/>
      <c r="S591" s="214"/>
    </row>
    <row r="592" spans="1:19" s="217" customFormat="1" ht="15" customHeight="1">
      <c r="A592" s="209"/>
      <c r="B592" s="215" t="s">
        <v>2119</v>
      </c>
      <c r="C592" s="216"/>
      <c r="D592" s="211"/>
      <c r="E592" s="211"/>
      <c r="F592" s="202"/>
      <c r="G592" s="202"/>
      <c r="H592" s="204"/>
      <c r="I592" s="204"/>
      <c r="J592" s="202"/>
      <c r="L592" s="202"/>
      <c r="N592" s="202"/>
      <c r="O592" s="202"/>
      <c r="P592" s="202" t="s">
        <v>2120</v>
      </c>
      <c r="Q592" s="202"/>
      <c r="R592" s="202"/>
      <c r="S592" s="115"/>
    </row>
    <row r="593" spans="1:20" s="106" customFormat="1">
      <c r="A593" s="199"/>
      <c r="B593" s="136"/>
      <c r="C593" s="136"/>
      <c r="D593" s="213"/>
      <c r="E593" s="213"/>
      <c r="F593" s="201"/>
      <c r="G593" s="201"/>
      <c r="H593" s="204"/>
      <c r="I593" s="204"/>
      <c r="J593" s="201"/>
      <c r="K593" s="201"/>
      <c r="L593" s="201"/>
      <c r="M593" s="201"/>
      <c r="N593" s="201"/>
      <c r="O593" s="201"/>
      <c r="P593" s="201"/>
      <c r="Q593" s="201"/>
      <c r="R593" s="201"/>
      <c r="S593" s="214"/>
    </row>
    <row r="594" spans="1:20" s="106" customFormat="1">
      <c r="A594" s="199"/>
      <c r="B594" s="215" t="s">
        <v>2121</v>
      </c>
      <c r="C594" s="206"/>
      <c r="D594" s="207"/>
      <c r="E594" s="207"/>
      <c r="F594" s="199"/>
      <c r="G594" s="199"/>
      <c r="H594" s="204"/>
      <c r="I594" s="204"/>
      <c r="J594" s="199"/>
      <c r="L594" s="202" t="s">
        <v>2121</v>
      </c>
      <c r="M594" s="202"/>
      <c r="N594" s="202"/>
      <c r="O594" s="202"/>
      <c r="P594" s="202"/>
      <c r="Q594" s="202"/>
      <c r="R594" s="202"/>
      <c r="S594" s="109"/>
    </row>
    <row r="595" spans="1:20" s="106" customFormat="1">
      <c r="A595" s="199"/>
      <c r="B595" s="136"/>
      <c r="C595" s="136"/>
      <c r="D595" s="213"/>
      <c r="E595" s="213"/>
      <c r="F595" s="201"/>
      <c r="G595" s="201"/>
      <c r="H595" s="204"/>
      <c r="I595" s="204"/>
      <c r="J595" s="201"/>
      <c r="K595" s="201"/>
      <c r="L595" s="201"/>
      <c r="M595" s="201"/>
      <c r="N595" s="201"/>
      <c r="O595" s="201"/>
      <c r="P595" s="201"/>
      <c r="Q595" s="201"/>
      <c r="R595" s="201"/>
      <c r="S595" s="214"/>
    </row>
    <row r="596" spans="1:20" s="106" customFormat="1">
      <c r="A596" s="199"/>
      <c r="B596" s="136"/>
      <c r="C596" s="136"/>
      <c r="D596" s="213"/>
      <c r="E596" s="213"/>
      <c r="F596" s="201"/>
      <c r="G596" s="201"/>
      <c r="H596" s="204"/>
      <c r="I596" s="204"/>
      <c r="J596" s="201"/>
      <c r="K596" s="201"/>
      <c r="L596" s="201"/>
      <c r="M596" s="201"/>
      <c r="N596" s="201"/>
      <c r="O596" s="201"/>
      <c r="P596" s="201"/>
      <c r="Q596" s="201"/>
      <c r="R596" s="201"/>
      <c r="S596" s="214"/>
    </row>
    <row r="597" spans="1:20" s="106" customFormat="1">
      <c r="A597" s="199"/>
      <c r="B597" s="136"/>
      <c r="C597" s="136"/>
      <c r="D597" s="213"/>
      <c r="E597" s="213"/>
      <c r="F597" s="201"/>
      <c r="G597" s="201"/>
      <c r="H597" s="204"/>
      <c r="I597" s="204"/>
      <c r="J597" s="201"/>
      <c r="K597" s="201"/>
      <c r="L597" s="201"/>
      <c r="M597" s="201"/>
      <c r="N597" s="201"/>
      <c r="O597" s="201"/>
      <c r="P597" s="201"/>
      <c r="Q597" s="201"/>
      <c r="R597" s="201"/>
      <c r="S597" s="214"/>
    </row>
    <row r="598" spans="1:20" s="106" customFormat="1">
      <c r="A598" s="218"/>
      <c r="B598" s="105"/>
      <c r="C598" s="216"/>
      <c r="D598" s="211"/>
      <c r="E598" s="211"/>
      <c r="F598" s="202"/>
      <c r="G598" s="202"/>
      <c r="H598" s="204"/>
      <c r="I598" s="204"/>
      <c r="J598" s="202"/>
      <c r="L598" s="202"/>
      <c r="M598" s="202"/>
      <c r="Q598" s="202" t="s">
        <v>2122</v>
      </c>
      <c r="R598" s="202"/>
      <c r="S598" s="109"/>
    </row>
    <row r="599" spans="1:20" s="106" customFormat="1">
      <c r="A599" s="218"/>
      <c r="B599" s="136"/>
      <c r="C599" s="136"/>
      <c r="D599" s="213"/>
      <c r="E599" s="213"/>
      <c r="F599" s="201"/>
      <c r="G599" s="201"/>
      <c r="H599" s="204"/>
      <c r="I599" s="204"/>
      <c r="J599" s="201"/>
      <c r="K599" s="201"/>
      <c r="L599" s="201"/>
      <c r="M599" s="201"/>
      <c r="N599" s="201"/>
      <c r="O599" s="201"/>
      <c r="P599" s="201"/>
      <c r="Q599" s="201"/>
      <c r="R599" s="201"/>
      <c r="S599" s="214"/>
    </row>
    <row r="600" spans="1:20">
      <c r="A600" s="218"/>
      <c r="C600" s="219"/>
      <c r="D600" s="211"/>
      <c r="E600" s="211"/>
      <c r="F600" s="203"/>
      <c r="G600" s="203"/>
      <c r="J600" s="203"/>
      <c r="K600" s="202"/>
      <c r="L600" s="202" t="s">
        <v>2121</v>
      </c>
      <c r="M600" s="202"/>
      <c r="N600" s="202"/>
      <c r="O600" s="202"/>
      <c r="P600" s="202"/>
      <c r="Q600" s="202"/>
      <c r="R600" s="202"/>
      <c r="T600" s="108"/>
    </row>
  </sheetData>
  <mergeCells count="3">
    <mergeCell ref="A17:R17"/>
    <mergeCell ref="G78:G82"/>
    <mergeCell ref="O1:R2"/>
  </mergeCells>
  <printOptions horizontalCentered="1"/>
  <pageMargins left="0" right="0" top="0.39370078740157483" bottom="0.39370078740157483" header="0" footer="0.15748031496062992"/>
  <pageSetup paperSize="9" scale="49" fitToHeight="0" orientation="portrait" r:id="rId1"/>
  <headerFooter alignWithMargins="0"/>
  <colBreaks count="1" manualBreakCount="1">
    <brk id="18" max="60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  <pageSetUpPr fitToPage="1"/>
  </sheetPr>
  <dimension ref="A1:L924"/>
  <sheetViews>
    <sheetView showGridLines="0" zoomScale="115" zoomScaleNormal="115" zoomScaleSheetLayoutView="100" workbookViewId="0">
      <pane ySplit="2" topLeftCell="A3" activePane="bottomLeft" state="frozen"/>
      <selection activeCell="E10" sqref="E10"/>
      <selection pane="bottomLeft" sqref="A1:F1"/>
    </sheetView>
  </sheetViews>
  <sheetFormatPr defaultColWidth="17.85546875" defaultRowHeight="15"/>
  <cols>
    <col min="1" max="5" width="4" style="292" bestFit="1" customWidth="1"/>
    <col min="6" max="6" width="3" style="292" bestFit="1" customWidth="1"/>
    <col min="7" max="7" width="70.5703125" style="102" customWidth="1"/>
    <col min="8" max="9" width="14.28515625" style="377" customWidth="1"/>
    <col min="10" max="10" width="13.28515625" style="101" customWidth="1"/>
    <col min="11" max="11" width="10.28515625" style="80" customWidth="1"/>
    <col min="12" max="12" width="14.28515625" style="377" customWidth="1"/>
    <col min="13" max="168" width="10.28515625" style="80" customWidth="1"/>
    <col min="169" max="177" width="9.140625" style="80" customWidth="1"/>
    <col min="178" max="178" width="1" style="80" customWidth="1"/>
    <col min="179" max="182" width="3.28515625" style="80" customWidth="1"/>
    <col min="183" max="183" width="1.85546875" style="80" customWidth="1"/>
    <col min="184" max="16384" width="17.85546875" style="80"/>
  </cols>
  <sheetData>
    <row r="1" spans="1:12" s="59" customFormat="1" ht="13.5" customHeight="1" thickBot="1">
      <c r="A1" s="982" t="s">
        <v>120</v>
      </c>
      <c r="B1" s="983"/>
      <c r="C1" s="983"/>
      <c r="D1" s="983"/>
      <c r="E1" s="983"/>
      <c r="F1" s="984"/>
      <c r="G1" s="985" t="s">
        <v>121</v>
      </c>
      <c r="H1" s="980" t="s">
        <v>3481</v>
      </c>
      <c r="I1" s="980" t="s">
        <v>3482</v>
      </c>
      <c r="J1" s="985" t="s">
        <v>122</v>
      </c>
      <c r="L1" s="980" t="s">
        <v>3473</v>
      </c>
    </row>
    <row r="2" spans="1:12" ht="17.25" customHeight="1" thickBot="1">
      <c r="A2" s="380" t="s">
        <v>123</v>
      </c>
      <c r="B2" s="380" t="s">
        <v>124</v>
      </c>
      <c r="C2" s="380" t="s">
        <v>125</v>
      </c>
      <c r="D2" s="380" t="s">
        <v>126</v>
      </c>
      <c r="E2" s="380" t="s">
        <v>127</v>
      </c>
      <c r="F2" s="380" t="s">
        <v>128</v>
      </c>
      <c r="G2" s="986"/>
      <c r="H2" s="981"/>
      <c r="I2" s="981"/>
      <c r="J2" s="986"/>
      <c r="L2" s="981"/>
    </row>
    <row r="3" spans="1:12" s="79" customFormat="1" ht="15.75">
      <c r="A3" s="272">
        <v>300</v>
      </c>
      <c r="B3" s="93">
        <v>0</v>
      </c>
      <c r="C3" s="93">
        <v>0</v>
      </c>
      <c r="D3" s="93">
        <v>0</v>
      </c>
      <c r="E3" s="93">
        <v>0</v>
      </c>
      <c r="F3" s="93">
        <v>0</v>
      </c>
      <c r="G3" s="81" t="s">
        <v>540</v>
      </c>
      <c r="H3" s="366"/>
      <c r="I3" s="366"/>
      <c r="J3" s="82" t="s">
        <v>541</v>
      </c>
      <c r="L3" s="366"/>
    </row>
    <row r="4" spans="1:12">
      <c r="A4" s="273">
        <v>300</v>
      </c>
      <c r="B4" s="274">
        <v>100</v>
      </c>
      <c r="C4" s="274"/>
      <c r="D4" s="274"/>
      <c r="E4" s="274"/>
      <c r="F4" s="274"/>
      <c r="G4" s="63" t="s">
        <v>542</v>
      </c>
      <c r="H4" s="370"/>
      <c r="I4" s="370"/>
      <c r="J4" s="267" t="s">
        <v>543</v>
      </c>
      <c r="L4" s="370"/>
    </row>
    <row r="5" spans="1:12">
      <c r="A5" s="273">
        <v>300</v>
      </c>
      <c r="B5" s="274">
        <v>100</v>
      </c>
      <c r="C5" s="275">
        <v>100</v>
      </c>
      <c r="D5" s="275"/>
      <c r="E5" s="275"/>
      <c r="F5" s="275"/>
      <c r="G5" s="63" t="s">
        <v>544</v>
      </c>
      <c r="H5" s="370"/>
      <c r="I5" s="370"/>
      <c r="J5" s="267" t="s">
        <v>545</v>
      </c>
      <c r="L5" s="370"/>
    </row>
    <row r="6" spans="1:12" ht="25.5">
      <c r="A6" s="273">
        <v>300</v>
      </c>
      <c r="B6" s="274">
        <v>100</v>
      </c>
      <c r="C6" s="275">
        <v>100</v>
      </c>
      <c r="D6" s="276">
        <v>100</v>
      </c>
      <c r="E6" s="275"/>
      <c r="F6" s="275"/>
      <c r="G6" s="83" t="s">
        <v>548</v>
      </c>
      <c r="H6" s="367">
        <v>8695168.0800000001</v>
      </c>
      <c r="I6" s="367"/>
      <c r="J6" s="64" t="s">
        <v>547</v>
      </c>
      <c r="L6" s="367">
        <v>2929373.04</v>
      </c>
    </row>
    <row r="7" spans="1:12">
      <c r="A7" s="273">
        <v>300</v>
      </c>
      <c r="B7" s="274">
        <v>100</v>
      </c>
      <c r="C7" s="275">
        <v>100</v>
      </c>
      <c r="D7" s="276">
        <v>200</v>
      </c>
      <c r="E7" s="275"/>
      <c r="F7" s="275"/>
      <c r="G7" s="83" t="s">
        <v>549</v>
      </c>
      <c r="H7" s="367">
        <v>575263.43000000005</v>
      </c>
      <c r="I7" s="367"/>
      <c r="J7" s="64" t="s">
        <v>550</v>
      </c>
      <c r="L7" s="367">
        <v>568089.24</v>
      </c>
    </row>
    <row r="8" spans="1:12">
      <c r="A8" s="273">
        <v>300</v>
      </c>
      <c r="B8" s="274">
        <v>100</v>
      </c>
      <c r="C8" s="275">
        <v>100</v>
      </c>
      <c r="D8" s="276">
        <v>250</v>
      </c>
      <c r="E8" s="275"/>
      <c r="F8" s="275"/>
      <c r="G8" s="83" t="s">
        <v>551</v>
      </c>
      <c r="H8" s="367">
        <v>939366.8</v>
      </c>
      <c r="I8" s="367"/>
      <c r="J8" s="64" t="s">
        <v>552</v>
      </c>
      <c r="L8" s="367">
        <v>502291.62000000005</v>
      </c>
    </row>
    <row r="9" spans="1:12">
      <c r="A9" s="273">
        <v>300</v>
      </c>
      <c r="B9" s="274">
        <v>100</v>
      </c>
      <c r="C9" s="275">
        <v>100</v>
      </c>
      <c r="D9" s="276">
        <v>300</v>
      </c>
      <c r="E9" s="275"/>
      <c r="F9" s="275"/>
      <c r="G9" s="83" t="s">
        <v>553</v>
      </c>
      <c r="H9" s="366"/>
      <c r="I9" s="366"/>
      <c r="J9" s="64" t="s">
        <v>554</v>
      </c>
      <c r="L9" s="366"/>
    </row>
    <row r="10" spans="1:12" ht="25.5">
      <c r="A10" s="273">
        <v>300</v>
      </c>
      <c r="B10" s="274">
        <v>100</v>
      </c>
      <c r="C10" s="275">
        <v>100</v>
      </c>
      <c r="D10" s="276">
        <v>300</v>
      </c>
      <c r="E10" s="275">
        <v>100</v>
      </c>
      <c r="F10" s="275"/>
      <c r="G10" s="83" t="s">
        <v>555</v>
      </c>
      <c r="H10" s="367">
        <v>0</v>
      </c>
      <c r="I10" s="367"/>
      <c r="J10" s="64" t="s">
        <v>556</v>
      </c>
      <c r="L10" s="367"/>
    </row>
    <row r="11" spans="1:12" ht="25.5">
      <c r="A11" s="273">
        <v>300</v>
      </c>
      <c r="B11" s="274">
        <v>100</v>
      </c>
      <c r="C11" s="275">
        <v>100</v>
      </c>
      <c r="D11" s="276">
        <v>300</v>
      </c>
      <c r="E11" s="275">
        <v>200</v>
      </c>
      <c r="F11" s="275"/>
      <c r="G11" s="83" t="s">
        <v>557</v>
      </c>
      <c r="H11" s="367">
        <v>0</v>
      </c>
      <c r="I11" s="367"/>
      <c r="J11" s="64" t="s">
        <v>558</v>
      </c>
      <c r="L11" s="367"/>
    </row>
    <row r="12" spans="1:12">
      <c r="A12" s="273">
        <v>300</v>
      </c>
      <c r="B12" s="274">
        <v>100</v>
      </c>
      <c r="C12" s="275">
        <v>100</v>
      </c>
      <c r="D12" s="276">
        <v>300</v>
      </c>
      <c r="E12" s="275">
        <v>300</v>
      </c>
      <c r="F12" s="275"/>
      <c r="G12" s="83" t="s">
        <v>559</v>
      </c>
      <c r="H12" s="367">
        <v>0</v>
      </c>
      <c r="I12" s="367"/>
      <c r="J12" s="64" t="s">
        <v>560</v>
      </c>
      <c r="L12" s="367"/>
    </row>
    <row r="13" spans="1:12">
      <c r="A13" s="273">
        <v>300</v>
      </c>
      <c r="B13" s="274">
        <v>100</v>
      </c>
      <c r="C13" s="275">
        <v>200</v>
      </c>
      <c r="D13" s="275"/>
      <c r="E13" s="275"/>
      <c r="F13" s="275"/>
      <c r="G13" s="84" t="s">
        <v>561</v>
      </c>
      <c r="H13" s="366"/>
      <c r="I13" s="366"/>
      <c r="J13" s="85" t="s">
        <v>562</v>
      </c>
      <c r="L13" s="366"/>
    </row>
    <row r="14" spans="1:12" s="86" customFormat="1" ht="25.5">
      <c r="A14" s="277">
        <v>300</v>
      </c>
      <c r="B14" s="275">
        <v>100</v>
      </c>
      <c r="C14" s="275">
        <v>200</v>
      </c>
      <c r="D14" s="276">
        <v>100</v>
      </c>
      <c r="E14" s="276"/>
      <c r="F14" s="276"/>
      <c r="G14" s="83" t="s">
        <v>563</v>
      </c>
      <c r="H14" s="367">
        <v>0</v>
      </c>
      <c r="I14" s="367"/>
      <c r="J14" s="85" t="s">
        <v>564</v>
      </c>
      <c r="L14" s="367"/>
    </row>
    <row r="15" spans="1:12" ht="25.5">
      <c r="A15" s="273">
        <v>300</v>
      </c>
      <c r="B15" s="274">
        <v>100</v>
      </c>
      <c r="C15" s="275">
        <v>200</v>
      </c>
      <c r="D15" s="276">
        <v>200</v>
      </c>
      <c r="E15" s="275"/>
      <c r="F15" s="275"/>
      <c r="G15" s="83" t="s">
        <v>565</v>
      </c>
      <c r="H15" s="367">
        <v>0</v>
      </c>
      <c r="I15" s="367"/>
      <c r="J15" s="64" t="s">
        <v>566</v>
      </c>
      <c r="L15" s="367"/>
    </row>
    <row r="16" spans="1:12">
      <c r="A16" s="273">
        <v>300</v>
      </c>
      <c r="B16" s="274">
        <v>100</v>
      </c>
      <c r="C16" s="275">
        <v>200</v>
      </c>
      <c r="D16" s="276">
        <v>300</v>
      </c>
      <c r="E16" s="275"/>
      <c r="F16" s="275"/>
      <c r="G16" s="83" t="s">
        <v>567</v>
      </c>
      <c r="H16" s="367">
        <v>0</v>
      </c>
      <c r="I16" s="367"/>
      <c r="J16" s="64" t="s">
        <v>568</v>
      </c>
      <c r="L16" s="367"/>
    </row>
    <row r="17" spans="1:12">
      <c r="A17" s="273">
        <v>300</v>
      </c>
      <c r="B17" s="274">
        <v>100</v>
      </c>
      <c r="C17" s="275">
        <v>300</v>
      </c>
      <c r="D17" s="275"/>
      <c r="E17" s="275"/>
      <c r="F17" s="275"/>
      <c r="G17" s="63" t="s">
        <v>569</v>
      </c>
      <c r="H17" s="366"/>
      <c r="I17" s="366"/>
      <c r="J17" s="64" t="s">
        <v>570</v>
      </c>
      <c r="L17" s="366"/>
    </row>
    <row r="18" spans="1:12">
      <c r="A18" s="273">
        <v>300</v>
      </c>
      <c r="B18" s="274">
        <v>100</v>
      </c>
      <c r="C18" s="275">
        <v>300</v>
      </c>
      <c r="D18" s="276">
        <v>100</v>
      </c>
      <c r="E18" s="275"/>
      <c r="F18" s="275"/>
      <c r="G18" s="66" t="s">
        <v>571</v>
      </c>
      <c r="H18" s="367">
        <v>20768576.379999999</v>
      </c>
      <c r="I18" s="367"/>
      <c r="J18" s="64" t="s">
        <v>572</v>
      </c>
      <c r="L18" s="367">
        <v>16992987.704000004</v>
      </c>
    </row>
    <row r="19" spans="1:12">
      <c r="A19" s="273">
        <v>300</v>
      </c>
      <c r="B19" s="274">
        <v>100</v>
      </c>
      <c r="C19" s="275">
        <v>300</v>
      </c>
      <c r="D19" s="276">
        <v>200</v>
      </c>
      <c r="E19" s="275"/>
      <c r="F19" s="275"/>
      <c r="G19" s="83" t="s">
        <v>573</v>
      </c>
      <c r="H19" s="367">
        <v>2786138.09</v>
      </c>
      <c r="I19" s="367"/>
      <c r="J19" s="64" t="s">
        <v>574</v>
      </c>
      <c r="L19" s="367">
        <v>2915738.3899999997</v>
      </c>
    </row>
    <row r="20" spans="1:12">
      <c r="A20" s="273">
        <v>300</v>
      </c>
      <c r="B20" s="274">
        <v>100</v>
      </c>
      <c r="C20" s="275">
        <v>300</v>
      </c>
      <c r="D20" s="276">
        <v>300</v>
      </c>
      <c r="E20" s="275"/>
      <c r="F20" s="275"/>
      <c r="G20" s="83" t="s">
        <v>575</v>
      </c>
      <c r="H20" s="367">
        <v>16153149.060000001</v>
      </c>
      <c r="I20" s="367"/>
      <c r="J20" s="64" t="s">
        <v>576</v>
      </c>
      <c r="L20" s="367">
        <v>13537924.460000001</v>
      </c>
    </row>
    <row r="21" spans="1:12">
      <c r="A21" s="273">
        <v>300</v>
      </c>
      <c r="B21" s="274">
        <v>100</v>
      </c>
      <c r="C21" s="276">
        <v>400</v>
      </c>
      <c r="D21" s="275"/>
      <c r="E21" s="275"/>
      <c r="F21" s="275"/>
      <c r="G21" s="66" t="s">
        <v>577</v>
      </c>
      <c r="H21" s="367">
        <v>114269.39</v>
      </c>
      <c r="I21" s="367"/>
      <c r="J21" s="64" t="s">
        <v>578</v>
      </c>
      <c r="L21" s="367">
        <v>4253.03</v>
      </c>
    </row>
    <row r="22" spans="1:12">
      <c r="A22" s="273">
        <v>300</v>
      </c>
      <c r="B22" s="274">
        <v>100</v>
      </c>
      <c r="C22" s="276">
        <v>500</v>
      </c>
      <c r="D22" s="275"/>
      <c r="E22" s="275"/>
      <c r="F22" s="275"/>
      <c r="G22" s="83" t="s">
        <v>579</v>
      </c>
      <c r="H22" s="367">
        <v>313172.95</v>
      </c>
      <c r="I22" s="367"/>
      <c r="J22" s="64" t="s">
        <v>580</v>
      </c>
      <c r="L22" s="367">
        <v>0</v>
      </c>
    </row>
    <row r="23" spans="1:12">
      <c r="A23" s="273">
        <v>300</v>
      </c>
      <c r="B23" s="274">
        <v>100</v>
      </c>
      <c r="C23" s="276">
        <v>600</v>
      </c>
      <c r="D23" s="275"/>
      <c r="E23" s="275"/>
      <c r="F23" s="275"/>
      <c r="G23" s="66" t="s">
        <v>581</v>
      </c>
      <c r="H23" s="367">
        <v>47976.99</v>
      </c>
      <c r="I23" s="367"/>
      <c r="J23" s="64" t="s">
        <v>582</v>
      </c>
      <c r="L23" s="367">
        <v>3316.78</v>
      </c>
    </row>
    <row r="24" spans="1:12">
      <c r="A24" s="273">
        <v>300</v>
      </c>
      <c r="B24" s="274">
        <v>100</v>
      </c>
      <c r="C24" s="276">
        <v>700</v>
      </c>
      <c r="D24" s="275"/>
      <c r="E24" s="275"/>
      <c r="F24" s="275"/>
      <c r="G24" s="83" t="s">
        <v>583</v>
      </c>
      <c r="H24" s="367">
        <v>1695.35</v>
      </c>
      <c r="I24" s="367"/>
      <c r="J24" s="64" t="s">
        <v>584</v>
      </c>
      <c r="L24" s="367">
        <v>0</v>
      </c>
    </row>
    <row r="25" spans="1:12">
      <c r="A25" s="273">
        <v>300</v>
      </c>
      <c r="B25" s="274">
        <v>100</v>
      </c>
      <c r="C25" s="276">
        <v>800</v>
      </c>
      <c r="D25" s="275"/>
      <c r="E25" s="275"/>
      <c r="F25" s="275"/>
      <c r="G25" s="83" t="s">
        <v>585</v>
      </c>
      <c r="H25" s="367">
        <v>1163713.83</v>
      </c>
      <c r="I25" s="367"/>
      <c r="J25" s="64" t="s">
        <v>586</v>
      </c>
      <c r="L25" s="367">
        <v>789640.75400000007</v>
      </c>
    </row>
    <row r="26" spans="1:12">
      <c r="A26" s="273">
        <v>300</v>
      </c>
      <c r="B26" s="274">
        <v>100</v>
      </c>
      <c r="C26" s="275">
        <v>900</v>
      </c>
      <c r="D26" s="275"/>
      <c r="E26" s="275"/>
      <c r="F26" s="275"/>
      <c r="G26" s="63" t="s">
        <v>587</v>
      </c>
      <c r="H26" s="366"/>
      <c r="I26" s="366"/>
      <c r="J26" s="64" t="s">
        <v>588</v>
      </c>
      <c r="L26" s="366"/>
    </row>
    <row r="27" spans="1:12">
      <c r="A27" s="273"/>
      <c r="B27" s="274"/>
      <c r="C27" s="275"/>
      <c r="D27" s="278"/>
      <c r="E27" s="278"/>
      <c r="F27" s="278"/>
      <c r="G27" s="270" t="s">
        <v>544</v>
      </c>
      <c r="H27" s="366"/>
      <c r="I27" s="366"/>
      <c r="J27" s="64" t="s">
        <v>589</v>
      </c>
      <c r="L27" s="366"/>
    </row>
    <row r="28" spans="1:12" ht="25.5">
      <c r="A28" s="273">
        <v>300</v>
      </c>
      <c r="B28" s="274">
        <v>100</v>
      </c>
      <c r="C28" s="275">
        <v>900</v>
      </c>
      <c r="D28" s="279">
        <v>50</v>
      </c>
      <c r="E28" s="278"/>
      <c r="F28" s="278"/>
      <c r="G28" s="270" t="s">
        <v>546</v>
      </c>
      <c r="H28" s="367">
        <v>59627251.609999999</v>
      </c>
      <c r="I28" s="367"/>
      <c r="J28" s="64" t="s">
        <v>589</v>
      </c>
      <c r="L28" s="367">
        <v>42335223.649999999</v>
      </c>
    </row>
    <row r="29" spans="1:12">
      <c r="A29" s="273">
        <v>300</v>
      </c>
      <c r="B29" s="274">
        <v>100</v>
      </c>
      <c r="C29" s="275">
        <v>900</v>
      </c>
      <c r="D29" s="279">
        <v>100</v>
      </c>
      <c r="E29" s="278"/>
      <c r="F29" s="278"/>
      <c r="G29" s="268" t="s">
        <v>549</v>
      </c>
      <c r="H29" s="367">
        <v>592200.29</v>
      </c>
      <c r="I29" s="367"/>
      <c r="J29" s="64" t="s">
        <v>589</v>
      </c>
      <c r="L29" s="367">
        <v>423355.38</v>
      </c>
    </row>
    <row r="30" spans="1:12">
      <c r="A30" s="273">
        <v>300</v>
      </c>
      <c r="B30" s="274">
        <v>100</v>
      </c>
      <c r="C30" s="275">
        <v>900</v>
      </c>
      <c r="D30" s="279">
        <v>150</v>
      </c>
      <c r="E30" s="278"/>
      <c r="F30" s="278"/>
      <c r="G30" s="268" t="s">
        <v>553</v>
      </c>
      <c r="H30" s="371"/>
      <c r="I30" s="371"/>
      <c r="J30" s="64" t="s">
        <v>589</v>
      </c>
      <c r="L30" s="371"/>
    </row>
    <row r="31" spans="1:12">
      <c r="A31" s="273"/>
      <c r="B31" s="274"/>
      <c r="C31" s="275"/>
      <c r="D31" s="279"/>
      <c r="E31" s="278"/>
      <c r="F31" s="278"/>
      <c r="G31" s="270" t="s">
        <v>569</v>
      </c>
      <c r="H31" s="366"/>
      <c r="I31" s="366"/>
      <c r="J31" s="64" t="s">
        <v>590</v>
      </c>
      <c r="L31" s="366"/>
    </row>
    <row r="32" spans="1:12">
      <c r="A32" s="273">
        <v>300</v>
      </c>
      <c r="B32" s="274">
        <v>100</v>
      </c>
      <c r="C32" s="275">
        <v>900</v>
      </c>
      <c r="D32" s="279">
        <v>200</v>
      </c>
      <c r="E32" s="278"/>
      <c r="F32" s="278"/>
      <c r="G32" s="268" t="s">
        <v>571</v>
      </c>
      <c r="H32" s="367">
        <v>17130149.440000001</v>
      </c>
      <c r="I32" s="367"/>
      <c r="J32" s="64" t="s">
        <v>590</v>
      </c>
      <c r="L32" s="367">
        <v>17346380.299199995</v>
      </c>
    </row>
    <row r="33" spans="1:12">
      <c r="A33" s="273">
        <v>300</v>
      </c>
      <c r="B33" s="274">
        <v>100</v>
      </c>
      <c r="C33" s="275">
        <v>900</v>
      </c>
      <c r="D33" s="279">
        <v>250</v>
      </c>
      <c r="E33" s="278"/>
      <c r="F33" s="278"/>
      <c r="G33" s="270" t="s">
        <v>573</v>
      </c>
      <c r="H33" s="367">
        <v>4330</v>
      </c>
      <c r="I33" s="367"/>
      <c r="J33" s="64" t="s">
        <v>590</v>
      </c>
      <c r="L33" s="367">
        <v>4503.2</v>
      </c>
    </row>
    <row r="34" spans="1:12">
      <c r="A34" s="273">
        <v>300</v>
      </c>
      <c r="B34" s="274">
        <v>100</v>
      </c>
      <c r="C34" s="275">
        <v>900</v>
      </c>
      <c r="D34" s="279">
        <v>300</v>
      </c>
      <c r="E34" s="278"/>
      <c r="F34" s="278"/>
      <c r="G34" s="268" t="s">
        <v>575</v>
      </c>
      <c r="H34" s="367">
        <v>749078.84</v>
      </c>
      <c r="I34" s="367"/>
      <c r="J34" s="64" t="s">
        <v>590</v>
      </c>
      <c r="L34" s="367">
        <v>262895.99260000006</v>
      </c>
    </row>
    <row r="35" spans="1:12">
      <c r="A35" s="273">
        <v>300</v>
      </c>
      <c r="B35" s="274">
        <v>100</v>
      </c>
      <c r="C35" s="275">
        <v>900</v>
      </c>
      <c r="D35" s="279">
        <v>350</v>
      </c>
      <c r="E35" s="278"/>
      <c r="F35" s="278"/>
      <c r="G35" s="268" t="s">
        <v>577</v>
      </c>
      <c r="H35" s="367">
        <v>664683.64</v>
      </c>
      <c r="I35" s="367"/>
      <c r="J35" s="64" t="s">
        <v>591</v>
      </c>
      <c r="L35" s="367">
        <v>168556.21180000002</v>
      </c>
    </row>
    <row r="36" spans="1:12">
      <c r="A36" s="273">
        <v>300</v>
      </c>
      <c r="B36" s="274">
        <v>100</v>
      </c>
      <c r="C36" s="275">
        <v>900</v>
      </c>
      <c r="D36" s="279">
        <v>400</v>
      </c>
      <c r="E36" s="278"/>
      <c r="F36" s="278"/>
      <c r="G36" s="270" t="s">
        <v>579</v>
      </c>
      <c r="H36" s="367">
        <v>3201837.32</v>
      </c>
      <c r="I36" s="367"/>
      <c r="J36" s="64" t="s">
        <v>592</v>
      </c>
      <c r="L36" s="367">
        <v>81439.37</v>
      </c>
    </row>
    <row r="37" spans="1:12">
      <c r="A37" s="273">
        <v>300</v>
      </c>
      <c r="B37" s="274">
        <v>100</v>
      </c>
      <c r="C37" s="275">
        <v>900</v>
      </c>
      <c r="D37" s="279">
        <v>450</v>
      </c>
      <c r="E37" s="278"/>
      <c r="F37" s="278"/>
      <c r="G37" s="268" t="s">
        <v>581</v>
      </c>
      <c r="H37" s="367"/>
      <c r="I37" s="367"/>
      <c r="J37" s="64" t="s">
        <v>593</v>
      </c>
      <c r="L37" s="367">
        <v>0</v>
      </c>
    </row>
    <row r="38" spans="1:12" s="86" customFormat="1" ht="12.75">
      <c r="A38" s="273">
        <v>300</v>
      </c>
      <c r="B38" s="274">
        <v>100</v>
      </c>
      <c r="C38" s="275">
        <v>900</v>
      </c>
      <c r="D38" s="279">
        <v>500</v>
      </c>
      <c r="E38" s="278"/>
      <c r="F38" s="278"/>
      <c r="G38" s="270" t="s">
        <v>583</v>
      </c>
      <c r="H38" s="367">
        <v>9365.64</v>
      </c>
      <c r="I38" s="367"/>
      <c r="J38" s="64" t="s">
        <v>594</v>
      </c>
      <c r="L38" s="367"/>
    </row>
    <row r="39" spans="1:12">
      <c r="A39" s="277">
        <v>300</v>
      </c>
      <c r="B39" s="275">
        <v>100</v>
      </c>
      <c r="C39" s="275">
        <v>900</v>
      </c>
      <c r="D39" s="276">
        <v>900</v>
      </c>
      <c r="E39" s="276"/>
      <c r="F39" s="276"/>
      <c r="G39" s="268" t="s">
        <v>595</v>
      </c>
      <c r="H39" s="371">
        <v>812926.85</v>
      </c>
      <c r="I39" s="371"/>
      <c r="J39" s="64" t="s">
        <v>596</v>
      </c>
      <c r="L39" s="371">
        <v>810758.44799999997</v>
      </c>
    </row>
    <row r="40" spans="1:12">
      <c r="A40" s="273">
        <v>300</v>
      </c>
      <c r="B40" s="274">
        <v>200</v>
      </c>
      <c r="C40" s="275"/>
      <c r="D40" s="275"/>
      <c r="E40" s="276"/>
      <c r="F40" s="276"/>
      <c r="G40" s="87" t="s">
        <v>597</v>
      </c>
      <c r="H40" s="366"/>
      <c r="I40" s="366"/>
      <c r="J40" s="64" t="s">
        <v>598</v>
      </c>
      <c r="L40" s="366"/>
    </row>
    <row r="41" spans="1:12">
      <c r="A41" s="273">
        <v>300</v>
      </c>
      <c r="B41" s="274">
        <v>200</v>
      </c>
      <c r="C41" s="276">
        <v>100</v>
      </c>
      <c r="D41" s="275"/>
      <c r="E41" s="275"/>
      <c r="F41" s="275"/>
      <c r="G41" s="83" t="s">
        <v>599</v>
      </c>
      <c r="H41" s="367">
        <v>52098.42</v>
      </c>
      <c r="I41" s="367"/>
      <c r="J41" s="64" t="s">
        <v>600</v>
      </c>
      <c r="L41" s="367">
        <v>24440.43</v>
      </c>
    </row>
    <row r="42" spans="1:12">
      <c r="A42" s="273">
        <v>300</v>
      </c>
      <c r="B42" s="274">
        <v>200</v>
      </c>
      <c r="C42" s="276">
        <v>200</v>
      </c>
      <c r="D42" s="275"/>
      <c r="E42" s="275"/>
      <c r="F42" s="275"/>
      <c r="G42" s="66" t="s">
        <v>601</v>
      </c>
      <c r="H42" s="367">
        <v>2258654.13</v>
      </c>
      <c r="I42" s="367"/>
      <c r="J42" s="64" t="s">
        <v>602</v>
      </c>
      <c r="L42" s="367">
        <v>246033.326</v>
      </c>
    </row>
    <row r="43" spans="1:12" s="58" customFormat="1" ht="12.75">
      <c r="A43" s="273">
        <v>300</v>
      </c>
      <c r="B43" s="274">
        <v>200</v>
      </c>
      <c r="C43" s="276">
        <v>300</v>
      </c>
      <c r="D43" s="275"/>
      <c r="E43" s="275"/>
      <c r="F43" s="275"/>
      <c r="G43" s="83" t="s">
        <v>603</v>
      </c>
      <c r="H43" s="367">
        <v>353363.55</v>
      </c>
      <c r="I43" s="367"/>
      <c r="J43" s="64" t="s">
        <v>604</v>
      </c>
      <c r="L43" s="367">
        <v>99762.880000000005</v>
      </c>
    </row>
    <row r="44" spans="1:12" s="86" customFormat="1" ht="12.75">
      <c r="A44" s="273">
        <v>300</v>
      </c>
      <c r="B44" s="274">
        <v>200</v>
      </c>
      <c r="C44" s="275">
        <v>400</v>
      </c>
      <c r="D44" s="275"/>
      <c r="E44" s="275"/>
      <c r="F44" s="275"/>
      <c r="G44" s="63" t="s">
        <v>605</v>
      </c>
      <c r="H44" s="366"/>
      <c r="I44" s="366"/>
      <c r="J44" s="64" t="s">
        <v>606</v>
      </c>
      <c r="L44" s="366"/>
    </row>
    <row r="45" spans="1:12" s="86" customFormat="1" ht="12.75">
      <c r="A45" s="273">
        <v>300</v>
      </c>
      <c r="B45" s="274">
        <v>200</v>
      </c>
      <c r="C45" s="275">
        <v>400</v>
      </c>
      <c r="D45" s="279">
        <v>100</v>
      </c>
      <c r="E45" s="278"/>
      <c r="F45" s="278"/>
      <c r="G45" s="83" t="s">
        <v>607</v>
      </c>
      <c r="H45" s="367">
        <v>477129.09</v>
      </c>
      <c r="I45" s="367"/>
      <c r="J45" s="70"/>
      <c r="L45" s="367">
        <v>194169.88</v>
      </c>
    </row>
    <row r="46" spans="1:12" s="86" customFormat="1" ht="12.75">
      <c r="A46" s="273">
        <v>300</v>
      </c>
      <c r="B46" s="274">
        <v>200</v>
      </c>
      <c r="C46" s="275">
        <v>400</v>
      </c>
      <c r="D46" s="279">
        <v>200</v>
      </c>
      <c r="E46" s="278"/>
      <c r="F46" s="278"/>
      <c r="G46" s="66" t="s">
        <v>608</v>
      </c>
      <c r="H46" s="367">
        <v>57007.5</v>
      </c>
      <c r="I46" s="367"/>
      <c r="J46" s="70"/>
      <c r="L46" s="367">
        <v>40059.279999999999</v>
      </c>
    </row>
    <row r="47" spans="1:12">
      <c r="A47" s="273">
        <v>300</v>
      </c>
      <c r="B47" s="274">
        <v>200</v>
      </c>
      <c r="C47" s="275">
        <v>400</v>
      </c>
      <c r="D47" s="279">
        <v>300</v>
      </c>
      <c r="E47" s="278"/>
      <c r="F47" s="278"/>
      <c r="G47" s="83" t="s">
        <v>609</v>
      </c>
      <c r="H47" s="367">
        <v>108757.12</v>
      </c>
      <c r="I47" s="367"/>
      <c r="J47" s="70"/>
      <c r="L47" s="367">
        <v>2435.92</v>
      </c>
    </row>
    <row r="48" spans="1:12" s="86" customFormat="1" ht="12.75">
      <c r="A48" s="273">
        <v>300</v>
      </c>
      <c r="B48" s="274">
        <v>200</v>
      </c>
      <c r="C48" s="275">
        <v>500</v>
      </c>
      <c r="D48" s="275"/>
      <c r="E48" s="275"/>
      <c r="F48" s="275"/>
      <c r="G48" s="63" t="s">
        <v>610</v>
      </c>
      <c r="H48" s="366"/>
      <c r="I48" s="366"/>
      <c r="J48" s="64" t="s">
        <v>611</v>
      </c>
      <c r="L48" s="366"/>
    </row>
    <row r="49" spans="1:12" s="86" customFormat="1" ht="12.75">
      <c r="A49" s="273">
        <v>300</v>
      </c>
      <c r="B49" s="274">
        <v>200</v>
      </c>
      <c r="C49" s="275">
        <v>500</v>
      </c>
      <c r="D49" s="279">
        <v>100</v>
      </c>
      <c r="E49" s="278"/>
      <c r="F49" s="278"/>
      <c r="G49" s="83" t="s">
        <v>612</v>
      </c>
      <c r="H49" s="367">
        <v>754807.82</v>
      </c>
      <c r="I49" s="367"/>
      <c r="J49" s="68"/>
      <c r="L49" s="367">
        <v>619373.26</v>
      </c>
    </row>
    <row r="50" spans="1:12">
      <c r="A50" s="273">
        <v>300</v>
      </c>
      <c r="B50" s="274">
        <v>200</v>
      </c>
      <c r="C50" s="275">
        <v>500</v>
      </c>
      <c r="D50" s="279">
        <v>200</v>
      </c>
      <c r="E50" s="278"/>
      <c r="F50" s="278"/>
      <c r="G50" s="66" t="s">
        <v>613</v>
      </c>
      <c r="H50" s="367">
        <v>494311.61</v>
      </c>
      <c r="I50" s="367"/>
      <c r="J50" s="68"/>
      <c r="L50" s="367">
        <v>256168.29</v>
      </c>
    </row>
    <row r="51" spans="1:12">
      <c r="A51" s="273">
        <v>300</v>
      </c>
      <c r="B51" s="274">
        <v>200</v>
      </c>
      <c r="C51" s="276">
        <v>600</v>
      </c>
      <c r="D51" s="275"/>
      <c r="E51" s="275"/>
      <c r="F51" s="275"/>
      <c r="G51" s="83" t="s">
        <v>614</v>
      </c>
      <c r="H51" s="367">
        <v>183564.93</v>
      </c>
      <c r="I51" s="367"/>
      <c r="J51" s="64" t="s">
        <v>615</v>
      </c>
      <c r="L51" s="367">
        <v>67964.38</v>
      </c>
    </row>
    <row r="52" spans="1:12">
      <c r="A52" s="273">
        <v>300</v>
      </c>
      <c r="B52" s="274">
        <v>200</v>
      </c>
      <c r="C52" s="275">
        <v>700</v>
      </c>
      <c r="D52" s="275"/>
      <c r="E52" s="275"/>
      <c r="F52" s="275"/>
      <c r="G52" s="63" t="s">
        <v>616</v>
      </c>
      <c r="H52" s="366"/>
      <c r="I52" s="366"/>
      <c r="J52" s="64" t="s">
        <v>617</v>
      </c>
      <c r="L52" s="366"/>
    </row>
    <row r="53" spans="1:12">
      <c r="A53" s="273">
        <v>300</v>
      </c>
      <c r="B53" s="274">
        <v>200</v>
      </c>
      <c r="C53" s="275">
        <v>700</v>
      </c>
      <c r="D53" s="279">
        <v>100</v>
      </c>
      <c r="E53" s="278"/>
      <c r="F53" s="278"/>
      <c r="G53" s="66" t="s">
        <v>599</v>
      </c>
      <c r="H53" s="367">
        <v>800.51</v>
      </c>
      <c r="I53" s="367"/>
      <c r="J53" s="64"/>
      <c r="L53" s="367">
        <v>69.8</v>
      </c>
    </row>
    <row r="54" spans="1:12">
      <c r="A54" s="273">
        <v>300</v>
      </c>
      <c r="B54" s="274">
        <v>200</v>
      </c>
      <c r="C54" s="275">
        <v>700</v>
      </c>
      <c r="D54" s="279">
        <v>200</v>
      </c>
      <c r="E54" s="278"/>
      <c r="F54" s="278"/>
      <c r="G54" s="66" t="s">
        <v>601</v>
      </c>
      <c r="H54" s="367">
        <v>5963901.9500000002</v>
      </c>
      <c r="I54" s="367"/>
      <c r="J54" s="64"/>
      <c r="L54" s="367">
        <v>2102880.7059999998</v>
      </c>
    </row>
    <row r="55" spans="1:12">
      <c r="A55" s="273">
        <v>300</v>
      </c>
      <c r="B55" s="274">
        <v>200</v>
      </c>
      <c r="C55" s="275">
        <v>700</v>
      </c>
      <c r="D55" s="279">
        <v>300</v>
      </c>
      <c r="E55" s="278"/>
      <c r="F55" s="278"/>
      <c r="G55" s="66" t="s">
        <v>603</v>
      </c>
      <c r="H55" s="367"/>
      <c r="I55" s="367"/>
      <c r="J55" s="64"/>
      <c r="L55" s="367">
        <v>352885.174</v>
      </c>
    </row>
    <row r="56" spans="1:12">
      <c r="A56" s="273">
        <v>300</v>
      </c>
      <c r="B56" s="274">
        <v>200</v>
      </c>
      <c r="C56" s="275">
        <v>700</v>
      </c>
      <c r="D56" s="279">
        <v>400</v>
      </c>
      <c r="E56" s="278"/>
      <c r="F56" s="278"/>
      <c r="G56" s="66" t="s">
        <v>605</v>
      </c>
      <c r="H56" s="367">
        <v>446301.33</v>
      </c>
      <c r="I56" s="367"/>
      <c r="J56" s="64"/>
      <c r="L56" s="367">
        <v>3357.89</v>
      </c>
    </row>
    <row r="57" spans="1:12" s="86" customFormat="1" ht="12.75">
      <c r="A57" s="273">
        <v>300</v>
      </c>
      <c r="B57" s="274">
        <v>200</v>
      </c>
      <c r="C57" s="275">
        <v>700</v>
      </c>
      <c r="D57" s="279">
        <v>500</v>
      </c>
      <c r="E57" s="278"/>
      <c r="F57" s="278"/>
      <c r="G57" s="66" t="s">
        <v>610</v>
      </c>
      <c r="H57" s="367">
        <v>2991.05</v>
      </c>
      <c r="I57" s="367"/>
      <c r="J57" s="64"/>
      <c r="L57" s="367">
        <v>17108.48</v>
      </c>
    </row>
    <row r="58" spans="1:12" s="79" customFormat="1" ht="12.75" customHeight="1">
      <c r="A58" s="277">
        <v>300</v>
      </c>
      <c r="B58" s="275">
        <v>200</v>
      </c>
      <c r="C58" s="275">
        <v>700</v>
      </c>
      <c r="D58" s="276">
        <v>900</v>
      </c>
      <c r="E58" s="276"/>
      <c r="F58" s="276"/>
      <c r="G58" s="83" t="s">
        <v>618</v>
      </c>
      <c r="H58" s="367">
        <v>16380.78</v>
      </c>
      <c r="I58" s="367"/>
      <c r="J58" s="85"/>
      <c r="L58" s="367">
        <v>17108.48</v>
      </c>
    </row>
    <row r="59" spans="1:12">
      <c r="A59" s="272">
        <v>305</v>
      </c>
      <c r="B59" s="93">
        <v>0</v>
      </c>
      <c r="C59" s="93">
        <v>0</v>
      </c>
      <c r="D59" s="93">
        <v>0</v>
      </c>
      <c r="E59" s="93">
        <v>0</v>
      </c>
      <c r="F59" s="93">
        <v>0</v>
      </c>
      <c r="G59" s="81" t="s">
        <v>619</v>
      </c>
      <c r="H59" s="366"/>
      <c r="I59" s="366"/>
      <c r="J59" s="61" t="s">
        <v>620</v>
      </c>
      <c r="L59" s="366"/>
    </row>
    <row r="60" spans="1:12">
      <c r="A60" s="277">
        <v>305</v>
      </c>
      <c r="B60" s="275">
        <v>100</v>
      </c>
      <c r="C60" s="275"/>
      <c r="D60" s="275"/>
      <c r="E60" s="275"/>
      <c r="F60" s="275"/>
      <c r="G60" s="63" t="s">
        <v>621</v>
      </c>
      <c r="H60" s="366"/>
      <c r="I60" s="366"/>
      <c r="J60" s="64" t="s">
        <v>622</v>
      </c>
      <c r="L60" s="366"/>
    </row>
    <row r="61" spans="1:12">
      <c r="A61" s="277">
        <v>305</v>
      </c>
      <c r="B61" s="275">
        <v>100</v>
      </c>
      <c r="C61" s="275">
        <v>50</v>
      </c>
      <c r="D61" s="275"/>
      <c r="E61" s="275"/>
      <c r="F61" s="275"/>
      <c r="G61" s="63" t="s">
        <v>623</v>
      </c>
      <c r="H61" s="366"/>
      <c r="I61" s="366"/>
      <c r="J61" s="64" t="s">
        <v>624</v>
      </c>
      <c r="L61" s="366"/>
    </row>
    <row r="62" spans="1:12">
      <c r="A62" s="277">
        <v>305</v>
      </c>
      <c r="B62" s="275">
        <v>100</v>
      </c>
      <c r="C62" s="275">
        <v>50</v>
      </c>
      <c r="D62" s="275">
        <v>100</v>
      </c>
      <c r="E62" s="275"/>
      <c r="F62" s="275"/>
      <c r="G62" s="88" t="s">
        <v>625</v>
      </c>
      <c r="H62" s="366"/>
      <c r="I62" s="366"/>
      <c r="J62" s="64" t="s">
        <v>626</v>
      </c>
      <c r="L62" s="366"/>
    </row>
    <row r="63" spans="1:12" s="86" customFormat="1" ht="12.75">
      <c r="A63" s="277">
        <v>305</v>
      </c>
      <c r="B63" s="275">
        <v>100</v>
      </c>
      <c r="C63" s="275">
        <v>50</v>
      </c>
      <c r="D63" s="275">
        <v>100</v>
      </c>
      <c r="E63" s="275">
        <v>10</v>
      </c>
      <c r="F63" s="275"/>
      <c r="G63" s="63" t="s">
        <v>627</v>
      </c>
      <c r="H63" s="366"/>
      <c r="I63" s="366"/>
      <c r="J63" s="64" t="s">
        <v>628</v>
      </c>
      <c r="L63" s="366"/>
    </row>
    <row r="64" spans="1:12" s="86" customFormat="1" ht="12.75">
      <c r="A64" s="277">
        <v>305</v>
      </c>
      <c r="B64" s="275">
        <v>100</v>
      </c>
      <c r="C64" s="275">
        <v>50</v>
      </c>
      <c r="D64" s="275">
        <v>100</v>
      </c>
      <c r="E64" s="275">
        <v>10</v>
      </c>
      <c r="F64" s="276">
        <v>5</v>
      </c>
      <c r="G64" s="66" t="s">
        <v>629</v>
      </c>
      <c r="H64" s="367">
        <v>17447870.690000001</v>
      </c>
      <c r="I64" s="367"/>
      <c r="J64" s="64"/>
      <c r="L64" s="367"/>
    </row>
    <row r="65" spans="1:12" s="86" customFormat="1" ht="12.75">
      <c r="A65" s="277">
        <v>305</v>
      </c>
      <c r="B65" s="275">
        <v>100</v>
      </c>
      <c r="C65" s="275">
        <v>50</v>
      </c>
      <c r="D65" s="275">
        <v>100</v>
      </c>
      <c r="E65" s="275">
        <v>10</v>
      </c>
      <c r="F65" s="276">
        <v>10</v>
      </c>
      <c r="G65" s="66" t="s">
        <v>630</v>
      </c>
      <c r="H65" s="367">
        <v>1187066.5</v>
      </c>
      <c r="I65" s="367"/>
      <c r="J65" s="64"/>
      <c r="L65" s="367"/>
    </row>
    <row r="66" spans="1:12" s="86" customFormat="1" ht="12.75">
      <c r="A66" s="277">
        <v>305</v>
      </c>
      <c r="B66" s="275">
        <v>100</v>
      </c>
      <c r="C66" s="275">
        <v>50</v>
      </c>
      <c r="D66" s="275">
        <v>100</v>
      </c>
      <c r="E66" s="275">
        <v>10</v>
      </c>
      <c r="F66" s="276">
        <v>15</v>
      </c>
      <c r="G66" s="66" t="s">
        <v>631</v>
      </c>
      <c r="H66" s="367">
        <v>4351057.9199999999</v>
      </c>
      <c r="I66" s="367"/>
      <c r="J66" s="64"/>
      <c r="L66" s="367"/>
    </row>
    <row r="67" spans="1:12" s="86" customFormat="1" ht="12.75">
      <c r="A67" s="277">
        <v>305</v>
      </c>
      <c r="B67" s="275">
        <v>100</v>
      </c>
      <c r="C67" s="275">
        <v>50</v>
      </c>
      <c r="D67" s="275">
        <v>100</v>
      </c>
      <c r="E67" s="275">
        <v>10</v>
      </c>
      <c r="F67" s="276">
        <v>20</v>
      </c>
      <c r="G67" s="66" t="s">
        <v>632</v>
      </c>
      <c r="H67" s="363">
        <v>1002315.16</v>
      </c>
      <c r="I67" s="363"/>
      <c r="J67" s="64"/>
      <c r="L67" s="363"/>
    </row>
    <row r="68" spans="1:12" s="86" customFormat="1" ht="12.75">
      <c r="A68" s="277">
        <v>305</v>
      </c>
      <c r="B68" s="275">
        <v>100</v>
      </c>
      <c r="C68" s="275">
        <v>50</v>
      </c>
      <c r="D68" s="275">
        <v>100</v>
      </c>
      <c r="E68" s="275">
        <v>10</v>
      </c>
      <c r="F68" s="276">
        <v>25</v>
      </c>
      <c r="G68" s="66" t="s">
        <v>633</v>
      </c>
      <c r="H68" s="363">
        <v>296161.05</v>
      </c>
      <c r="I68" s="363"/>
      <c r="J68" s="64"/>
      <c r="L68" s="363"/>
    </row>
    <row r="69" spans="1:12" s="86" customFormat="1" ht="12.75">
      <c r="A69" s="277">
        <v>305</v>
      </c>
      <c r="B69" s="275">
        <v>100</v>
      </c>
      <c r="C69" s="275">
        <v>50</v>
      </c>
      <c r="D69" s="275">
        <v>100</v>
      </c>
      <c r="E69" s="275">
        <v>10</v>
      </c>
      <c r="F69" s="276">
        <v>30</v>
      </c>
      <c r="G69" s="66" t="s">
        <v>634</v>
      </c>
      <c r="H69" s="363">
        <v>1344869.25</v>
      </c>
      <c r="I69" s="363"/>
      <c r="J69" s="64"/>
      <c r="L69" s="363"/>
    </row>
    <row r="70" spans="1:12" s="86" customFormat="1" ht="12.75">
      <c r="A70" s="277">
        <v>305</v>
      </c>
      <c r="B70" s="275">
        <v>100</v>
      </c>
      <c r="C70" s="275">
        <v>50</v>
      </c>
      <c r="D70" s="275">
        <v>100</v>
      </c>
      <c r="E70" s="275">
        <v>10</v>
      </c>
      <c r="F70" s="276">
        <v>35</v>
      </c>
      <c r="G70" s="66" t="s">
        <v>635</v>
      </c>
      <c r="H70" s="363">
        <v>8044.74</v>
      </c>
      <c r="I70" s="363"/>
      <c r="J70" s="64"/>
      <c r="L70" s="363"/>
    </row>
    <row r="71" spans="1:12" s="86" customFormat="1" ht="12.75">
      <c r="A71" s="277">
        <v>305</v>
      </c>
      <c r="B71" s="275">
        <v>100</v>
      </c>
      <c r="C71" s="275">
        <v>50</v>
      </c>
      <c r="D71" s="275">
        <v>100</v>
      </c>
      <c r="E71" s="275">
        <v>10</v>
      </c>
      <c r="F71" s="276">
        <v>40</v>
      </c>
      <c r="G71" s="66" t="s">
        <v>636</v>
      </c>
      <c r="H71" s="363">
        <v>98525.75</v>
      </c>
      <c r="I71" s="363"/>
      <c r="J71" s="64"/>
      <c r="L71" s="363"/>
    </row>
    <row r="72" spans="1:12" s="86" customFormat="1" ht="12.75">
      <c r="A72" s="277">
        <v>305</v>
      </c>
      <c r="B72" s="275">
        <v>100</v>
      </c>
      <c r="C72" s="275">
        <v>50</v>
      </c>
      <c r="D72" s="275">
        <v>100</v>
      </c>
      <c r="E72" s="275">
        <v>10</v>
      </c>
      <c r="F72" s="276">
        <v>45</v>
      </c>
      <c r="G72" s="66" t="s">
        <v>637</v>
      </c>
      <c r="H72" s="363">
        <v>38251.42</v>
      </c>
      <c r="I72" s="363"/>
      <c r="J72" s="64"/>
      <c r="L72" s="363"/>
    </row>
    <row r="73" spans="1:12" s="86" customFormat="1" ht="12.75">
      <c r="A73" s="277">
        <v>305</v>
      </c>
      <c r="B73" s="275">
        <v>100</v>
      </c>
      <c r="C73" s="275">
        <v>50</v>
      </c>
      <c r="D73" s="275">
        <v>100</v>
      </c>
      <c r="E73" s="275">
        <v>10</v>
      </c>
      <c r="F73" s="276">
        <v>50</v>
      </c>
      <c r="G73" s="66" t="s">
        <v>638</v>
      </c>
      <c r="H73" s="363">
        <v>4076.69</v>
      </c>
      <c r="I73" s="363"/>
      <c r="J73" s="64"/>
      <c r="L73" s="363"/>
    </row>
    <row r="74" spans="1:12">
      <c r="A74" s="277">
        <v>305</v>
      </c>
      <c r="B74" s="275">
        <v>100</v>
      </c>
      <c r="C74" s="275">
        <v>50</v>
      </c>
      <c r="D74" s="275">
        <v>100</v>
      </c>
      <c r="E74" s="275">
        <v>10</v>
      </c>
      <c r="F74" s="276">
        <v>55</v>
      </c>
      <c r="G74" s="66" t="s">
        <v>639</v>
      </c>
      <c r="H74" s="363">
        <v>2662980.88</v>
      </c>
      <c r="I74" s="363"/>
      <c r="J74" s="64"/>
      <c r="L74" s="363"/>
    </row>
    <row r="75" spans="1:12" s="86" customFormat="1" ht="12.75">
      <c r="A75" s="277">
        <v>305</v>
      </c>
      <c r="B75" s="275">
        <v>100</v>
      </c>
      <c r="C75" s="275">
        <v>50</v>
      </c>
      <c r="D75" s="275">
        <v>100</v>
      </c>
      <c r="E75" s="274">
        <v>20</v>
      </c>
      <c r="F75" s="274"/>
      <c r="G75" s="87" t="s">
        <v>640</v>
      </c>
      <c r="H75" s="366"/>
      <c r="I75" s="366"/>
      <c r="J75" s="64" t="s">
        <v>641</v>
      </c>
      <c r="L75" s="366"/>
    </row>
    <row r="76" spans="1:12" s="86" customFormat="1" ht="12.75">
      <c r="A76" s="277">
        <v>305</v>
      </c>
      <c r="B76" s="275">
        <v>100</v>
      </c>
      <c r="C76" s="275">
        <v>50</v>
      </c>
      <c r="D76" s="275">
        <v>100</v>
      </c>
      <c r="E76" s="274">
        <v>20</v>
      </c>
      <c r="F76" s="276">
        <v>5</v>
      </c>
      <c r="G76" s="66" t="s">
        <v>629</v>
      </c>
      <c r="H76" s="367">
        <v>3554100.59</v>
      </c>
      <c r="I76" s="367"/>
      <c r="J76" s="64"/>
      <c r="L76" s="367"/>
    </row>
    <row r="77" spans="1:12" s="86" customFormat="1" ht="12.75">
      <c r="A77" s="277">
        <v>305</v>
      </c>
      <c r="B77" s="275">
        <v>100</v>
      </c>
      <c r="C77" s="275">
        <v>50</v>
      </c>
      <c r="D77" s="275">
        <v>100</v>
      </c>
      <c r="E77" s="274">
        <v>20</v>
      </c>
      <c r="F77" s="276">
        <v>10</v>
      </c>
      <c r="G77" s="66" t="s">
        <v>630</v>
      </c>
      <c r="H77" s="367">
        <v>192615.44</v>
      </c>
      <c r="I77" s="367"/>
      <c r="J77" s="64"/>
      <c r="L77" s="367"/>
    </row>
    <row r="78" spans="1:12" s="86" customFormat="1" ht="12.75">
      <c r="A78" s="277">
        <v>305</v>
      </c>
      <c r="B78" s="275">
        <v>100</v>
      </c>
      <c r="C78" s="275">
        <v>50</v>
      </c>
      <c r="D78" s="275">
        <v>100</v>
      </c>
      <c r="E78" s="274">
        <v>20</v>
      </c>
      <c r="F78" s="276">
        <v>15</v>
      </c>
      <c r="G78" s="66" t="s">
        <v>631</v>
      </c>
      <c r="H78" s="367">
        <v>198580.13</v>
      </c>
      <c r="I78" s="367"/>
      <c r="J78" s="64"/>
      <c r="L78" s="367"/>
    </row>
    <row r="79" spans="1:12" s="86" customFormat="1" ht="12.75">
      <c r="A79" s="277">
        <v>305</v>
      </c>
      <c r="B79" s="275">
        <v>100</v>
      </c>
      <c r="C79" s="275">
        <v>50</v>
      </c>
      <c r="D79" s="275">
        <v>100</v>
      </c>
      <c r="E79" s="274">
        <v>20</v>
      </c>
      <c r="F79" s="276">
        <v>20</v>
      </c>
      <c r="G79" s="66" t="s">
        <v>632</v>
      </c>
      <c r="H79" s="363">
        <v>113904.56</v>
      </c>
      <c r="I79" s="363"/>
      <c r="J79" s="64"/>
      <c r="L79" s="363"/>
    </row>
    <row r="80" spans="1:12" s="86" customFormat="1" ht="12.75">
      <c r="A80" s="277">
        <v>305</v>
      </c>
      <c r="B80" s="275">
        <v>100</v>
      </c>
      <c r="C80" s="275">
        <v>50</v>
      </c>
      <c r="D80" s="275">
        <v>100</v>
      </c>
      <c r="E80" s="274">
        <v>20</v>
      </c>
      <c r="F80" s="276">
        <v>25</v>
      </c>
      <c r="G80" s="66" t="s">
        <v>633</v>
      </c>
      <c r="H80" s="363">
        <v>243849.09</v>
      </c>
      <c r="I80" s="363"/>
      <c r="J80" s="64"/>
      <c r="L80" s="363"/>
    </row>
    <row r="81" spans="1:12" s="86" customFormat="1" ht="12.75">
      <c r="A81" s="277">
        <v>305</v>
      </c>
      <c r="B81" s="275">
        <v>100</v>
      </c>
      <c r="C81" s="275">
        <v>50</v>
      </c>
      <c r="D81" s="275">
        <v>100</v>
      </c>
      <c r="E81" s="274">
        <v>20</v>
      </c>
      <c r="F81" s="276">
        <v>30</v>
      </c>
      <c r="G81" s="66" t="s">
        <v>634</v>
      </c>
      <c r="H81" s="367">
        <v>258215.51</v>
      </c>
      <c r="I81" s="367"/>
      <c r="J81" s="64"/>
      <c r="L81" s="367"/>
    </row>
    <row r="82" spans="1:12" s="86" customFormat="1" ht="12.75">
      <c r="A82" s="277">
        <v>305</v>
      </c>
      <c r="B82" s="275">
        <v>100</v>
      </c>
      <c r="C82" s="275">
        <v>50</v>
      </c>
      <c r="D82" s="275">
        <v>100</v>
      </c>
      <c r="E82" s="274">
        <v>20</v>
      </c>
      <c r="F82" s="276">
        <v>35</v>
      </c>
      <c r="G82" s="66" t="s">
        <v>635</v>
      </c>
      <c r="H82" s="367"/>
      <c r="I82" s="367"/>
      <c r="J82" s="64"/>
      <c r="L82" s="367"/>
    </row>
    <row r="83" spans="1:12" s="86" customFormat="1" ht="12.75">
      <c r="A83" s="277">
        <v>305</v>
      </c>
      <c r="B83" s="275">
        <v>100</v>
      </c>
      <c r="C83" s="275">
        <v>50</v>
      </c>
      <c r="D83" s="275">
        <v>100</v>
      </c>
      <c r="E83" s="274">
        <v>20</v>
      </c>
      <c r="F83" s="276">
        <v>40</v>
      </c>
      <c r="G83" s="66" t="s">
        <v>636</v>
      </c>
      <c r="H83" s="367"/>
      <c r="I83" s="367"/>
      <c r="J83" s="64"/>
      <c r="L83" s="367"/>
    </row>
    <row r="84" spans="1:12" s="86" customFormat="1" ht="12.75">
      <c r="A84" s="277">
        <v>305</v>
      </c>
      <c r="B84" s="275">
        <v>100</v>
      </c>
      <c r="C84" s="275">
        <v>50</v>
      </c>
      <c r="D84" s="275">
        <v>100</v>
      </c>
      <c r="E84" s="274">
        <v>20</v>
      </c>
      <c r="F84" s="276">
        <v>45</v>
      </c>
      <c r="G84" s="66" t="s">
        <v>637</v>
      </c>
      <c r="H84" s="363">
        <v>3500</v>
      </c>
      <c r="I84" s="363"/>
      <c r="J84" s="64"/>
      <c r="L84" s="363"/>
    </row>
    <row r="85" spans="1:12" s="86" customFormat="1" ht="12.75">
      <c r="A85" s="277">
        <v>305</v>
      </c>
      <c r="B85" s="275">
        <v>100</v>
      </c>
      <c r="C85" s="275">
        <v>50</v>
      </c>
      <c r="D85" s="275">
        <v>100</v>
      </c>
      <c r="E85" s="274">
        <v>20</v>
      </c>
      <c r="F85" s="276">
        <v>50</v>
      </c>
      <c r="G85" s="66" t="s">
        <v>638</v>
      </c>
      <c r="H85" s="363">
        <v>112.99</v>
      </c>
      <c r="I85" s="363"/>
      <c r="J85" s="64"/>
      <c r="L85" s="363"/>
    </row>
    <row r="86" spans="1:12">
      <c r="A86" s="277">
        <v>305</v>
      </c>
      <c r="B86" s="275">
        <v>100</v>
      </c>
      <c r="C86" s="275">
        <v>50</v>
      </c>
      <c r="D86" s="275">
        <v>100</v>
      </c>
      <c r="E86" s="274">
        <v>20</v>
      </c>
      <c r="F86" s="276">
        <v>55</v>
      </c>
      <c r="G86" s="66" t="s">
        <v>639</v>
      </c>
      <c r="H86" s="367">
        <v>427946.78</v>
      </c>
      <c r="I86" s="367"/>
      <c r="J86" s="64"/>
      <c r="L86" s="367"/>
    </row>
    <row r="87" spans="1:12" s="86" customFormat="1" ht="12.75">
      <c r="A87" s="277">
        <v>305</v>
      </c>
      <c r="B87" s="275">
        <v>100</v>
      </c>
      <c r="C87" s="275">
        <v>50</v>
      </c>
      <c r="D87" s="275">
        <v>100</v>
      </c>
      <c r="E87" s="275">
        <v>30</v>
      </c>
      <c r="F87" s="275"/>
      <c r="G87" s="63" t="s">
        <v>642</v>
      </c>
      <c r="H87" s="366"/>
      <c r="I87" s="366"/>
      <c r="J87" s="64" t="s">
        <v>643</v>
      </c>
      <c r="L87" s="366"/>
    </row>
    <row r="88" spans="1:12" s="86" customFormat="1" ht="12.75">
      <c r="A88" s="277">
        <v>305</v>
      </c>
      <c r="B88" s="275">
        <v>100</v>
      </c>
      <c r="C88" s="275">
        <v>50</v>
      </c>
      <c r="D88" s="275">
        <v>100</v>
      </c>
      <c r="E88" s="275">
        <v>30</v>
      </c>
      <c r="F88" s="276">
        <v>5</v>
      </c>
      <c r="G88" s="66" t="s">
        <v>644</v>
      </c>
      <c r="H88" s="363">
        <v>2158410.96</v>
      </c>
      <c r="I88" s="363"/>
      <c r="J88" s="64"/>
      <c r="L88" s="363"/>
    </row>
    <row r="89" spans="1:12" s="86" customFormat="1" ht="12.75">
      <c r="A89" s="277">
        <v>305</v>
      </c>
      <c r="B89" s="275">
        <v>100</v>
      </c>
      <c r="C89" s="275">
        <v>50</v>
      </c>
      <c r="D89" s="275">
        <v>100</v>
      </c>
      <c r="E89" s="275">
        <v>30</v>
      </c>
      <c r="F89" s="276">
        <v>10</v>
      </c>
      <c r="G89" s="66" t="s">
        <v>645</v>
      </c>
      <c r="H89" s="363">
        <v>386145.28000000003</v>
      </c>
      <c r="I89" s="363"/>
      <c r="J89" s="64"/>
      <c r="L89" s="363"/>
    </row>
    <row r="90" spans="1:12" s="86" customFormat="1" ht="12.75">
      <c r="A90" s="277">
        <v>305</v>
      </c>
      <c r="B90" s="275">
        <v>100</v>
      </c>
      <c r="C90" s="275">
        <v>50</v>
      </c>
      <c r="D90" s="275">
        <v>100</v>
      </c>
      <c r="E90" s="275">
        <v>30</v>
      </c>
      <c r="F90" s="276">
        <v>15</v>
      </c>
      <c r="G90" s="66" t="s">
        <v>646</v>
      </c>
      <c r="H90" s="367">
        <v>50844.67</v>
      </c>
      <c r="I90" s="367"/>
      <c r="J90" s="64"/>
      <c r="L90" s="367"/>
    </row>
    <row r="91" spans="1:12" s="86" customFormat="1" ht="25.5">
      <c r="A91" s="277">
        <v>305</v>
      </c>
      <c r="B91" s="275">
        <v>100</v>
      </c>
      <c r="C91" s="275">
        <v>50</v>
      </c>
      <c r="D91" s="275">
        <v>100</v>
      </c>
      <c r="E91" s="275">
        <v>30</v>
      </c>
      <c r="F91" s="276">
        <v>20</v>
      </c>
      <c r="G91" s="66" t="s">
        <v>647</v>
      </c>
      <c r="H91" s="363">
        <v>206048.13</v>
      </c>
      <c r="I91" s="363"/>
      <c r="J91" s="64"/>
      <c r="L91" s="363"/>
    </row>
    <row r="92" spans="1:12" s="86" customFormat="1" ht="12.75">
      <c r="A92" s="277">
        <v>305</v>
      </c>
      <c r="B92" s="275">
        <v>100</v>
      </c>
      <c r="C92" s="275">
        <v>50</v>
      </c>
      <c r="D92" s="275">
        <v>100</v>
      </c>
      <c r="E92" s="275">
        <v>30</v>
      </c>
      <c r="F92" s="276">
        <v>25</v>
      </c>
      <c r="G92" s="66" t="s">
        <v>648</v>
      </c>
      <c r="H92" s="363">
        <v>44051.26</v>
      </c>
      <c r="I92" s="363"/>
      <c r="J92" s="64"/>
      <c r="L92" s="363"/>
    </row>
    <row r="93" spans="1:12" s="86" customFormat="1" ht="25.5">
      <c r="A93" s="277">
        <v>305</v>
      </c>
      <c r="B93" s="275">
        <v>100</v>
      </c>
      <c r="C93" s="275">
        <v>50</v>
      </c>
      <c r="D93" s="275">
        <v>100</v>
      </c>
      <c r="E93" s="275">
        <v>30</v>
      </c>
      <c r="F93" s="276">
        <v>30</v>
      </c>
      <c r="G93" s="66" t="s">
        <v>649</v>
      </c>
      <c r="H93" s="367">
        <v>119933.87</v>
      </c>
      <c r="I93" s="367"/>
      <c r="J93" s="64"/>
      <c r="L93" s="367"/>
    </row>
    <row r="94" spans="1:12" s="86" customFormat="1" ht="12.75">
      <c r="A94" s="277">
        <v>305</v>
      </c>
      <c r="B94" s="275">
        <v>100</v>
      </c>
      <c r="C94" s="275">
        <v>50</v>
      </c>
      <c r="D94" s="275">
        <v>100</v>
      </c>
      <c r="E94" s="275">
        <v>30</v>
      </c>
      <c r="F94" s="276">
        <v>35</v>
      </c>
      <c r="G94" s="66" t="s">
        <v>650</v>
      </c>
      <c r="H94" s="363">
        <v>114831.26</v>
      </c>
      <c r="I94" s="363"/>
      <c r="J94" s="64"/>
      <c r="L94" s="363"/>
    </row>
    <row r="95" spans="1:12" s="86" customFormat="1" ht="12.75">
      <c r="A95" s="277">
        <v>305</v>
      </c>
      <c r="B95" s="275">
        <v>100</v>
      </c>
      <c r="C95" s="275">
        <v>50</v>
      </c>
      <c r="D95" s="275">
        <v>100</v>
      </c>
      <c r="E95" s="275">
        <v>30</v>
      </c>
      <c r="F95" s="276">
        <v>40</v>
      </c>
      <c r="G95" s="66" t="s">
        <v>651</v>
      </c>
      <c r="H95" s="363">
        <v>775026.5</v>
      </c>
      <c r="I95" s="363"/>
      <c r="J95" s="64"/>
      <c r="L95" s="363"/>
    </row>
    <row r="96" spans="1:12" s="86" customFormat="1" ht="25.5">
      <c r="A96" s="277">
        <v>305</v>
      </c>
      <c r="B96" s="275">
        <v>100</v>
      </c>
      <c r="C96" s="275">
        <v>50</v>
      </c>
      <c r="D96" s="275">
        <v>100</v>
      </c>
      <c r="E96" s="275">
        <v>30</v>
      </c>
      <c r="F96" s="276">
        <v>45</v>
      </c>
      <c r="G96" s="66" t="s">
        <v>652</v>
      </c>
      <c r="H96" s="367">
        <v>18133.189999999999</v>
      </c>
      <c r="I96" s="367"/>
      <c r="J96" s="64"/>
      <c r="L96" s="367"/>
    </row>
    <row r="97" spans="1:12" s="86" customFormat="1" ht="12.75">
      <c r="A97" s="277">
        <v>305</v>
      </c>
      <c r="B97" s="275">
        <v>100</v>
      </c>
      <c r="C97" s="275">
        <v>50</v>
      </c>
      <c r="D97" s="275">
        <v>100</v>
      </c>
      <c r="E97" s="275">
        <v>30</v>
      </c>
      <c r="F97" s="276">
        <v>50</v>
      </c>
      <c r="G97" s="66" t="s">
        <v>653</v>
      </c>
      <c r="H97" s="363">
        <v>2982.28</v>
      </c>
      <c r="I97" s="363"/>
      <c r="J97" s="64"/>
      <c r="L97" s="363"/>
    </row>
    <row r="98" spans="1:12" s="86" customFormat="1" ht="12.75">
      <c r="A98" s="277">
        <v>305</v>
      </c>
      <c r="B98" s="275">
        <v>100</v>
      </c>
      <c r="C98" s="275">
        <v>50</v>
      </c>
      <c r="D98" s="275">
        <v>100</v>
      </c>
      <c r="E98" s="275">
        <v>30</v>
      </c>
      <c r="F98" s="276">
        <v>55</v>
      </c>
      <c r="G98" s="66" t="s">
        <v>654</v>
      </c>
      <c r="H98" s="363"/>
      <c r="I98" s="363"/>
      <c r="J98" s="64"/>
      <c r="L98" s="363"/>
    </row>
    <row r="99" spans="1:12" s="86" customFormat="1" ht="12.75">
      <c r="A99" s="277">
        <v>305</v>
      </c>
      <c r="B99" s="275">
        <v>100</v>
      </c>
      <c r="C99" s="275">
        <v>50</v>
      </c>
      <c r="D99" s="275">
        <v>100</v>
      </c>
      <c r="E99" s="275">
        <v>30</v>
      </c>
      <c r="F99" s="276">
        <v>60</v>
      </c>
      <c r="G99" s="66" t="s">
        <v>655</v>
      </c>
      <c r="H99" s="363">
        <v>284658.77</v>
      </c>
      <c r="I99" s="363"/>
      <c r="J99" s="64"/>
      <c r="L99" s="363"/>
    </row>
    <row r="100" spans="1:12" s="86" customFormat="1" ht="12.75">
      <c r="A100" s="277">
        <v>305</v>
      </c>
      <c r="B100" s="275">
        <v>100</v>
      </c>
      <c r="C100" s="275">
        <v>50</v>
      </c>
      <c r="D100" s="275">
        <v>100</v>
      </c>
      <c r="E100" s="275">
        <v>30</v>
      </c>
      <c r="F100" s="276">
        <v>65</v>
      </c>
      <c r="G100" s="66" t="s">
        <v>656</v>
      </c>
      <c r="H100" s="363">
        <v>65927.48</v>
      </c>
      <c r="I100" s="363"/>
      <c r="J100" s="64"/>
      <c r="L100" s="363"/>
    </row>
    <row r="101" spans="1:12">
      <c r="A101" s="277">
        <v>305</v>
      </c>
      <c r="B101" s="275">
        <v>100</v>
      </c>
      <c r="C101" s="275">
        <v>50</v>
      </c>
      <c r="D101" s="275">
        <v>100</v>
      </c>
      <c r="E101" s="275">
        <v>30</v>
      </c>
      <c r="F101" s="276">
        <v>70</v>
      </c>
      <c r="G101" s="66" t="s">
        <v>657</v>
      </c>
      <c r="H101" s="367"/>
      <c r="I101" s="367"/>
      <c r="J101" s="64"/>
      <c r="L101" s="367"/>
    </row>
    <row r="102" spans="1:12" s="86" customFormat="1" ht="12.75">
      <c r="A102" s="277">
        <v>305</v>
      </c>
      <c r="B102" s="275">
        <v>100</v>
      </c>
      <c r="C102" s="275">
        <v>50</v>
      </c>
      <c r="D102" s="275">
        <v>100</v>
      </c>
      <c r="E102" s="275">
        <v>40</v>
      </c>
      <c r="F102" s="275"/>
      <c r="G102" s="63" t="s">
        <v>658</v>
      </c>
      <c r="H102" s="366"/>
      <c r="I102" s="366"/>
      <c r="J102" s="64" t="s">
        <v>659</v>
      </c>
      <c r="L102" s="366"/>
    </row>
    <row r="103" spans="1:12" s="86" customFormat="1" ht="12.75">
      <c r="A103" s="277">
        <v>305</v>
      </c>
      <c r="B103" s="275">
        <v>100</v>
      </c>
      <c r="C103" s="275">
        <v>50</v>
      </c>
      <c r="D103" s="275">
        <v>100</v>
      </c>
      <c r="E103" s="275">
        <v>40</v>
      </c>
      <c r="F103" s="276">
        <v>5</v>
      </c>
      <c r="G103" s="66" t="s">
        <v>660</v>
      </c>
      <c r="H103" s="363">
        <v>463272</v>
      </c>
      <c r="I103" s="363"/>
      <c r="J103" s="64"/>
      <c r="L103" s="363"/>
    </row>
    <row r="104" spans="1:12" s="86" customFormat="1" ht="12.75">
      <c r="A104" s="277">
        <v>305</v>
      </c>
      <c r="B104" s="275">
        <v>100</v>
      </c>
      <c r="C104" s="275">
        <v>50</v>
      </c>
      <c r="D104" s="275">
        <v>100</v>
      </c>
      <c r="E104" s="275">
        <v>40</v>
      </c>
      <c r="F104" s="276">
        <v>10</v>
      </c>
      <c r="G104" s="66" t="s">
        <v>630</v>
      </c>
      <c r="H104" s="367">
        <v>59732.92</v>
      </c>
      <c r="I104" s="367"/>
      <c r="J104" s="64"/>
      <c r="L104" s="367"/>
    </row>
    <row r="105" spans="1:12" s="86" customFormat="1" ht="12.75">
      <c r="A105" s="277">
        <v>305</v>
      </c>
      <c r="B105" s="275">
        <v>100</v>
      </c>
      <c r="C105" s="275">
        <v>50</v>
      </c>
      <c r="D105" s="275">
        <v>100</v>
      </c>
      <c r="E105" s="275">
        <v>40</v>
      </c>
      <c r="F105" s="276">
        <v>15</v>
      </c>
      <c r="G105" s="66" t="s">
        <v>633</v>
      </c>
      <c r="H105" s="363">
        <v>3265.51</v>
      </c>
      <c r="I105" s="363"/>
      <c r="J105" s="64"/>
      <c r="L105" s="363"/>
    </row>
    <row r="106" spans="1:12" s="86" customFormat="1" ht="12.75">
      <c r="A106" s="277">
        <v>305</v>
      </c>
      <c r="B106" s="275">
        <v>100</v>
      </c>
      <c r="C106" s="275">
        <v>50</v>
      </c>
      <c r="D106" s="275">
        <v>100</v>
      </c>
      <c r="E106" s="275">
        <v>40</v>
      </c>
      <c r="F106" s="276">
        <v>20</v>
      </c>
      <c r="G106" s="66" t="s">
        <v>634</v>
      </c>
      <c r="H106" s="363">
        <v>14913.97</v>
      </c>
      <c r="I106" s="363"/>
      <c r="J106" s="64"/>
      <c r="L106" s="363"/>
    </row>
    <row r="107" spans="1:12" s="86" customFormat="1" ht="12.75">
      <c r="A107" s="277">
        <v>305</v>
      </c>
      <c r="B107" s="275">
        <v>100</v>
      </c>
      <c r="C107" s="275">
        <v>50</v>
      </c>
      <c r="D107" s="275">
        <v>100</v>
      </c>
      <c r="E107" s="275">
        <v>40</v>
      </c>
      <c r="F107" s="276">
        <v>25</v>
      </c>
      <c r="G107" s="66" t="s">
        <v>635</v>
      </c>
      <c r="H107" s="367"/>
      <c r="I107" s="367"/>
      <c r="J107" s="64"/>
      <c r="L107" s="367"/>
    </row>
    <row r="108" spans="1:12" s="86" customFormat="1" ht="12.75">
      <c r="A108" s="277">
        <v>305</v>
      </c>
      <c r="B108" s="275">
        <v>100</v>
      </c>
      <c r="C108" s="275">
        <v>50</v>
      </c>
      <c r="D108" s="275">
        <v>100</v>
      </c>
      <c r="E108" s="275">
        <v>40</v>
      </c>
      <c r="F108" s="276">
        <v>30</v>
      </c>
      <c r="G108" s="66" t="s">
        <v>638</v>
      </c>
      <c r="H108" s="363">
        <v>2010.16</v>
      </c>
      <c r="I108" s="363"/>
      <c r="J108" s="64"/>
      <c r="L108" s="363"/>
    </row>
    <row r="109" spans="1:12" s="86" customFormat="1" ht="12.75">
      <c r="A109" s="277">
        <v>305</v>
      </c>
      <c r="B109" s="275">
        <v>100</v>
      </c>
      <c r="C109" s="275">
        <v>50</v>
      </c>
      <c r="D109" s="275">
        <v>100</v>
      </c>
      <c r="E109" s="275">
        <v>40</v>
      </c>
      <c r="F109" s="276">
        <v>35</v>
      </c>
      <c r="G109" s="66" t="s">
        <v>639</v>
      </c>
      <c r="H109" s="367">
        <v>80395.05</v>
      </c>
      <c r="I109" s="367"/>
      <c r="J109" s="64"/>
      <c r="L109" s="367"/>
    </row>
    <row r="110" spans="1:12" s="86" customFormat="1" ht="12.75">
      <c r="A110" s="277">
        <v>305</v>
      </c>
      <c r="B110" s="275">
        <v>100</v>
      </c>
      <c r="C110" s="275">
        <v>50</v>
      </c>
      <c r="D110" s="275">
        <v>100</v>
      </c>
      <c r="E110" s="275">
        <v>40</v>
      </c>
      <c r="F110" s="276">
        <v>40</v>
      </c>
      <c r="G110" s="66" t="s">
        <v>661</v>
      </c>
      <c r="H110" s="363"/>
      <c r="I110" s="363"/>
      <c r="J110" s="64"/>
      <c r="L110" s="363"/>
    </row>
    <row r="111" spans="1:12" ht="25.5">
      <c r="A111" s="277">
        <v>305</v>
      </c>
      <c r="B111" s="275">
        <v>100</v>
      </c>
      <c r="C111" s="275">
        <v>50</v>
      </c>
      <c r="D111" s="275">
        <v>200</v>
      </c>
      <c r="E111" s="276"/>
      <c r="F111" s="276"/>
      <c r="G111" s="83" t="s">
        <v>662</v>
      </c>
      <c r="H111" s="367"/>
      <c r="I111" s="367"/>
      <c r="J111" s="85" t="s">
        <v>663</v>
      </c>
      <c r="L111" s="367"/>
    </row>
    <row r="112" spans="1:12" ht="25.5">
      <c r="A112" s="277">
        <v>305</v>
      </c>
      <c r="B112" s="275">
        <v>100</v>
      </c>
      <c r="C112" s="275">
        <v>50</v>
      </c>
      <c r="D112" s="276">
        <v>300</v>
      </c>
      <c r="E112" s="275"/>
      <c r="F112" s="275"/>
      <c r="G112" s="66" t="s">
        <v>664</v>
      </c>
      <c r="H112" s="363">
        <v>136898</v>
      </c>
      <c r="I112" s="363"/>
      <c r="J112" s="64" t="s">
        <v>665</v>
      </c>
      <c r="L112" s="363"/>
    </row>
    <row r="113" spans="1:12">
      <c r="A113" s="277">
        <v>305</v>
      </c>
      <c r="B113" s="275">
        <v>100</v>
      </c>
      <c r="C113" s="275">
        <v>100</v>
      </c>
      <c r="D113" s="275"/>
      <c r="E113" s="275"/>
      <c r="F113" s="275"/>
      <c r="G113" s="63" t="s">
        <v>666</v>
      </c>
      <c r="H113" s="366"/>
      <c r="I113" s="366"/>
      <c r="J113" s="64" t="s">
        <v>667</v>
      </c>
      <c r="L113" s="366"/>
    </row>
    <row r="114" spans="1:12" s="86" customFormat="1" ht="12.75">
      <c r="A114" s="277">
        <v>305</v>
      </c>
      <c r="B114" s="275">
        <v>100</v>
      </c>
      <c r="C114" s="275">
        <v>100</v>
      </c>
      <c r="D114" s="275">
        <v>100</v>
      </c>
      <c r="E114" s="275"/>
      <c r="F114" s="275"/>
      <c r="G114" s="88" t="s">
        <v>625</v>
      </c>
      <c r="H114" s="366"/>
      <c r="I114" s="366"/>
      <c r="J114" s="64" t="s">
        <v>668</v>
      </c>
      <c r="L114" s="366"/>
    </row>
    <row r="115" spans="1:12" s="86" customFormat="1" ht="12.75">
      <c r="A115" s="277">
        <v>305</v>
      </c>
      <c r="B115" s="275">
        <v>100</v>
      </c>
      <c r="C115" s="275">
        <v>100</v>
      </c>
      <c r="D115" s="275">
        <v>100</v>
      </c>
      <c r="E115" s="276">
        <v>10</v>
      </c>
      <c r="F115" s="275"/>
      <c r="G115" s="83" t="s">
        <v>669</v>
      </c>
      <c r="H115" s="367">
        <v>51091423.079999998</v>
      </c>
      <c r="I115" s="367"/>
      <c r="J115" s="64"/>
      <c r="L115" s="367"/>
    </row>
    <row r="116" spans="1:12" s="86" customFormat="1" ht="12.75">
      <c r="A116" s="277">
        <v>305</v>
      </c>
      <c r="B116" s="275">
        <v>100</v>
      </c>
      <c r="C116" s="275">
        <v>100</v>
      </c>
      <c r="D116" s="275">
        <v>100</v>
      </c>
      <c r="E116" s="276">
        <v>20</v>
      </c>
      <c r="F116" s="275"/>
      <c r="G116" s="83" t="s">
        <v>670</v>
      </c>
      <c r="H116" s="367">
        <v>46787.99</v>
      </c>
      <c r="I116" s="367"/>
      <c r="J116" s="64"/>
      <c r="L116" s="367"/>
    </row>
    <row r="117" spans="1:12" ht="25.5">
      <c r="A117" s="277">
        <v>305</v>
      </c>
      <c r="B117" s="275">
        <v>100</v>
      </c>
      <c r="C117" s="275">
        <v>100</v>
      </c>
      <c r="D117" s="275">
        <v>200</v>
      </c>
      <c r="E117" s="276"/>
      <c r="F117" s="276"/>
      <c r="G117" s="83" t="s">
        <v>671</v>
      </c>
      <c r="H117" s="367"/>
      <c r="I117" s="367"/>
      <c r="J117" s="85" t="s">
        <v>672</v>
      </c>
      <c r="L117" s="367"/>
    </row>
    <row r="118" spans="1:12">
      <c r="A118" s="277">
        <v>305</v>
      </c>
      <c r="B118" s="275">
        <v>100</v>
      </c>
      <c r="C118" s="275">
        <v>100</v>
      </c>
      <c r="D118" s="276">
        <v>300</v>
      </c>
      <c r="E118" s="275"/>
      <c r="F118" s="275"/>
      <c r="G118" s="83" t="s">
        <v>673</v>
      </c>
      <c r="H118" s="367">
        <v>351482</v>
      </c>
      <c r="I118" s="367"/>
      <c r="J118" s="64" t="s">
        <v>674</v>
      </c>
      <c r="L118" s="367"/>
    </row>
    <row r="119" spans="1:12">
      <c r="A119" s="277">
        <v>305</v>
      </c>
      <c r="B119" s="275">
        <v>100</v>
      </c>
      <c r="C119" s="275">
        <v>150</v>
      </c>
      <c r="D119" s="275"/>
      <c r="E119" s="275"/>
      <c r="F119" s="275"/>
      <c r="G119" s="63" t="s">
        <v>675</v>
      </c>
      <c r="H119" s="366"/>
      <c r="I119" s="366"/>
      <c r="J119" s="64" t="s">
        <v>676</v>
      </c>
      <c r="L119" s="366"/>
    </row>
    <row r="120" spans="1:12" s="86" customFormat="1" ht="12.75">
      <c r="A120" s="277">
        <v>305</v>
      </c>
      <c r="B120" s="275">
        <v>100</v>
      </c>
      <c r="C120" s="275">
        <v>150</v>
      </c>
      <c r="D120" s="275">
        <v>100</v>
      </c>
      <c r="E120" s="275"/>
      <c r="F120" s="275"/>
      <c r="G120" s="88" t="s">
        <v>677</v>
      </c>
      <c r="H120" s="366"/>
      <c r="I120" s="366"/>
      <c r="J120" s="64" t="s">
        <v>678</v>
      </c>
      <c r="L120" s="366"/>
    </row>
    <row r="121" spans="1:12" s="86" customFormat="1" ht="12.75">
      <c r="A121" s="277">
        <v>305</v>
      </c>
      <c r="B121" s="275">
        <v>100</v>
      </c>
      <c r="C121" s="275">
        <v>150</v>
      </c>
      <c r="D121" s="275">
        <v>100</v>
      </c>
      <c r="E121" s="276">
        <v>10</v>
      </c>
      <c r="F121" s="275"/>
      <c r="G121" s="83" t="s">
        <v>679</v>
      </c>
      <c r="H121" s="367">
        <v>9518270.5500000007</v>
      </c>
      <c r="I121" s="367"/>
      <c r="J121" s="64"/>
      <c r="L121" s="367"/>
    </row>
    <row r="122" spans="1:12" s="86" customFormat="1" ht="12.75">
      <c r="A122" s="277">
        <v>305</v>
      </c>
      <c r="B122" s="275">
        <v>100</v>
      </c>
      <c r="C122" s="275">
        <v>150</v>
      </c>
      <c r="D122" s="275">
        <v>100</v>
      </c>
      <c r="E122" s="276">
        <v>20</v>
      </c>
      <c r="F122" s="275"/>
      <c r="G122" s="83" t="s">
        <v>680</v>
      </c>
      <c r="H122" s="367">
        <v>892628</v>
      </c>
      <c r="I122" s="367"/>
      <c r="J122" s="64"/>
      <c r="L122" s="367">
        <v>659848.24</v>
      </c>
    </row>
    <row r="123" spans="1:12" ht="25.5">
      <c r="A123" s="277">
        <v>305</v>
      </c>
      <c r="B123" s="275">
        <v>100</v>
      </c>
      <c r="C123" s="275">
        <v>150</v>
      </c>
      <c r="D123" s="275">
        <v>150</v>
      </c>
      <c r="E123" s="276"/>
      <c r="F123" s="275"/>
      <c r="G123" s="83" t="s">
        <v>681</v>
      </c>
      <c r="H123" s="367">
        <v>0</v>
      </c>
      <c r="I123" s="367"/>
      <c r="J123" s="64" t="s">
        <v>682</v>
      </c>
      <c r="L123" s="367"/>
    </row>
    <row r="124" spans="1:12" s="89" customFormat="1">
      <c r="A124" s="277">
        <v>305</v>
      </c>
      <c r="B124" s="275">
        <v>100</v>
      </c>
      <c r="C124" s="275">
        <v>150</v>
      </c>
      <c r="D124" s="276">
        <v>200</v>
      </c>
      <c r="E124" s="275"/>
      <c r="F124" s="275"/>
      <c r="G124" s="83" t="s">
        <v>683</v>
      </c>
      <c r="H124" s="367">
        <v>0</v>
      </c>
      <c r="I124" s="367"/>
      <c r="J124" s="64" t="s">
        <v>684</v>
      </c>
      <c r="L124" s="367"/>
    </row>
    <row r="125" spans="1:12" ht="25.5">
      <c r="A125" s="277">
        <v>305</v>
      </c>
      <c r="B125" s="275">
        <v>100</v>
      </c>
      <c r="C125" s="275">
        <v>150</v>
      </c>
      <c r="D125" s="276">
        <v>250</v>
      </c>
      <c r="E125" s="275"/>
      <c r="F125" s="275"/>
      <c r="G125" s="66" t="s">
        <v>685</v>
      </c>
      <c r="H125" s="371">
        <v>0</v>
      </c>
      <c r="I125" s="371"/>
      <c r="J125" s="64" t="s">
        <v>686</v>
      </c>
      <c r="L125" s="371"/>
    </row>
    <row r="126" spans="1:12" s="86" customFormat="1" ht="12.75">
      <c r="A126" s="277">
        <v>305</v>
      </c>
      <c r="B126" s="275">
        <v>100</v>
      </c>
      <c r="C126" s="275">
        <v>150</v>
      </c>
      <c r="D126" s="275">
        <v>300</v>
      </c>
      <c r="E126" s="275"/>
      <c r="F126" s="275"/>
      <c r="G126" s="88" t="s">
        <v>673</v>
      </c>
      <c r="H126" s="366"/>
      <c r="I126" s="366"/>
      <c r="J126" s="64" t="s">
        <v>687</v>
      </c>
      <c r="L126" s="366"/>
    </row>
    <row r="127" spans="1:12" s="86" customFormat="1" ht="25.5">
      <c r="A127" s="277">
        <v>305</v>
      </c>
      <c r="B127" s="275">
        <v>100</v>
      </c>
      <c r="C127" s="275">
        <v>150</v>
      </c>
      <c r="D127" s="275">
        <v>300</v>
      </c>
      <c r="E127" s="276">
        <v>10</v>
      </c>
      <c r="F127" s="275"/>
      <c r="G127" s="83" t="s">
        <v>688</v>
      </c>
      <c r="H127" s="367">
        <v>4845840</v>
      </c>
      <c r="I127" s="367"/>
      <c r="J127" s="64"/>
      <c r="L127" s="367"/>
    </row>
    <row r="128" spans="1:12" s="86" customFormat="1" ht="25.5">
      <c r="A128" s="277">
        <v>305</v>
      </c>
      <c r="B128" s="275">
        <v>100</v>
      </c>
      <c r="C128" s="275">
        <v>150</v>
      </c>
      <c r="D128" s="275">
        <v>300</v>
      </c>
      <c r="E128" s="276">
        <v>20</v>
      </c>
      <c r="F128" s="275"/>
      <c r="G128" s="83" t="s">
        <v>689</v>
      </c>
      <c r="H128" s="367">
        <v>0</v>
      </c>
      <c r="I128" s="367"/>
      <c r="J128" s="64"/>
      <c r="L128" s="367">
        <v>85149.260000000009</v>
      </c>
    </row>
    <row r="129" spans="1:12" ht="25.5">
      <c r="A129" s="277">
        <v>305</v>
      </c>
      <c r="B129" s="275">
        <v>100</v>
      </c>
      <c r="C129" s="275">
        <v>150</v>
      </c>
      <c r="D129" s="275">
        <v>350</v>
      </c>
      <c r="E129" s="276"/>
      <c r="F129" s="275"/>
      <c r="G129" s="83" t="s">
        <v>690</v>
      </c>
      <c r="H129" s="371">
        <v>0</v>
      </c>
      <c r="I129" s="371"/>
      <c r="J129" s="64" t="s">
        <v>691</v>
      </c>
      <c r="L129" s="371"/>
    </row>
    <row r="130" spans="1:12" s="86" customFormat="1" ht="12.75">
      <c r="A130" s="277">
        <v>305</v>
      </c>
      <c r="B130" s="275">
        <v>100</v>
      </c>
      <c r="C130" s="275">
        <v>150</v>
      </c>
      <c r="D130" s="275">
        <v>400</v>
      </c>
      <c r="E130" s="275"/>
      <c r="F130" s="275"/>
      <c r="G130" s="88" t="s">
        <v>692</v>
      </c>
      <c r="H130" s="366"/>
      <c r="I130" s="366"/>
      <c r="J130" s="64" t="s">
        <v>693</v>
      </c>
      <c r="L130" s="366"/>
    </row>
    <row r="131" spans="1:12" s="86" customFormat="1" ht="12.75">
      <c r="A131" s="277">
        <v>305</v>
      </c>
      <c r="B131" s="275">
        <v>100</v>
      </c>
      <c r="C131" s="275">
        <v>150</v>
      </c>
      <c r="D131" s="275">
        <v>400</v>
      </c>
      <c r="E131" s="276">
        <v>10</v>
      </c>
      <c r="F131" s="275"/>
      <c r="G131" s="83" t="s">
        <v>694</v>
      </c>
      <c r="H131" s="367">
        <v>1954628.56</v>
      </c>
      <c r="I131" s="367"/>
      <c r="J131" s="64"/>
      <c r="L131" s="367"/>
    </row>
    <row r="132" spans="1:12" s="86" customFormat="1" ht="12.75">
      <c r="A132" s="277">
        <v>305</v>
      </c>
      <c r="B132" s="275">
        <v>100</v>
      </c>
      <c r="C132" s="275">
        <v>150</v>
      </c>
      <c r="D132" s="275">
        <v>400</v>
      </c>
      <c r="E132" s="276">
        <v>20</v>
      </c>
      <c r="F132" s="275"/>
      <c r="G132" s="83" t="s">
        <v>695</v>
      </c>
      <c r="H132" s="367">
        <v>374895.89</v>
      </c>
      <c r="I132" s="367"/>
      <c r="J132" s="64"/>
      <c r="L132" s="367"/>
    </row>
    <row r="133" spans="1:12" s="86" customFormat="1" ht="12.75">
      <c r="A133" s="277">
        <v>305</v>
      </c>
      <c r="B133" s="275">
        <v>100</v>
      </c>
      <c r="C133" s="275">
        <v>150</v>
      </c>
      <c r="D133" s="275">
        <v>400</v>
      </c>
      <c r="E133" s="276">
        <v>30</v>
      </c>
      <c r="F133" s="275"/>
      <c r="G133" s="83" t="s">
        <v>633</v>
      </c>
      <c r="H133" s="367"/>
      <c r="I133" s="367"/>
      <c r="J133" s="64"/>
      <c r="L133" s="367"/>
    </row>
    <row r="134" spans="1:12" s="86" customFormat="1" ht="12.75">
      <c r="A134" s="277">
        <v>305</v>
      </c>
      <c r="B134" s="275">
        <v>100</v>
      </c>
      <c r="C134" s="275">
        <v>150</v>
      </c>
      <c r="D134" s="275">
        <v>400</v>
      </c>
      <c r="E134" s="276">
        <v>40</v>
      </c>
      <c r="F134" s="275"/>
      <c r="G134" s="83" t="s">
        <v>634</v>
      </c>
      <c r="H134" s="367">
        <v>33867.97</v>
      </c>
      <c r="I134" s="367"/>
      <c r="J134" s="64"/>
      <c r="L134" s="367"/>
    </row>
    <row r="135" spans="1:12" s="86" customFormat="1" ht="12.75">
      <c r="A135" s="277">
        <v>305</v>
      </c>
      <c r="B135" s="275">
        <v>100</v>
      </c>
      <c r="C135" s="275">
        <v>150</v>
      </c>
      <c r="D135" s="275">
        <v>400</v>
      </c>
      <c r="E135" s="276">
        <v>50</v>
      </c>
      <c r="F135" s="275"/>
      <c r="G135" s="83" t="s">
        <v>635</v>
      </c>
      <c r="H135" s="367">
        <v>0</v>
      </c>
      <c r="I135" s="367"/>
      <c r="J135" s="64"/>
      <c r="L135" s="367"/>
    </row>
    <row r="136" spans="1:12" s="86" customFormat="1" ht="12.75">
      <c r="A136" s="277">
        <v>305</v>
      </c>
      <c r="B136" s="275">
        <v>100</v>
      </c>
      <c r="C136" s="275">
        <v>150</v>
      </c>
      <c r="D136" s="275">
        <v>400</v>
      </c>
      <c r="E136" s="276">
        <v>60</v>
      </c>
      <c r="F136" s="275"/>
      <c r="G136" s="83" t="s">
        <v>638</v>
      </c>
      <c r="H136" s="367">
        <v>1.24</v>
      </c>
      <c r="I136" s="367"/>
      <c r="J136" s="64"/>
      <c r="L136" s="367"/>
    </row>
    <row r="137" spans="1:12">
      <c r="A137" s="277">
        <v>305</v>
      </c>
      <c r="B137" s="275">
        <v>100</v>
      </c>
      <c r="C137" s="275">
        <v>150</v>
      </c>
      <c r="D137" s="275">
        <v>400</v>
      </c>
      <c r="E137" s="276">
        <v>70</v>
      </c>
      <c r="F137" s="275"/>
      <c r="G137" s="83" t="s">
        <v>639</v>
      </c>
      <c r="H137" s="367">
        <v>328651.18</v>
      </c>
      <c r="I137" s="367"/>
      <c r="J137" s="64"/>
      <c r="L137" s="367"/>
    </row>
    <row r="138" spans="1:12">
      <c r="A138" s="277">
        <v>305</v>
      </c>
      <c r="B138" s="275">
        <v>100</v>
      </c>
      <c r="C138" s="275">
        <v>150</v>
      </c>
      <c r="D138" s="275">
        <v>500</v>
      </c>
      <c r="E138" s="275"/>
      <c r="F138" s="275"/>
      <c r="G138" s="88" t="s">
        <v>696</v>
      </c>
      <c r="H138" s="366"/>
      <c r="I138" s="366"/>
      <c r="J138" s="64" t="s">
        <v>697</v>
      </c>
      <c r="L138" s="366"/>
    </row>
    <row r="139" spans="1:12" s="89" customFormat="1" ht="25.5">
      <c r="A139" s="277">
        <v>305</v>
      </c>
      <c r="B139" s="275">
        <v>100</v>
      </c>
      <c r="C139" s="275">
        <v>150</v>
      </c>
      <c r="D139" s="275">
        <v>500</v>
      </c>
      <c r="E139" s="276">
        <v>10</v>
      </c>
      <c r="F139" s="275"/>
      <c r="G139" s="83" t="s">
        <v>698</v>
      </c>
      <c r="H139" s="367">
        <v>0</v>
      </c>
      <c r="I139" s="367"/>
      <c r="J139" s="64" t="s">
        <v>699</v>
      </c>
      <c r="L139" s="367"/>
    </row>
    <row r="140" spans="1:12" ht="25.5">
      <c r="A140" s="277">
        <v>305</v>
      </c>
      <c r="B140" s="275">
        <v>100</v>
      </c>
      <c r="C140" s="275">
        <v>150</v>
      </c>
      <c r="D140" s="275">
        <v>500</v>
      </c>
      <c r="E140" s="276">
        <v>15</v>
      </c>
      <c r="F140" s="275"/>
      <c r="G140" s="83" t="s">
        <v>700</v>
      </c>
      <c r="H140" s="367">
        <v>0</v>
      </c>
      <c r="I140" s="367"/>
      <c r="J140" s="64" t="s">
        <v>701</v>
      </c>
      <c r="L140" s="367"/>
    </row>
    <row r="141" spans="1:12" s="89" customFormat="1">
      <c r="A141" s="277">
        <v>305</v>
      </c>
      <c r="B141" s="275">
        <v>100</v>
      </c>
      <c r="C141" s="275">
        <v>150</v>
      </c>
      <c r="D141" s="275">
        <v>500</v>
      </c>
      <c r="E141" s="276">
        <v>20</v>
      </c>
      <c r="F141" s="275"/>
      <c r="G141" s="83" t="s">
        <v>702</v>
      </c>
      <c r="H141" s="367">
        <v>0</v>
      </c>
      <c r="I141" s="367"/>
      <c r="J141" s="64" t="s">
        <v>703</v>
      </c>
      <c r="L141" s="367"/>
    </row>
    <row r="142" spans="1:12" ht="25.5">
      <c r="A142" s="277">
        <v>305</v>
      </c>
      <c r="B142" s="275">
        <v>100</v>
      </c>
      <c r="C142" s="275">
        <v>150</v>
      </c>
      <c r="D142" s="275">
        <v>500</v>
      </c>
      <c r="E142" s="276">
        <v>25</v>
      </c>
      <c r="F142" s="275"/>
      <c r="G142" s="83" t="s">
        <v>704</v>
      </c>
      <c r="H142" s="367">
        <v>0</v>
      </c>
      <c r="I142" s="367"/>
      <c r="J142" s="64" t="s">
        <v>705</v>
      </c>
      <c r="L142" s="367"/>
    </row>
    <row r="143" spans="1:12" s="89" customFormat="1">
      <c r="A143" s="277">
        <v>305</v>
      </c>
      <c r="B143" s="275">
        <v>100</v>
      </c>
      <c r="C143" s="275">
        <v>150</v>
      </c>
      <c r="D143" s="275">
        <v>500</v>
      </c>
      <c r="E143" s="276">
        <v>30</v>
      </c>
      <c r="F143" s="275"/>
      <c r="G143" s="83" t="s">
        <v>706</v>
      </c>
      <c r="H143" s="367">
        <v>11125924.16</v>
      </c>
      <c r="I143" s="367"/>
      <c r="J143" s="64" t="s">
        <v>707</v>
      </c>
      <c r="L143" s="367"/>
    </row>
    <row r="144" spans="1:12" ht="25.5">
      <c r="A144" s="277">
        <v>305</v>
      </c>
      <c r="B144" s="275">
        <v>100</v>
      </c>
      <c r="C144" s="275">
        <v>150</v>
      </c>
      <c r="D144" s="275">
        <v>500</v>
      </c>
      <c r="E144" s="276">
        <v>35</v>
      </c>
      <c r="F144" s="275"/>
      <c r="G144" s="83" t="s">
        <v>708</v>
      </c>
      <c r="H144" s="367">
        <v>0</v>
      </c>
      <c r="I144" s="367"/>
      <c r="J144" s="64" t="s">
        <v>709</v>
      </c>
      <c r="L144" s="367"/>
    </row>
    <row r="145" spans="1:12" s="89" customFormat="1">
      <c r="A145" s="277">
        <v>305</v>
      </c>
      <c r="B145" s="275">
        <v>100</v>
      </c>
      <c r="C145" s="275">
        <v>150</v>
      </c>
      <c r="D145" s="275">
        <v>500</v>
      </c>
      <c r="E145" s="276">
        <v>40</v>
      </c>
      <c r="F145" s="275"/>
      <c r="G145" s="83" t="s">
        <v>710</v>
      </c>
      <c r="H145" s="367">
        <v>6119678.3099999996</v>
      </c>
      <c r="I145" s="367"/>
      <c r="J145" s="64" t="s">
        <v>711</v>
      </c>
      <c r="L145" s="367">
        <v>843.36</v>
      </c>
    </row>
    <row r="146" spans="1:12" ht="25.5">
      <c r="A146" s="277">
        <v>305</v>
      </c>
      <c r="B146" s="275">
        <v>100</v>
      </c>
      <c r="C146" s="275">
        <v>150</v>
      </c>
      <c r="D146" s="275">
        <v>500</v>
      </c>
      <c r="E146" s="276">
        <v>45</v>
      </c>
      <c r="F146" s="275"/>
      <c r="G146" s="83" t="s">
        <v>712</v>
      </c>
      <c r="H146" s="367">
        <v>0</v>
      </c>
      <c r="I146" s="367"/>
      <c r="J146" s="64" t="s">
        <v>713</v>
      </c>
      <c r="L146" s="367"/>
    </row>
    <row r="147" spans="1:12" ht="25.5">
      <c r="A147" s="277">
        <v>305</v>
      </c>
      <c r="B147" s="275">
        <v>100</v>
      </c>
      <c r="C147" s="275">
        <v>150</v>
      </c>
      <c r="D147" s="276">
        <v>600</v>
      </c>
      <c r="E147" s="276"/>
      <c r="F147" s="275"/>
      <c r="G147" s="83" t="s">
        <v>714</v>
      </c>
      <c r="H147" s="367">
        <v>90273.5</v>
      </c>
      <c r="I147" s="367"/>
      <c r="J147" s="64" t="s">
        <v>715</v>
      </c>
      <c r="L147" s="367"/>
    </row>
    <row r="148" spans="1:12" ht="38.25">
      <c r="A148" s="277">
        <v>305</v>
      </c>
      <c r="B148" s="275">
        <v>100</v>
      </c>
      <c r="C148" s="275">
        <v>150</v>
      </c>
      <c r="D148" s="276">
        <v>700</v>
      </c>
      <c r="E148" s="276"/>
      <c r="F148" s="275"/>
      <c r="G148" s="83" t="s">
        <v>716</v>
      </c>
      <c r="H148" s="367">
        <v>0</v>
      </c>
      <c r="I148" s="367"/>
      <c r="J148" s="64" t="s">
        <v>717</v>
      </c>
      <c r="L148" s="367"/>
    </row>
    <row r="149" spans="1:12" s="86" customFormat="1" ht="12.75">
      <c r="A149" s="277">
        <v>305</v>
      </c>
      <c r="B149" s="275">
        <v>100</v>
      </c>
      <c r="C149" s="275">
        <v>200</v>
      </c>
      <c r="D149" s="275"/>
      <c r="E149" s="276"/>
      <c r="F149" s="275"/>
      <c r="G149" s="88" t="s">
        <v>718</v>
      </c>
      <c r="H149" s="366"/>
      <c r="I149" s="366"/>
      <c r="J149" s="85" t="s">
        <v>719</v>
      </c>
      <c r="L149" s="366"/>
    </row>
    <row r="150" spans="1:12">
      <c r="A150" s="277">
        <v>305</v>
      </c>
      <c r="B150" s="275">
        <v>100</v>
      </c>
      <c r="C150" s="275">
        <v>200</v>
      </c>
      <c r="D150" s="275">
        <v>100</v>
      </c>
      <c r="E150" s="276"/>
      <c r="F150" s="276"/>
      <c r="G150" s="83" t="s">
        <v>677</v>
      </c>
      <c r="H150" s="367">
        <v>0</v>
      </c>
      <c r="I150" s="367"/>
      <c r="J150" s="85" t="s">
        <v>720</v>
      </c>
      <c r="L150" s="367"/>
    </row>
    <row r="151" spans="1:12">
      <c r="A151" s="277">
        <v>305</v>
      </c>
      <c r="B151" s="275">
        <v>100</v>
      </c>
      <c r="C151" s="275">
        <v>200</v>
      </c>
      <c r="D151" s="276">
        <v>200</v>
      </c>
      <c r="E151" s="275"/>
      <c r="F151" s="275"/>
      <c r="G151" s="83" t="s">
        <v>683</v>
      </c>
      <c r="H151" s="367">
        <v>0</v>
      </c>
      <c r="I151" s="367"/>
      <c r="J151" s="64" t="s">
        <v>721</v>
      </c>
      <c r="L151" s="367"/>
    </row>
    <row r="152" spans="1:12">
      <c r="A152" s="277">
        <v>305</v>
      </c>
      <c r="B152" s="275">
        <v>100</v>
      </c>
      <c r="C152" s="275">
        <v>200</v>
      </c>
      <c r="D152" s="276">
        <v>300</v>
      </c>
      <c r="E152" s="275"/>
      <c r="F152" s="275"/>
      <c r="G152" s="83" t="s">
        <v>722</v>
      </c>
      <c r="H152" s="367">
        <v>0</v>
      </c>
      <c r="I152" s="367"/>
      <c r="J152" s="64" t="s">
        <v>723</v>
      </c>
      <c r="L152" s="367"/>
    </row>
    <row r="153" spans="1:12" s="86" customFormat="1" ht="12.75">
      <c r="A153" s="277">
        <v>305</v>
      </c>
      <c r="B153" s="275">
        <v>100</v>
      </c>
      <c r="C153" s="275">
        <v>200</v>
      </c>
      <c r="D153" s="275">
        <v>400</v>
      </c>
      <c r="E153" s="275"/>
      <c r="F153" s="275"/>
      <c r="G153" s="88" t="s">
        <v>724</v>
      </c>
      <c r="H153" s="366"/>
      <c r="I153" s="366"/>
      <c r="J153" s="64" t="s">
        <v>725</v>
      </c>
      <c r="L153" s="366"/>
    </row>
    <row r="154" spans="1:12" s="86" customFormat="1" ht="12.75">
      <c r="A154" s="277">
        <v>305</v>
      </c>
      <c r="B154" s="275">
        <v>100</v>
      </c>
      <c r="C154" s="275">
        <v>200</v>
      </c>
      <c r="D154" s="275">
        <v>400</v>
      </c>
      <c r="E154" s="276">
        <v>10</v>
      </c>
      <c r="F154" s="275"/>
      <c r="G154" s="83" t="s">
        <v>726</v>
      </c>
      <c r="H154" s="367">
        <v>859493.68</v>
      </c>
      <c r="I154" s="367"/>
      <c r="J154" s="64"/>
      <c r="L154" s="367"/>
    </row>
    <row r="155" spans="1:12">
      <c r="A155" s="277">
        <v>305</v>
      </c>
      <c r="B155" s="275">
        <v>100</v>
      </c>
      <c r="C155" s="275">
        <v>200</v>
      </c>
      <c r="D155" s="275">
        <v>400</v>
      </c>
      <c r="E155" s="276">
        <v>20</v>
      </c>
      <c r="F155" s="275"/>
      <c r="G155" s="83" t="s">
        <v>727</v>
      </c>
      <c r="H155" s="367">
        <v>500226.45</v>
      </c>
      <c r="I155" s="367"/>
      <c r="J155" s="64"/>
      <c r="L155" s="367"/>
    </row>
    <row r="156" spans="1:12">
      <c r="A156" s="277">
        <v>305</v>
      </c>
      <c r="B156" s="275">
        <v>100</v>
      </c>
      <c r="C156" s="275">
        <v>200</v>
      </c>
      <c r="D156" s="275">
        <v>500</v>
      </c>
      <c r="E156" s="275"/>
      <c r="F156" s="275"/>
      <c r="G156" s="88" t="s">
        <v>728</v>
      </c>
      <c r="H156" s="366"/>
      <c r="I156" s="366"/>
      <c r="J156" s="64" t="s">
        <v>729</v>
      </c>
      <c r="L156" s="366"/>
    </row>
    <row r="157" spans="1:12">
      <c r="A157" s="277">
        <v>305</v>
      </c>
      <c r="B157" s="275">
        <v>100</v>
      </c>
      <c r="C157" s="275">
        <v>200</v>
      </c>
      <c r="D157" s="275">
        <v>500</v>
      </c>
      <c r="E157" s="276">
        <v>10</v>
      </c>
      <c r="F157" s="275"/>
      <c r="G157" s="83" t="s">
        <v>726</v>
      </c>
      <c r="H157" s="367">
        <v>0</v>
      </c>
      <c r="I157" s="367"/>
      <c r="J157" s="64"/>
      <c r="L157" s="367"/>
    </row>
    <row r="158" spans="1:12">
      <c r="A158" s="277">
        <v>305</v>
      </c>
      <c r="B158" s="275">
        <v>100</v>
      </c>
      <c r="C158" s="275">
        <v>200</v>
      </c>
      <c r="D158" s="275">
        <v>500</v>
      </c>
      <c r="E158" s="276">
        <v>20</v>
      </c>
      <c r="F158" s="275"/>
      <c r="G158" s="83" t="s">
        <v>727</v>
      </c>
      <c r="H158" s="367">
        <v>0</v>
      </c>
      <c r="I158" s="367"/>
      <c r="J158" s="64"/>
      <c r="L158" s="367"/>
    </row>
    <row r="159" spans="1:12" s="86" customFormat="1" ht="12.75">
      <c r="A159" s="277">
        <v>305</v>
      </c>
      <c r="B159" s="275">
        <v>100</v>
      </c>
      <c r="C159" s="275">
        <v>250</v>
      </c>
      <c r="D159" s="275"/>
      <c r="E159" s="275"/>
      <c r="F159" s="275"/>
      <c r="G159" s="63" t="s">
        <v>730</v>
      </c>
      <c r="H159" s="366"/>
      <c r="I159" s="366"/>
      <c r="J159" s="85" t="s">
        <v>731</v>
      </c>
      <c r="L159" s="366"/>
    </row>
    <row r="160" spans="1:12">
      <c r="A160" s="277">
        <v>305</v>
      </c>
      <c r="B160" s="275">
        <v>100</v>
      </c>
      <c r="C160" s="275">
        <v>250</v>
      </c>
      <c r="D160" s="275">
        <v>100</v>
      </c>
      <c r="E160" s="276"/>
      <c r="F160" s="276"/>
      <c r="G160" s="83" t="s">
        <v>732</v>
      </c>
      <c r="H160" s="367">
        <v>0</v>
      </c>
      <c r="I160" s="367"/>
      <c r="J160" s="85" t="s">
        <v>733</v>
      </c>
      <c r="L160" s="367"/>
    </row>
    <row r="161" spans="1:12">
      <c r="A161" s="277">
        <v>305</v>
      </c>
      <c r="B161" s="275">
        <v>100</v>
      </c>
      <c r="C161" s="275">
        <v>250</v>
      </c>
      <c r="D161" s="276">
        <v>200</v>
      </c>
      <c r="E161" s="276"/>
      <c r="F161" s="275"/>
      <c r="G161" s="83" t="s">
        <v>683</v>
      </c>
      <c r="H161" s="367">
        <v>0</v>
      </c>
      <c r="I161" s="367"/>
      <c r="J161" s="64" t="s">
        <v>734</v>
      </c>
      <c r="L161" s="367"/>
    </row>
    <row r="162" spans="1:12">
      <c r="A162" s="277">
        <v>305</v>
      </c>
      <c r="B162" s="275">
        <v>100</v>
      </c>
      <c r="C162" s="275">
        <v>250</v>
      </c>
      <c r="D162" s="276">
        <v>300</v>
      </c>
      <c r="E162" s="276"/>
      <c r="F162" s="275"/>
      <c r="G162" s="83" t="s">
        <v>673</v>
      </c>
      <c r="H162" s="367"/>
      <c r="I162" s="367"/>
      <c r="J162" s="64" t="s">
        <v>735</v>
      </c>
      <c r="L162" s="367"/>
    </row>
    <row r="163" spans="1:12" s="86" customFormat="1" ht="12.75">
      <c r="A163" s="277">
        <v>305</v>
      </c>
      <c r="B163" s="275">
        <v>100</v>
      </c>
      <c r="C163" s="275">
        <v>250</v>
      </c>
      <c r="D163" s="275">
        <v>400</v>
      </c>
      <c r="E163" s="275"/>
      <c r="F163" s="275"/>
      <c r="G163" s="88" t="s">
        <v>736</v>
      </c>
      <c r="H163" s="366"/>
      <c r="I163" s="366"/>
      <c r="J163" s="64" t="s">
        <v>737</v>
      </c>
      <c r="L163" s="366"/>
    </row>
    <row r="164" spans="1:12" s="86" customFormat="1" ht="12.75">
      <c r="A164" s="277">
        <v>305</v>
      </c>
      <c r="B164" s="275">
        <v>100</v>
      </c>
      <c r="C164" s="275">
        <v>250</v>
      </c>
      <c r="D164" s="275">
        <v>400</v>
      </c>
      <c r="E164" s="276">
        <v>10</v>
      </c>
      <c r="F164" s="275"/>
      <c r="G164" s="83" t="s">
        <v>738</v>
      </c>
      <c r="H164" s="367">
        <v>4900604.3600000003</v>
      </c>
      <c r="I164" s="367"/>
      <c r="J164" s="64"/>
      <c r="L164" s="367"/>
    </row>
    <row r="165" spans="1:12" s="86" customFormat="1" ht="12.75">
      <c r="A165" s="277">
        <v>305</v>
      </c>
      <c r="B165" s="275">
        <v>100</v>
      </c>
      <c r="C165" s="275">
        <v>250</v>
      </c>
      <c r="D165" s="275">
        <v>400</v>
      </c>
      <c r="E165" s="276">
        <v>20</v>
      </c>
      <c r="F165" s="275"/>
      <c r="G165" s="83" t="s">
        <v>739</v>
      </c>
      <c r="H165" s="367">
        <v>2804317.06</v>
      </c>
      <c r="I165" s="367"/>
      <c r="J165" s="64"/>
      <c r="L165" s="367"/>
    </row>
    <row r="166" spans="1:12" s="86" customFormat="1" ht="12.75">
      <c r="A166" s="277">
        <v>305</v>
      </c>
      <c r="B166" s="275">
        <v>100</v>
      </c>
      <c r="C166" s="275">
        <v>250</v>
      </c>
      <c r="D166" s="275">
        <v>400</v>
      </c>
      <c r="E166" s="276">
        <v>30</v>
      </c>
      <c r="F166" s="275"/>
      <c r="G166" s="83" t="s">
        <v>740</v>
      </c>
      <c r="H166" s="367">
        <v>2980306.31</v>
      </c>
      <c r="I166" s="367"/>
      <c r="J166" s="64"/>
      <c r="L166" s="367"/>
    </row>
    <row r="167" spans="1:12">
      <c r="A167" s="277">
        <v>305</v>
      </c>
      <c r="B167" s="275">
        <v>100</v>
      </c>
      <c r="C167" s="275">
        <v>250</v>
      </c>
      <c r="D167" s="275">
        <v>400</v>
      </c>
      <c r="E167" s="276">
        <v>90</v>
      </c>
      <c r="F167" s="275"/>
      <c r="G167" s="83" t="s">
        <v>741</v>
      </c>
      <c r="H167" s="367">
        <v>1275228.47</v>
      </c>
      <c r="I167" s="367"/>
      <c r="J167" s="70"/>
      <c r="L167" s="367"/>
    </row>
    <row r="168" spans="1:12" s="86" customFormat="1" ht="12.75">
      <c r="A168" s="277">
        <v>305</v>
      </c>
      <c r="B168" s="275">
        <v>100</v>
      </c>
      <c r="C168" s="275">
        <v>300</v>
      </c>
      <c r="D168" s="275"/>
      <c r="E168" s="275"/>
      <c r="F168" s="275"/>
      <c r="G168" s="63" t="s">
        <v>742</v>
      </c>
      <c r="H168" s="366"/>
      <c r="I168" s="366"/>
      <c r="J168" s="85" t="s">
        <v>743</v>
      </c>
      <c r="L168" s="366"/>
    </row>
    <row r="169" spans="1:12">
      <c r="A169" s="277">
        <v>305</v>
      </c>
      <c r="B169" s="275">
        <v>100</v>
      </c>
      <c r="C169" s="275">
        <v>300</v>
      </c>
      <c r="D169" s="275">
        <v>100</v>
      </c>
      <c r="E169" s="276"/>
      <c r="F169" s="276"/>
      <c r="G169" s="83" t="s">
        <v>677</v>
      </c>
      <c r="H169" s="367">
        <v>0</v>
      </c>
      <c r="I169" s="367"/>
      <c r="J169" s="85" t="s">
        <v>743</v>
      </c>
      <c r="L169" s="367"/>
    </row>
    <row r="170" spans="1:12">
      <c r="A170" s="277">
        <v>305</v>
      </c>
      <c r="B170" s="275">
        <v>100</v>
      </c>
      <c r="C170" s="275">
        <v>300</v>
      </c>
      <c r="D170" s="276">
        <v>200</v>
      </c>
      <c r="E170" s="276"/>
      <c r="F170" s="275"/>
      <c r="G170" s="83" t="s">
        <v>683</v>
      </c>
      <c r="H170" s="367">
        <v>0</v>
      </c>
      <c r="I170" s="367"/>
      <c r="J170" s="64" t="s">
        <v>744</v>
      </c>
      <c r="L170" s="367"/>
    </row>
    <row r="171" spans="1:12">
      <c r="A171" s="277">
        <v>305</v>
      </c>
      <c r="B171" s="275">
        <v>100</v>
      </c>
      <c r="C171" s="275">
        <v>300</v>
      </c>
      <c r="D171" s="276">
        <v>300</v>
      </c>
      <c r="E171" s="276"/>
      <c r="F171" s="275"/>
      <c r="G171" s="83" t="s">
        <v>673</v>
      </c>
      <c r="H171" s="367">
        <v>0</v>
      </c>
      <c r="I171" s="367"/>
      <c r="J171" s="64" t="s">
        <v>745</v>
      </c>
      <c r="L171" s="367"/>
    </row>
    <row r="172" spans="1:12" s="86" customFormat="1" ht="12.75">
      <c r="A172" s="277">
        <v>305</v>
      </c>
      <c r="B172" s="275">
        <v>100</v>
      </c>
      <c r="C172" s="275">
        <v>300</v>
      </c>
      <c r="D172" s="275">
        <v>400</v>
      </c>
      <c r="E172" s="275"/>
      <c r="F172" s="275"/>
      <c r="G172" s="63" t="s">
        <v>696</v>
      </c>
      <c r="H172" s="366"/>
      <c r="I172" s="366"/>
      <c r="J172" s="64" t="s">
        <v>746</v>
      </c>
      <c r="L172" s="366"/>
    </row>
    <row r="173" spans="1:12" s="86" customFormat="1" ht="12.75">
      <c r="A173" s="277">
        <v>305</v>
      </c>
      <c r="B173" s="275">
        <v>100</v>
      </c>
      <c r="C173" s="275">
        <v>300</v>
      </c>
      <c r="D173" s="275">
        <v>400</v>
      </c>
      <c r="E173" s="276">
        <v>10</v>
      </c>
      <c r="F173" s="275"/>
      <c r="G173" s="83" t="s">
        <v>747</v>
      </c>
      <c r="H173" s="367">
        <v>3186689.22</v>
      </c>
      <c r="I173" s="367"/>
      <c r="J173" s="64"/>
      <c r="L173" s="367"/>
    </row>
    <row r="174" spans="1:12">
      <c r="A174" s="277">
        <v>305</v>
      </c>
      <c r="B174" s="275">
        <v>100</v>
      </c>
      <c r="C174" s="275">
        <v>300</v>
      </c>
      <c r="D174" s="275">
        <v>400</v>
      </c>
      <c r="E174" s="276">
        <v>20</v>
      </c>
      <c r="F174" s="275"/>
      <c r="G174" s="83" t="s">
        <v>748</v>
      </c>
      <c r="H174" s="367">
        <v>929135.05</v>
      </c>
      <c r="I174" s="367"/>
      <c r="J174" s="64"/>
      <c r="L174" s="367"/>
    </row>
    <row r="175" spans="1:12">
      <c r="A175" s="277">
        <v>305</v>
      </c>
      <c r="B175" s="275">
        <v>100</v>
      </c>
      <c r="C175" s="275">
        <v>350</v>
      </c>
      <c r="D175" s="275"/>
      <c r="E175" s="275"/>
      <c r="F175" s="275"/>
      <c r="G175" s="63" t="s">
        <v>749</v>
      </c>
      <c r="H175" s="366"/>
      <c r="I175" s="366"/>
      <c r="J175" s="64" t="s">
        <v>750</v>
      </c>
      <c r="L175" s="366"/>
    </row>
    <row r="176" spans="1:12" s="86" customFormat="1" ht="12.75">
      <c r="A176" s="277">
        <v>305</v>
      </c>
      <c r="B176" s="275">
        <v>100</v>
      </c>
      <c r="C176" s="275">
        <v>350</v>
      </c>
      <c r="D176" s="275">
        <v>100</v>
      </c>
      <c r="E176" s="275"/>
      <c r="F176" s="275"/>
      <c r="G176" s="88" t="s">
        <v>677</v>
      </c>
      <c r="H176" s="366"/>
      <c r="I176" s="366"/>
      <c r="J176" s="64" t="s">
        <v>751</v>
      </c>
      <c r="L176" s="366"/>
    </row>
    <row r="177" spans="1:12" s="86" customFormat="1" ht="12.75">
      <c r="A177" s="277">
        <v>305</v>
      </c>
      <c r="B177" s="275">
        <v>100</v>
      </c>
      <c r="C177" s="275">
        <v>350</v>
      </c>
      <c r="D177" s="275">
        <v>100</v>
      </c>
      <c r="E177" s="276">
        <v>10</v>
      </c>
      <c r="F177" s="275"/>
      <c r="G177" s="83" t="s">
        <v>752</v>
      </c>
      <c r="H177" s="367">
        <v>31576026.949999999</v>
      </c>
      <c r="I177" s="367"/>
      <c r="J177" s="64"/>
      <c r="L177" s="367"/>
    </row>
    <row r="178" spans="1:12">
      <c r="A178" s="277">
        <v>305</v>
      </c>
      <c r="B178" s="275">
        <v>100</v>
      </c>
      <c r="C178" s="275">
        <v>350</v>
      </c>
      <c r="D178" s="275">
        <v>100</v>
      </c>
      <c r="E178" s="276">
        <v>20</v>
      </c>
      <c r="F178" s="275"/>
      <c r="G178" s="83" t="s">
        <v>753</v>
      </c>
      <c r="H178" s="367">
        <v>2674</v>
      </c>
      <c r="I178" s="367"/>
      <c r="J178" s="64"/>
      <c r="L178" s="367"/>
    </row>
    <row r="179" spans="1:12">
      <c r="A179" s="277">
        <v>305</v>
      </c>
      <c r="B179" s="275">
        <v>100</v>
      </c>
      <c r="C179" s="275">
        <v>350</v>
      </c>
      <c r="D179" s="276">
        <v>200</v>
      </c>
      <c r="E179" s="276"/>
      <c r="F179" s="275"/>
      <c r="G179" s="83" t="s">
        <v>683</v>
      </c>
      <c r="H179" s="367">
        <v>0</v>
      </c>
      <c r="I179" s="367"/>
      <c r="J179" s="64" t="s">
        <v>754</v>
      </c>
      <c r="L179" s="367"/>
    </row>
    <row r="180" spans="1:12">
      <c r="A180" s="277">
        <v>305</v>
      </c>
      <c r="B180" s="275">
        <v>100</v>
      </c>
      <c r="C180" s="275">
        <v>350</v>
      </c>
      <c r="D180" s="275">
        <v>300</v>
      </c>
      <c r="E180" s="275"/>
      <c r="F180" s="275"/>
      <c r="G180" s="88" t="s">
        <v>673</v>
      </c>
      <c r="H180" s="366"/>
      <c r="I180" s="366"/>
      <c r="J180" s="64" t="s">
        <v>755</v>
      </c>
      <c r="L180" s="366"/>
    </row>
    <row r="181" spans="1:12">
      <c r="A181" s="277">
        <v>305</v>
      </c>
      <c r="B181" s="275">
        <v>100</v>
      </c>
      <c r="C181" s="275">
        <v>350</v>
      </c>
      <c r="D181" s="275">
        <v>300</v>
      </c>
      <c r="E181" s="276">
        <v>10</v>
      </c>
      <c r="F181" s="275"/>
      <c r="G181" s="83" t="s">
        <v>756</v>
      </c>
      <c r="H181" s="367">
        <v>17603520</v>
      </c>
      <c r="I181" s="367"/>
      <c r="J181" s="64"/>
      <c r="L181" s="367"/>
    </row>
    <row r="182" spans="1:12">
      <c r="A182" s="277">
        <v>305</v>
      </c>
      <c r="B182" s="275">
        <v>100</v>
      </c>
      <c r="C182" s="275">
        <v>350</v>
      </c>
      <c r="D182" s="275">
        <v>300</v>
      </c>
      <c r="E182" s="276">
        <v>20</v>
      </c>
      <c r="F182" s="275"/>
      <c r="G182" s="83" t="s">
        <v>757</v>
      </c>
      <c r="H182" s="367"/>
      <c r="I182" s="367"/>
      <c r="J182" s="64"/>
      <c r="L182" s="367"/>
    </row>
    <row r="183" spans="1:12">
      <c r="A183" s="277">
        <v>305</v>
      </c>
      <c r="B183" s="275">
        <v>100</v>
      </c>
      <c r="C183" s="275">
        <v>350</v>
      </c>
      <c r="D183" s="275">
        <v>400</v>
      </c>
      <c r="E183" s="275"/>
      <c r="F183" s="275"/>
      <c r="G183" s="88" t="s">
        <v>696</v>
      </c>
      <c r="H183" s="366"/>
      <c r="I183" s="366"/>
      <c r="J183" s="64" t="s">
        <v>758</v>
      </c>
      <c r="L183" s="366"/>
    </row>
    <row r="184" spans="1:12" ht="25.5">
      <c r="A184" s="277">
        <v>305</v>
      </c>
      <c r="B184" s="275">
        <v>100</v>
      </c>
      <c r="C184" s="275">
        <v>350</v>
      </c>
      <c r="D184" s="275">
        <v>400</v>
      </c>
      <c r="E184" s="276">
        <v>10</v>
      </c>
      <c r="F184" s="275"/>
      <c r="G184" s="83" t="s">
        <v>759</v>
      </c>
      <c r="H184" s="367">
        <v>0</v>
      </c>
      <c r="I184" s="367"/>
      <c r="J184" s="64" t="s">
        <v>760</v>
      </c>
      <c r="L184" s="367"/>
    </row>
    <row r="185" spans="1:12">
      <c r="A185" s="277">
        <v>305</v>
      </c>
      <c r="B185" s="275">
        <v>100</v>
      </c>
      <c r="C185" s="275">
        <v>350</v>
      </c>
      <c r="D185" s="275">
        <v>400</v>
      </c>
      <c r="E185" s="276">
        <v>20</v>
      </c>
      <c r="F185" s="275"/>
      <c r="G185" s="83" t="s">
        <v>761</v>
      </c>
      <c r="H185" s="367">
        <v>0</v>
      </c>
      <c r="I185" s="367"/>
      <c r="J185" s="64" t="s">
        <v>762</v>
      </c>
      <c r="L185" s="367"/>
    </row>
    <row r="186" spans="1:12">
      <c r="A186" s="277">
        <v>305</v>
      </c>
      <c r="B186" s="275">
        <v>100</v>
      </c>
      <c r="C186" s="275">
        <v>350</v>
      </c>
      <c r="D186" s="275">
        <v>400</v>
      </c>
      <c r="E186" s="276">
        <v>30</v>
      </c>
      <c r="F186" s="275"/>
      <c r="G186" s="83" t="s">
        <v>763</v>
      </c>
      <c r="H186" s="367">
        <v>16818653.949999999</v>
      </c>
      <c r="I186" s="367"/>
      <c r="J186" s="64" t="s">
        <v>764</v>
      </c>
      <c r="L186" s="367"/>
    </row>
    <row r="187" spans="1:12">
      <c r="A187" s="277">
        <v>305</v>
      </c>
      <c r="B187" s="275">
        <v>100</v>
      </c>
      <c r="C187" s="275">
        <v>350</v>
      </c>
      <c r="D187" s="275">
        <v>400</v>
      </c>
      <c r="E187" s="276">
        <v>40</v>
      </c>
      <c r="F187" s="275"/>
      <c r="G187" s="83" t="s">
        <v>765</v>
      </c>
      <c r="H187" s="367">
        <v>4773357.75</v>
      </c>
      <c r="I187" s="367"/>
      <c r="J187" s="64" t="s">
        <v>766</v>
      </c>
      <c r="L187" s="367"/>
    </row>
    <row r="188" spans="1:12" ht="25.5">
      <c r="A188" s="277">
        <v>305</v>
      </c>
      <c r="B188" s="275">
        <v>100</v>
      </c>
      <c r="C188" s="275">
        <v>350</v>
      </c>
      <c r="D188" s="276">
        <v>500</v>
      </c>
      <c r="E188" s="275"/>
      <c r="F188" s="275"/>
      <c r="G188" s="88" t="s">
        <v>714</v>
      </c>
      <c r="H188" s="367">
        <v>1562910.02</v>
      </c>
      <c r="I188" s="367"/>
      <c r="J188" s="64" t="s">
        <v>767</v>
      </c>
      <c r="L188" s="367"/>
    </row>
    <row r="189" spans="1:12" s="86" customFormat="1" ht="12.75">
      <c r="A189" s="277">
        <v>305</v>
      </c>
      <c r="B189" s="275">
        <v>100</v>
      </c>
      <c r="C189" s="275">
        <v>400</v>
      </c>
      <c r="D189" s="275"/>
      <c r="E189" s="275"/>
      <c r="F189" s="275"/>
      <c r="G189" s="63" t="s">
        <v>768</v>
      </c>
      <c r="H189" s="366"/>
      <c r="I189" s="366"/>
      <c r="J189" s="64" t="s">
        <v>769</v>
      </c>
      <c r="L189" s="366"/>
    </row>
    <row r="190" spans="1:12">
      <c r="A190" s="277">
        <v>305</v>
      </c>
      <c r="B190" s="275">
        <v>100</v>
      </c>
      <c r="C190" s="275">
        <v>400</v>
      </c>
      <c r="D190" s="275">
        <v>100</v>
      </c>
      <c r="E190" s="276"/>
      <c r="F190" s="276"/>
      <c r="G190" s="83" t="s">
        <v>677</v>
      </c>
      <c r="H190" s="367">
        <v>0</v>
      </c>
      <c r="I190" s="367"/>
      <c r="J190" s="85" t="s">
        <v>770</v>
      </c>
      <c r="L190" s="367"/>
    </row>
    <row r="191" spans="1:12">
      <c r="A191" s="277">
        <v>305</v>
      </c>
      <c r="B191" s="275">
        <v>100</v>
      </c>
      <c r="C191" s="275">
        <v>400</v>
      </c>
      <c r="D191" s="276">
        <v>200</v>
      </c>
      <c r="E191" s="276"/>
      <c r="F191" s="275"/>
      <c r="G191" s="83" t="s">
        <v>683</v>
      </c>
      <c r="H191" s="367">
        <v>0</v>
      </c>
      <c r="I191" s="367"/>
      <c r="J191" s="64" t="s">
        <v>771</v>
      </c>
      <c r="L191" s="367"/>
    </row>
    <row r="192" spans="1:12">
      <c r="A192" s="277">
        <v>305</v>
      </c>
      <c r="B192" s="275">
        <v>100</v>
      </c>
      <c r="C192" s="275">
        <v>400</v>
      </c>
      <c r="D192" s="276">
        <v>300</v>
      </c>
      <c r="E192" s="276"/>
      <c r="F192" s="275"/>
      <c r="G192" s="83" t="s">
        <v>772</v>
      </c>
      <c r="H192" s="367"/>
      <c r="I192" s="367"/>
      <c r="J192" s="64" t="s">
        <v>773</v>
      </c>
      <c r="L192" s="367"/>
    </row>
    <row r="193" spans="1:12">
      <c r="A193" s="277">
        <v>305</v>
      </c>
      <c r="B193" s="275">
        <v>100</v>
      </c>
      <c r="C193" s="275">
        <v>400</v>
      </c>
      <c r="D193" s="276">
        <v>400</v>
      </c>
      <c r="E193" s="276"/>
      <c r="F193" s="275"/>
      <c r="G193" s="83" t="s">
        <v>724</v>
      </c>
      <c r="H193" s="367">
        <v>5810639.4500000002</v>
      </c>
      <c r="I193" s="367"/>
      <c r="J193" s="64" t="s">
        <v>774</v>
      </c>
      <c r="L193" s="367"/>
    </row>
    <row r="194" spans="1:12">
      <c r="A194" s="277">
        <v>305</v>
      </c>
      <c r="B194" s="275">
        <v>100</v>
      </c>
      <c r="C194" s="275">
        <v>400</v>
      </c>
      <c r="D194" s="276">
        <v>500</v>
      </c>
      <c r="E194" s="276"/>
      <c r="F194" s="275"/>
      <c r="G194" s="83" t="s">
        <v>728</v>
      </c>
      <c r="H194" s="367">
        <v>218795.04</v>
      </c>
      <c r="I194" s="367"/>
      <c r="J194" s="64" t="s">
        <v>775</v>
      </c>
      <c r="L194" s="367"/>
    </row>
    <row r="195" spans="1:12">
      <c r="A195" s="277">
        <v>305</v>
      </c>
      <c r="B195" s="275">
        <v>100</v>
      </c>
      <c r="C195" s="275">
        <v>450</v>
      </c>
      <c r="D195" s="275"/>
      <c r="E195" s="275"/>
      <c r="F195" s="275"/>
      <c r="G195" s="63" t="s">
        <v>776</v>
      </c>
      <c r="H195" s="366"/>
      <c r="I195" s="366"/>
      <c r="J195" s="64" t="s">
        <v>777</v>
      </c>
      <c r="L195" s="366"/>
    </row>
    <row r="196" spans="1:12" s="86" customFormat="1" ht="12.75">
      <c r="A196" s="277">
        <v>305</v>
      </c>
      <c r="B196" s="275">
        <v>100</v>
      </c>
      <c r="C196" s="275">
        <v>450</v>
      </c>
      <c r="D196" s="275">
        <v>100</v>
      </c>
      <c r="E196" s="275"/>
      <c r="F196" s="275"/>
      <c r="G196" s="88" t="s">
        <v>662</v>
      </c>
      <c r="H196" s="366"/>
      <c r="I196" s="366"/>
      <c r="J196" s="64" t="s">
        <v>778</v>
      </c>
      <c r="L196" s="366"/>
    </row>
    <row r="197" spans="1:12" s="86" customFormat="1" ht="12.75">
      <c r="A197" s="277">
        <v>305</v>
      </c>
      <c r="B197" s="275">
        <v>100</v>
      </c>
      <c r="C197" s="275">
        <v>450</v>
      </c>
      <c r="D197" s="275">
        <v>100</v>
      </c>
      <c r="E197" s="276">
        <v>10</v>
      </c>
      <c r="F197" s="276"/>
      <c r="G197" s="83" t="s">
        <v>779</v>
      </c>
      <c r="H197" s="367">
        <v>3618051.3</v>
      </c>
      <c r="I197" s="367"/>
      <c r="J197" s="70"/>
      <c r="L197" s="367"/>
    </row>
    <row r="198" spans="1:12">
      <c r="A198" s="277">
        <v>305</v>
      </c>
      <c r="B198" s="275">
        <v>100</v>
      </c>
      <c r="C198" s="275">
        <v>450</v>
      </c>
      <c r="D198" s="275">
        <v>100</v>
      </c>
      <c r="E198" s="276">
        <v>20</v>
      </c>
      <c r="F198" s="276"/>
      <c r="G198" s="83" t="s">
        <v>780</v>
      </c>
      <c r="H198" s="367">
        <v>0</v>
      </c>
      <c r="I198" s="367"/>
      <c r="J198" s="70"/>
      <c r="L198" s="367"/>
    </row>
    <row r="199" spans="1:12">
      <c r="A199" s="277">
        <v>305</v>
      </c>
      <c r="B199" s="275">
        <v>100</v>
      </c>
      <c r="C199" s="275">
        <v>450</v>
      </c>
      <c r="D199" s="276">
        <v>200</v>
      </c>
      <c r="E199" s="276"/>
      <c r="F199" s="275"/>
      <c r="G199" s="83" t="s">
        <v>683</v>
      </c>
      <c r="H199" s="367">
        <v>0</v>
      </c>
      <c r="I199" s="367"/>
      <c r="J199" s="64" t="s">
        <v>781</v>
      </c>
      <c r="L199" s="367"/>
    </row>
    <row r="200" spans="1:12">
      <c r="A200" s="277">
        <v>305</v>
      </c>
      <c r="B200" s="275">
        <v>100</v>
      </c>
      <c r="C200" s="275">
        <v>450</v>
      </c>
      <c r="D200" s="276">
        <v>300</v>
      </c>
      <c r="E200" s="276"/>
      <c r="F200" s="275"/>
      <c r="G200" s="83" t="s">
        <v>673</v>
      </c>
      <c r="H200" s="367">
        <v>1801698</v>
      </c>
      <c r="I200" s="367"/>
      <c r="J200" s="64" t="s">
        <v>782</v>
      </c>
      <c r="L200" s="367"/>
    </row>
    <row r="201" spans="1:12">
      <c r="A201" s="277">
        <v>305</v>
      </c>
      <c r="B201" s="275">
        <v>100</v>
      </c>
      <c r="C201" s="275">
        <v>450</v>
      </c>
      <c r="D201" s="275">
        <v>400</v>
      </c>
      <c r="E201" s="275"/>
      <c r="F201" s="275"/>
      <c r="G201" s="88" t="s">
        <v>724</v>
      </c>
      <c r="H201" s="366"/>
      <c r="I201" s="366"/>
      <c r="J201" s="64" t="s">
        <v>783</v>
      </c>
      <c r="L201" s="366"/>
    </row>
    <row r="202" spans="1:12">
      <c r="A202" s="277">
        <v>305</v>
      </c>
      <c r="B202" s="275">
        <v>100</v>
      </c>
      <c r="C202" s="275">
        <v>450</v>
      </c>
      <c r="D202" s="275">
        <v>400</v>
      </c>
      <c r="E202" s="276">
        <v>10</v>
      </c>
      <c r="F202" s="276"/>
      <c r="G202" s="83" t="s">
        <v>784</v>
      </c>
      <c r="H202" s="367">
        <v>2704163.13</v>
      </c>
      <c r="I202" s="367"/>
      <c r="J202" s="64"/>
      <c r="L202" s="367"/>
    </row>
    <row r="203" spans="1:12">
      <c r="A203" s="277">
        <v>305</v>
      </c>
      <c r="B203" s="275">
        <v>100</v>
      </c>
      <c r="C203" s="275">
        <v>450</v>
      </c>
      <c r="D203" s="275">
        <v>400</v>
      </c>
      <c r="E203" s="276">
        <v>90</v>
      </c>
      <c r="F203" s="276"/>
      <c r="G203" s="83" t="s">
        <v>785</v>
      </c>
      <c r="H203" s="367"/>
      <c r="I203" s="367"/>
      <c r="J203" s="64"/>
      <c r="L203" s="367"/>
    </row>
    <row r="204" spans="1:12">
      <c r="A204" s="277">
        <v>305</v>
      </c>
      <c r="B204" s="275">
        <v>100</v>
      </c>
      <c r="C204" s="275">
        <v>450</v>
      </c>
      <c r="D204" s="276">
        <v>500</v>
      </c>
      <c r="E204" s="276"/>
      <c r="F204" s="275"/>
      <c r="G204" s="83" t="s">
        <v>728</v>
      </c>
      <c r="H204" s="367">
        <v>0</v>
      </c>
      <c r="I204" s="367"/>
      <c r="J204" s="64" t="s">
        <v>786</v>
      </c>
      <c r="L204" s="367"/>
    </row>
    <row r="205" spans="1:12" ht="25.5">
      <c r="A205" s="277">
        <v>305</v>
      </c>
      <c r="B205" s="275">
        <v>100</v>
      </c>
      <c r="C205" s="275">
        <v>450</v>
      </c>
      <c r="D205" s="276">
        <v>600</v>
      </c>
      <c r="E205" s="276"/>
      <c r="F205" s="275"/>
      <c r="G205" s="83" t="s">
        <v>714</v>
      </c>
      <c r="H205" s="367">
        <v>0</v>
      </c>
      <c r="I205" s="367"/>
      <c r="J205" s="64" t="s">
        <v>787</v>
      </c>
      <c r="L205" s="367"/>
    </row>
    <row r="206" spans="1:12" s="86" customFormat="1" ht="12.75">
      <c r="A206" s="277">
        <v>305</v>
      </c>
      <c r="B206" s="275">
        <v>100</v>
      </c>
      <c r="C206" s="275">
        <v>500</v>
      </c>
      <c r="D206" s="275"/>
      <c r="E206" s="275"/>
      <c r="F206" s="275"/>
      <c r="G206" s="63" t="s">
        <v>788</v>
      </c>
      <c r="H206" s="366"/>
      <c r="I206" s="366"/>
      <c r="J206" s="64" t="s">
        <v>789</v>
      </c>
      <c r="L206" s="366"/>
    </row>
    <row r="207" spans="1:12" ht="25.5">
      <c r="A207" s="277">
        <v>305</v>
      </c>
      <c r="B207" s="275">
        <v>100</v>
      </c>
      <c r="C207" s="275">
        <v>500</v>
      </c>
      <c r="D207" s="275">
        <v>100</v>
      </c>
      <c r="E207" s="276"/>
      <c r="F207" s="276"/>
      <c r="G207" s="83" t="s">
        <v>662</v>
      </c>
      <c r="H207" s="367">
        <v>0</v>
      </c>
      <c r="I207" s="367"/>
      <c r="J207" s="85" t="s">
        <v>790</v>
      </c>
      <c r="L207" s="367"/>
    </row>
    <row r="208" spans="1:12">
      <c r="A208" s="277">
        <v>305</v>
      </c>
      <c r="B208" s="275">
        <v>100</v>
      </c>
      <c r="C208" s="275">
        <v>500</v>
      </c>
      <c r="D208" s="276">
        <v>200</v>
      </c>
      <c r="E208" s="276"/>
      <c r="F208" s="275"/>
      <c r="G208" s="83" t="s">
        <v>683</v>
      </c>
      <c r="H208" s="367">
        <v>0</v>
      </c>
      <c r="I208" s="367"/>
      <c r="J208" s="64" t="s">
        <v>791</v>
      </c>
      <c r="L208" s="367"/>
    </row>
    <row r="209" spans="1:12">
      <c r="A209" s="277">
        <v>305</v>
      </c>
      <c r="B209" s="275">
        <v>100</v>
      </c>
      <c r="C209" s="275">
        <v>500</v>
      </c>
      <c r="D209" s="276">
        <v>300</v>
      </c>
      <c r="E209" s="276"/>
      <c r="F209" s="275"/>
      <c r="G209" s="83" t="s">
        <v>673</v>
      </c>
      <c r="H209" s="367">
        <v>257638</v>
      </c>
      <c r="I209" s="367"/>
      <c r="J209" s="64" t="s">
        <v>792</v>
      </c>
      <c r="L209" s="367"/>
    </row>
    <row r="210" spans="1:12">
      <c r="A210" s="277">
        <v>305</v>
      </c>
      <c r="B210" s="275">
        <v>100</v>
      </c>
      <c r="C210" s="275">
        <v>500</v>
      </c>
      <c r="D210" s="276">
        <v>400</v>
      </c>
      <c r="E210" s="276"/>
      <c r="F210" s="275"/>
      <c r="G210" s="83" t="s">
        <v>696</v>
      </c>
      <c r="H210" s="367">
        <v>334182.5</v>
      </c>
      <c r="I210" s="367"/>
      <c r="J210" s="64" t="s">
        <v>793</v>
      </c>
      <c r="L210" s="367"/>
    </row>
    <row r="211" spans="1:12" ht="25.5">
      <c r="A211" s="277">
        <v>305</v>
      </c>
      <c r="B211" s="275">
        <v>100</v>
      </c>
      <c r="C211" s="275">
        <v>500</v>
      </c>
      <c r="D211" s="276">
        <v>500</v>
      </c>
      <c r="E211" s="276"/>
      <c r="F211" s="275"/>
      <c r="G211" s="83" t="s">
        <v>714</v>
      </c>
      <c r="H211" s="367">
        <v>31838.45</v>
      </c>
      <c r="I211" s="367"/>
      <c r="J211" s="64" t="s">
        <v>794</v>
      </c>
      <c r="L211" s="367"/>
    </row>
    <row r="212" spans="1:12" s="86" customFormat="1" ht="12.75">
      <c r="A212" s="277">
        <v>305</v>
      </c>
      <c r="B212" s="275">
        <v>100</v>
      </c>
      <c r="C212" s="275">
        <v>550</v>
      </c>
      <c r="D212" s="275"/>
      <c r="E212" s="275"/>
      <c r="F212" s="275"/>
      <c r="G212" s="63" t="s">
        <v>795</v>
      </c>
      <c r="H212" s="366"/>
      <c r="I212" s="366"/>
      <c r="J212" s="64" t="s">
        <v>796</v>
      </c>
      <c r="L212" s="366"/>
    </row>
    <row r="213" spans="1:12" ht="25.5">
      <c r="A213" s="277">
        <v>305</v>
      </c>
      <c r="B213" s="275">
        <v>100</v>
      </c>
      <c r="C213" s="275">
        <v>550</v>
      </c>
      <c r="D213" s="275">
        <v>100</v>
      </c>
      <c r="E213" s="276"/>
      <c r="F213" s="276"/>
      <c r="G213" s="83" t="s">
        <v>662</v>
      </c>
      <c r="H213" s="367">
        <v>0</v>
      </c>
      <c r="I213" s="367"/>
      <c r="J213" s="85" t="s">
        <v>797</v>
      </c>
      <c r="L213" s="367"/>
    </row>
    <row r="214" spans="1:12">
      <c r="A214" s="277">
        <v>305</v>
      </c>
      <c r="B214" s="275">
        <v>100</v>
      </c>
      <c r="C214" s="275">
        <v>550</v>
      </c>
      <c r="D214" s="276">
        <v>200</v>
      </c>
      <c r="E214" s="276"/>
      <c r="F214" s="275"/>
      <c r="G214" s="83" t="s">
        <v>683</v>
      </c>
      <c r="H214" s="367">
        <v>0</v>
      </c>
      <c r="I214" s="367"/>
      <c r="J214" s="64" t="s">
        <v>798</v>
      </c>
      <c r="L214" s="367"/>
    </row>
    <row r="215" spans="1:12">
      <c r="A215" s="277">
        <v>305</v>
      </c>
      <c r="B215" s="275">
        <v>100</v>
      </c>
      <c r="C215" s="275">
        <v>550</v>
      </c>
      <c r="D215" s="276">
        <v>300</v>
      </c>
      <c r="E215" s="276"/>
      <c r="F215" s="275"/>
      <c r="G215" s="83" t="s">
        <v>673</v>
      </c>
      <c r="H215" s="367">
        <v>392877</v>
      </c>
      <c r="I215" s="367"/>
      <c r="J215" s="64" t="s">
        <v>799</v>
      </c>
      <c r="L215" s="367"/>
    </row>
    <row r="216" spans="1:12">
      <c r="A216" s="277">
        <v>305</v>
      </c>
      <c r="B216" s="275">
        <v>100</v>
      </c>
      <c r="C216" s="275">
        <v>550</v>
      </c>
      <c r="D216" s="275">
        <v>400</v>
      </c>
      <c r="E216" s="275"/>
      <c r="F216" s="275"/>
      <c r="G216" s="63" t="s">
        <v>696</v>
      </c>
      <c r="H216" s="366"/>
      <c r="I216" s="366"/>
      <c r="J216" s="64" t="s">
        <v>800</v>
      </c>
      <c r="L216" s="366"/>
    </row>
    <row r="217" spans="1:12">
      <c r="A217" s="277">
        <v>305</v>
      </c>
      <c r="B217" s="275">
        <v>100</v>
      </c>
      <c r="C217" s="275">
        <v>550</v>
      </c>
      <c r="D217" s="275">
        <v>400</v>
      </c>
      <c r="E217" s="276">
        <v>10</v>
      </c>
      <c r="F217" s="280"/>
      <c r="G217" s="83" t="s">
        <v>801</v>
      </c>
      <c r="H217" s="367">
        <v>4270620.8899999997</v>
      </c>
      <c r="I217" s="367"/>
      <c r="J217" s="64"/>
      <c r="L217" s="367"/>
    </row>
    <row r="218" spans="1:12">
      <c r="A218" s="277">
        <v>305</v>
      </c>
      <c r="B218" s="275">
        <v>100</v>
      </c>
      <c r="C218" s="275">
        <v>550</v>
      </c>
      <c r="D218" s="275">
        <v>400</v>
      </c>
      <c r="E218" s="276">
        <v>20</v>
      </c>
      <c r="F218" s="280"/>
      <c r="G218" s="83" t="s">
        <v>802</v>
      </c>
      <c r="H218" s="367">
        <v>2035728.82</v>
      </c>
      <c r="I218" s="367"/>
      <c r="J218" s="64"/>
      <c r="L218" s="367">
        <v>1236544.02</v>
      </c>
    </row>
    <row r="219" spans="1:12">
      <c r="A219" s="277">
        <v>305</v>
      </c>
      <c r="B219" s="275">
        <v>100</v>
      </c>
      <c r="C219" s="275">
        <v>550</v>
      </c>
      <c r="D219" s="275">
        <v>400</v>
      </c>
      <c r="E219" s="276">
        <v>30</v>
      </c>
      <c r="F219" s="280"/>
      <c r="G219" s="83" t="s">
        <v>803</v>
      </c>
      <c r="H219" s="367">
        <v>0</v>
      </c>
      <c r="I219" s="367"/>
      <c r="J219" s="64"/>
      <c r="L219" s="367"/>
    </row>
    <row r="220" spans="1:12">
      <c r="A220" s="277">
        <v>305</v>
      </c>
      <c r="B220" s="275">
        <v>100</v>
      </c>
      <c r="C220" s="275">
        <v>550</v>
      </c>
      <c r="D220" s="275">
        <v>400</v>
      </c>
      <c r="E220" s="276">
        <v>40</v>
      </c>
      <c r="F220" s="280"/>
      <c r="G220" s="83" t="s">
        <v>804</v>
      </c>
      <c r="H220" s="367">
        <v>915877.29</v>
      </c>
      <c r="I220" s="367"/>
      <c r="J220" s="64"/>
      <c r="L220" s="367">
        <v>908262.76</v>
      </c>
    </row>
    <row r="221" spans="1:12" s="86" customFormat="1" ht="12.75">
      <c r="A221" s="277">
        <v>305</v>
      </c>
      <c r="B221" s="275">
        <v>100</v>
      </c>
      <c r="C221" s="275">
        <v>600</v>
      </c>
      <c r="D221" s="275"/>
      <c r="E221" s="275"/>
      <c r="F221" s="275"/>
      <c r="G221" s="63" t="s">
        <v>805</v>
      </c>
      <c r="H221" s="366"/>
      <c r="I221" s="366"/>
      <c r="J221" s="85" t="s">
        <v>806</v>
      </c>
      <c r="L221" s="366"/>
    </row>
    <row r="222" spans="1:12" s="86" customFormat="1" ht="12.75">
      <c r="A222" s="277">
        <v>305</v>
      </c>
      <c r="B222" s="275">
        <v>100</v>
      </c>
      <c r="C222" s="275">
        <v>600</v>
      </c>
      <c r="D222" s="275">
        <v>100</v>
      </c>
      <c r="E222" s="276"/>
      <c r="F222" s="276"/>
      <c r="G222" s="84" t="s">
        <v>662</v>
      </c>
      <c r="H222" s="366"/>
      <c r="I222" s="366"/>
      <c r="J222" s="85" t="s">
        <v>807</v>
      </c>
      <c r="L222" s="366"/>
    </row>
    <row r="223" spans="1:12" s="86" customFormat="1" ht="12.75">
      <c r="A223" s="277">
        <v>305</v>
      </c>
      <c r="B223" s="275">
        <v>100</v>
      </c>
      <c r="C223" s="275">
        <v>600</v>
      </c>
      <c r="D223" s="275">
        <v>100</v>
      </c>
      <c r="E223" s="276">
        <v>10</v>
      </c>
      <c r="F223" s="276"/>
      <c r="G223" s="66" t="s">
        <v>808</v>
      </c>
      <c r="H223" s="371">
        <v>0</v>
      </c>
      <c r="I223" s="371"/>
      <c r="J223" s="85" t="s">
        <v>809</v>
      </c>
      <c r="L223" s="371"/>
    </row>
    <row r="224" spans="1:12">
      <c r="A224" s="277">
        <v>305</v>
      </c>
      <c r="B224" s="275">
        <v>100</v>
      </c>
      <c r="C224" s="275">
        <v>600</v>
      </c>
      <c r="D224" s="275">
        <v>100</v>
      </c>
      <c r="E224" s="276">
        <v>20</v>
      </c>
      <c r="F224" s="276"/>
      <c r="G224" s="66" t="s">
        <v>810</v>
      </c>
      <c r="H224" s="371">
        <v>49461</v>
      </c>
      <c r="I224" s="371"/>
      <c r="J224" s="85" t="s">
        <v>811</v>
      </c>
      <c r="L224" s="371"/>
    </row>
    <row r="225" spans="1:12">
      <c r="A225" s="277">
        <v>305</v>
      </c>
      <c r="B225" s="275">
        <v>100</v>
      </c>
      <c r="C225" s="275">
        <v>600</v>
      </c>
      <c r="D225" s="275">
        <v>200</v>
      </c>
      <c r="E225" s="275"/>
      <c r="F225" s="275"/>
      <c r="G225" s="88" t="s">
        <v>812</v>
      </c>
      <c r="H225" s="366"/>
      <c r="I225" s="366"/>
      <c r="J225" s="64" t="s">
        <v>813</v>
      </c>
      <c r="L225" s="366"/>
    </row>
    <row r="226" spans="1:12">
      <c r="A226" s="277">
        <v>305</v>
      </c>
      <c r="B226" s="275">
        <v>100</v>
      </c>
      <c r="C226" s="275">
        <v>600</v>
      </c>
      <c r="D226" s="275">
        <v>200</v>
      </c>
      <c r="E226" s="276">
        <v>10</v>
      </c>
      <c r="F226" s="280"/>
      <c r="G226" s="83" t="s">
        <v>814</v>
      </c>
      <c r="H226" s="367">
        <v>0</v>
      </c>
      <c r="I226" s="367"/>
      <c r="J226" s="64"/>
      <c r="L226" s="367"/>
    </row>
    <row r="227" spans="1:12" ht="25.5">
      <c r="A227" s="277">
        <v>305</v>
      </c>
      <c r="B227" s="275">
        <v>100</v>
      </c>
      <c r="C227" s="275">
        <v>600</v>
      </c>
      <c r="D227" s="275">
        <v>200</v>
      </c>
      <c r="E227" s="276">
        <v>20</v>
      </c>
      <c r="F227" s="280"/>
      <c r="G227" s="83" t="s">
        <v>815</v>
      </c>
      <c r="H227" s="367">
        <v>5053133.72</v>
      </c>
      <c r="I227" s="367"/>
      <c r="J227" s="64"/>
      <c r="L227" s="367"/>
    </row>
    <row r="228" spans="1:12">
      <c r="A228" s="277">
        <v>305</v>
      </c>
      <c r="B228" s="275">
        <v>100</v>
      </c>
      <c r="C228" s="275">
        <v>600</v>
      </c>
      <c r="D228" s="275">
        <v>200</v>
      </c>
      <c r="E228" s="276">
        <v>30</v>
      </c>
      <c r="F228" s="280"/>
      <c r="G228" s="83" t="s">
        <v>816</v>
      </c>
      <c r="H228" s="367">
        <v>7178940.5499999998</v>
      </c>
      <c r="I228" s="367"/>
      <c r="J228" s="64"/>
      <c r="L228" s="367"/>
    </row>
    <row r="229" spans="1:12" s="89" customFormat="1">
      <c r="A229" s="277">
        <v>305</v>
      </c>
      <c r="B229" s="275">
        <v>100</v>
      </c>
      <c r="C229" s="275">
        <v>600</v>
      </c>
      <c r="D229" s="275">
        <v>200</v>
      </c>
      <c r="E229" s="276">
        <v>90</v>
      </c>
      <c r="F229" s="280"/>
      <c r="G229" s="83" t="s">
        <v>817</v>
      </c>
      <c r="H229" s="367">
        <v>167808</v>
      </c>
      <c r="I229" s="367"/>
      <c r="J229" s="64"/>
      <c r="L229" s="367"/>
    </row>
    <row r="230" spans="1:12" ht="25.5">
      <c r="A230" s="277">
        <v>305</v>
      </c>
      <c r="B230" s="275">
        <v>100</v>
      </c>
      <c r="C230" s="275">
        <v>600</v>
      </c>
      <c r="D230" s="275">
        <v>250</v>
      </c>
      <c r="E230" s="276"/>
      <c r="F230" s="280"/>
      <c r="G230" s="83" t="s">
        <v>818</v>
      </c>
      <c r="H230" s="367">
        <v>80025</v>
      </c>
      <c r="I230" s="367"/>
      <c r="J230" s="64" t="s">
        <v>819</v>
      </c>
      <c r="L230" s="367"/>
    </row>
    <row r="231" spans="1:12">
      <c r="A231" s="277">
        <v>305</v>
      </c>
      <c r="B231" s="275">
        <v>100</v>
      </c>
      <c r="C231" s="275">
        <v>600</v>
      </c>
      <c r="D231" s="276">
        <v>300</v>
      </c>
      <c r="E231" s="276"/>
      <c r="F231" s="275"/>
      <c r="G231" s="83" t="s">
        <v>820</v>
      </c>
      <c r="H231" s="367">
        <v>671191.67</v>
      </c>
      <c r="I231" s="367"/>
      <c r="J231" s="64" t="s">
        <v>821</v>
      </c>
      <c r="L231" s="367"/>
    </row>
    <row r="232" spans="1:12" s="86" customFormat="1" ht="12.75">
      <c r="A232" s="277">
        <v>305</v>
      </c>
      <c r="B232" s="275">
        <v>100</v>
      </c>
      <c r="C232" s="275">
        <v>600</v>
      </c>
      <c r="D232" s="275">
        <v>400</v>
      </c>
      <c r="E232" s="275"/>
      <c r="F232" s="275"/>
      <c r="G232" s="88" t="s">
        <v>724</v>
      </c>
      <c r="H232" s="366"/>
      <c r="I232" s="366"/>
      <c r="J232" s="64" t="s">
        <v>822</v>
      </c>
      <c r="L232" s="366"/>
    </row>
    <row r="233" spans="1:12" s="86" customFormat="1" ht="12.75">
      <c r="A233" s="277">
        <v>305</v>
      </c>
      <c r="B233" s="275">
        <v>100</v>
      </c>
      <c r="C233" s="275">
        <v>600</v>
      </c>
      <c r="D233" s="275">
        <v>400</v>
      </c>
      <c r="E233" s="276">
        <v>10</v>
      </c>
      <c r="F233" s="280"/>
      <c r="G233" s="83" t="s">
        <v>823</v>
      </c>
      <c r="H233" s="367">
        <v>493912.22</v>
      </c>
      <c r="I233" s="367"/>
      <c r="J233" s="64"/>
      <c r="L233" s="367"/>
    </row>
    <row r="234" spans="1:12" s="86" customFormat="1" ht="12.75">
      <c r="A234" s="277">
        <v>305</v>
      </c>
      <c r="B234" s="275">
        <v>100</v>
      </c>
      <c r="C234" s="275">
        <v>600</v>
      </c>
      <c r="D234" s="275">
        <v>400</v>
      </c>
      <c r="E234" s="276">
        <v>20</v>
      </c>
      <c r="F234" s="280"/>
      <c r="G234" s="83" t="s">
        <v>824</v>
      </c>
      <c r="H234" s="367">
        <v>855276.53</v>
      </c>
      <c r="I234" s="367"/>
      <c r="J234" s="64"/>
      <c r="L234" s="367"/>
    </row>
    <row r="235" spans="1:12" s="86" customFormat="1" ht="12.75">
      <c r="A235" s="277">
        <v>305</v>
      </c>
      <c r="B235" s="275">
        <v>100</v>
      </c>
      <c r="C235" s="275">
        <v>600</v>
      </c>
      <c r="D235" s="275">
        <v>400</v>
      </c>
      <c r="E235" s="276">
        <v>30</v>
      </c>
      <c r="F235" s="280"/>
      <c r="G235" s="83" t="s">
        <v>814</v>
      </c>
      <c r="H235" s="367">
        <v>7767252.2000000002</v>
      </c>
      <c r="I235" s="367"/>
      <c r="J235" s="64"/>
      <c r="L235" s="367"/>
    </row>
    <row r="236" spans="1:12" s="86" customFormat="1" ht="25.5">
      <c r="A236" s="277">
        <v>305</v>
      </c>
      <c r="B236" s="275">
        <v>100</v>
      </c>
      <c r="C236" s="275">
        <v>600</v>
      </c>
      <c r="D236" s="275">
        <v>400</v>
      </c>
      <c r="E236" s="276">
        <v>40</v>
      </c>
      <c r="F236" s="280"/>
      <c r="G236" s="83" t="s">
        <v>815</v>
      </c>
      <c r="H236" s="367">
        <v>4772662.07</v>
      </c>
      <c r="I236" s="367"/>
      <c r="J236" s="64"/>
      <c r="L236" s="367"/>
    </row>
    <row r="237" spans="1:12" s="86" customFormat="1" ht="12.75">
      <c r="A237" s="277">
        <v>305</v>
      </c>
      <c r="B237" s="275">
        <v>100</v>
      </c>
      <c r="C237" s="275">
        <v>600</v>
      </c>
      <c r="D237" s="275">
        <v>400</v>
      </c>
      <c r="E237" s="276">
        <v>50</v>
      </c>
      <c r="F237" s="280"/>
      <c r="G237" s="83" t="s">
        <v>816</v>
      </c>
      <c r="H237" s="367">
        <v>7095807.2999999998</v>
      </c>
      <c r="I237" s="367"/>
      <c r="J237" s="64"/>
      <c r="L237" s="367"/>
    </row>
    <row r="238" spans="1:12" s="86" customFormat="1" ht="25.5">
      <c r="A238" s="277">
        <v>305</v>
      </c>
      <c r="B238" s="275">
        <v>100</v>
      </c>
      <c r="C238" s="275">
        <v>600</v>
      </c>
      <c r="D238" s="275">
        <v>400</v>
      </c>
      <c r="E238" s="276">
        <v>60</v>
      </c>
      <c r="F238" s="280"/>
      <c r="G238" s="83" t="s">
        <v>825</v>
      </c>
      <c r="H238" s="367">
        <v>2213340.59</v>
      </c>
      <c r="I238" s="367"/>
      <c r="J238" s="64"/>
      <c r="L238" s="367"/>
    </row>
    <row r="239" spans="1:12" s="86" customFormat="1" ht="12.75">
      <c r="A239" s="277">
        <v>305</v>
      </c>
      <c r="B239" s="275">
        <v>100</v>
      </c>
      <c r="C239" s="275">
        <v>600</v>
      </c>
      <c r="D239" s="275">
        <v>400</v>
      </c>
      <c r="E239" s="276">
        <v>70</v>
      </c>
      <c r="F239" s="280"/>
      <c r="G239" s="83" t="s">
        <v>826</v>
      </c>
      <c r="H239" s="367">
        <v>3263.52</v>
      </c>
      <c r="I239" s="367"/>
      <c r="J239" s="64"/>
      <c r="L239" s="367"/>
    </row>
    <row r="240" spans="1:12">
      <c r="A240" s="277">
        <v>305</v>
      </c>
      <c r="B240" s="275">
        <v>100</v>
      </c>
      <c r="C240" s="275">
        <v>600</v>
      </c>
      <c r="D240" s="275">
        <v>400</v>
      </c>
      <c r="E240" s="276">
        <v>90</v>
      </c>
      <c r="F240" s="280"/>
      <c r="G240" s="83" t="s">
        <v>827</v>
      </c>
      <c r="H240" s="367">
        <v>656087.11</v>
      </c>
      <c r="I240" s="367"/>
      <c r="J240" s="64"/>
      <c r="L240" s="367"/>
    </row>
    <row r="241" spans="1:12">
      <c r="A241" s="277">
        <v>305</v>
      </c>
      <c r="B241" s="275">
        <v>100</v>
      </c>
      <c r="C241" s="275">
        <v>600</v>
      </c>
      <c r="D241" s="275">
        <v>500</v>
      </c>
      <c r="E241" s="275"/>
      <c r="F241" s="275"/>
      <c r="G241" s="88" t="s">
        <v>728</v>
      </c>
      <c r="H241" s="366"/>
      <c r="I241" s="366"/>
      <c r="J241" s="64" t="s">
        <v>828</v>
      </c>
      <c r="L241" s="366"/>
    </row>
    <row r="242" spans="1:12" ht="25.5">
      <c r="A242" s="277">
        <v>305</v>
      </c>
      <c r="B242" s="275">
        <v>100</v>
      </c>
      <c r="C242" s="275">
        <v>600</v>
      </c>
      <c r="D242" s="275">
        <v>500</v>
      </c>
      <c r="E242" s="276">
        <v>10</v>
      </c>
      <c r="F242" s="280"/>
      <c r="G242" s="83" t="s">
        <v>825</v>
      </c>
      <c r="H242" s="367">
        <v>578126.55000000005</v>
      </c>
      <c r="I242" s="367"/>
      <c r="J242" s="64"/>
      <c r="L242" s="367"/>
    </row>
    <row r="243" spans="1:12">
      <c r="A243" s="277">
        <v>305</v>
      </c>
      <c r="B243" s="275">
        <v>100</v>
      </c>
      <c r="C243" s="275">
        <v>600</v>
      </c>
      <c r="D243" s="275">
        <v>500</v>
      </c>
      <c r="E243" s="276">
        <v>90</v>
      </c>
      <c r="F243" s="280"/>
      <c r="G243" s="83" t="s">
        <v>829</v>
      </c>
      <c r="H243" s="367">
        <v>798293.39</v>
      </c>
      <c r="I243" s="367"/>
      <c r="J243" s="64"/>
      <c r="L243" s="367"/>
    </row>
    <row r="244" spans="1:12">
      <c r="A244" s="277">
        <v>305</v>
      </c>
      <c r="B244" s="275">
        <v>100</v>
      </c>
      <c r="C244" s="275">
        <v>650</v>
      </c>
      <c r="D244" s="275"/>
      <c r="E244" s="275"/>
      <c r="F244" s="275"/>
      <c r="G244" s="63" t="s">
        <v>830</v>
      </c>
      <c r="H244" s="366"/>
      <c r="I244" s="366"/>
      <c r="J244" s="64" t="s">
        <v>831</v>
      </c>
      <c r="L244" s="366"/>
    </row>
    <row r="245" spans="1:12" ht="25.5">
      <c r="A245" s="277">
        <v>305</v>
      </c>
      <c r="B245" s="275">
        <v>100</v>
      </c>
      <c r="C245" s="275">
        <v>650</v>
      </c>
      <c r="D245" s="276">
        <v>100</v>
      </c>
      <c r="E245" s="276"/>
      <c r="F245" s="275"/>
      <c r="G245" s="83" t="s">
        <v>832</v>
      </c>
      <c r="H245" s="367">
        <v>200118.73</v>
      </c>
      <c r="I245" s="367"/>
      <c r="J245" s="64" t="s">
        <v>833</v>
      </c>
      <c r="L245" s="367">
        <v>169102.4</v>
      </c>
    </row>
    <row r="246" spans="1:12" ht="25.5">
      <c r="A246" s="277">
        <v>305</v>
      </c>
      <c r="B246" s="275">
        <v>100</v>
      </c>
      <c r="C246" s="275">
        <v>650</v>
      </c>
      <c r="D246" s="276">
        <v>200</v>
      </c>
      <c r="E246" s="276"/>
      <c r="F246" s="275"/>
      <c r="G246" s="83" t="s">
        <v>834</v>
      </c>
      <c r="H246" s="367">
        <v>3097472.97</v>
      </c>
      <c r="I246" s="367"/>
      <c r="J246" s="64" t="s">
        <v>835</v>
      </c>
      <c r="L246" s="367">
        <v>1686377.29</v>
      </c>
    </row>
    <row r="247" spans="1:12" ht="25.5">
      <c r="A247" s="277">
        <v>305</v>
      </c>
      <c r="B247" s="275">
        <v>100</v>
      </c>
      <c r="C247" s="275">
        <v>650</v>
      </c>
      <c r="D247" s="276">
        <v>300</v>
      </c>
      <c r="E247" s="276"/>
      <c r="F247" s="275"/>
      <c r="G247" s="83" t="s">
        <v>836</v>
      </c>
      <c r="H247" s="367">
        <v>0</v>
      </c>
      <c r="I247" s="367"/>
      <c r="J247" s="64" t="s">
        <v>837</v>
      </c>
      <c r="L247" s="367"/>
    </row>
    <row r="248" spans="1:12" ht="25.5">
      <c r="A248" s="277">
        <v>305</v>
      </c>
      <c r="B248" s="275">
        <v>100</v>
      </c>
      <c r="C248" s="275">
        <v>650</v>
      </c>
      <c r="D248" s="275">
        <v>400</v>
      </c>
      <c r="E248" s="275"/>
      <c r="F248" s="275"/>
      <c r="G248" s="63" t="s">
        <v>838</v>
      </c>
      <c r="H248" s="366"/>
      <c r="I248" s="366"/>
      <c r="J248" s="64" t="s">
        <v>839</v>
      </c>
      <c r="L248" s="366"/>
    </row>
    <row r="249" spans="1:12">
      <c r="A249" s="277">
        <v>305</v>
      </c>
      <c r="B249" s="275">
        <v>100</v>
      </c>
      <c r="C249" s="275">
        <v>650</v>
      </c>
      <c r="D249" s="275">
        <v>400</v>
      </c>
      <c r="E249" s="276">
        <v>10</v>
      </c>
      <c r="F249" s="280"/>
      <c r="G249" s="83" t="s">
        <v>840</v>
      </c>
      <c r="H249" s="367">
        <v>406988.38</v>
      </c>
      <c r="I249" s="367"/>
      <c r="J249" s="64"/>
      <c r="L249" s="367">
        <v>388125.11</v>
      </c>
    </row>
    <row r="250" spans="1:12" ht="25.5">
      <c r="A250" s="277">
        <v>305</v>
      </c>
      <c r="B250" s="275">
        <v>100</v>
      </c>
      <c r="C250" s="275">
        <v>650</v>
      </c>
      <c r="D250" s="275">
        <v>400</v>
      </c>
      <c r="E250" s="276">
        <v>20</v>
      </c>
      <c r="F250" s="280"/>
      <c r="G250" s="83" t="s">
        <v>841</v>
      </c>
      <c r="H250" s="367">
        <v>52673.17</v>
      </c>
      <c r="I250" s="367"/>
      <c r="J250" s="64"/>
      <c r="L250" s="367">
        <v>52673.17</v>
      </c>
    </row>
    <row r="251" spans="1:12">
      <c r="A251" s="277">
        <v>305</v>
      </c>
      <c r="B251" s="275">
        <v>100</v>
      </c>
      <c r="C251" s="275">
        <v>650</v>
      </c>
      <c r="D251" s="275">
        <v>400</v>
      </c>
      <c r="E251" s="276">
        <v>30</v>
      </c>
      <c r="F251" s="280"/>
      <c r="G251" s="83" t="s">
        <v>842</v>
      </c>
      <c r="H251" s="367">
        <v>0</v>
      </c>
      <c r="I251" s="367"/>
      <c r="J251" s="64"/>
      <c r="L251" s="367"/>
    </row>
    <row r="252" spans="1:12" ht="25.5">
      <c r="A252" s="277">
        <v>305</v>
      </c>
      <c r="B252" s="275">
        <v>100</v>
      </c>
      <c r="C252" s="275">
        <v>650</v>
      </c>
      <c r="D252" s="275">
        <v>400</v>
      </c>
      <c r="E252" s="276">
        <v>90</v>
      </c>
      <c r="F252" s="280"/>
      <c r="G252" s="83" t="s">
        <v>843</v>
      </c>
      <c r="H252" s="367">
        <v>0</v>
      </c>
      <c r="I252" s="367"/>
      <c r="J252" s="64"/>
      <c r="L252" s="367"/>
    </row>
    <row r="253" spans="1:12" s="86" customFormat="1" ht="38.25">
      <c r="A253" s="277">
        <v>305</v>
      </c>
      <c r="B253" s="275">
        <v>100</v>
      </c>
      <c r="C253" s="275">
        <v>650</v>
      </c>
      <c r="D253" s="275">
        <v>500</v>
      </c>
      <c r="E253" s="275"/>
      <c r="F253" s="275"/>
      <c r="G253" s="63" t="s">
        <v>844</v>
      </c>
      <c r="H253" s="366"/>
      <c r="I253" s="366"/>
      <c r="J253" s="64" t="s">
        <v>845</v>
      </c>
      <c r="L253" s="366"/>
    </row>
    <row r="254" spans="1:12" s="86" customFormat="1" ht="12.75">
      <c r="A254" s="277">
        <v>305</v>
      </c>
      <c r="B254" s="275">
        <v>100</v>
      </c>
      <c r="C254" s="275">
        <v>650</v>
      </c>
      <c r="D254" s="275">
        <v>500</v>
      </c>
      <c r="E254" s="276">
        <v>10</v>
      </c>
      <c r="F254" s="276"/>
      <c r="G254" s="83" t="s">
        <v>840</v>
      </c>
      <c r="H254" s="367"/>
      <c r="I254" s="367"/>
      <c r="J254" s="85"/>
      <c r="L254" s="367"/>
    </row>
    <row r="255" spans="1:12" s="86" customFormat="1" ht="25.5">
      <c r="A255" s="277">
        <v>305</v>
      </c>
      <c r="B255" s="275">
        <v>100</v>
      </c>
      <c r="C255" s="275">
        <v>650</v>
      </c>
      <c r="D255" s="275">
        <v>500</v>
      </c>
      <c r="E255" s="276">
        <v>20</v>
      </c>
      <c r="F255" s="276"/>
      <c r="G255" s="83" t="s">
        <v>841</v>
      </c>
      <c r="H255" s="367"/>
      <c r="I255" s="367"/>
      <c r="J255" s="85"/>
      <c r="L255" s="367"/>
    </row>
    <row r="256" spans="1:12" s="86" customFormat="1" ht="12.75">
      <c r="A256" s="277">
        <v>305</v>
      </c>
      <c r="B256" s="275">
        <v>100</v>
      </c>
      <c r="C256" s="275">
        <v>650</v>
      </c>
      <c r="D256" s="275">
        <v>500</v>
      </c>
      <c r="E256" s="276">
        <v>30</v>
      </c>
      <c r="F256" s="276"/>
      <c r="G256" s="83" t="s">
        <v>842</v>
      </c>
      <c r="H256" s="367">
        <v>0</v>
      </c>
      <c r="I256" s="367"/>
      <c r="J256" s="85"/>
      <c r="L256" s="367"/>
    </row>
    <row r="257" spans="1:12" ht="25.5">
      <c r="A257" s="277">
        <v>305</v>
      </c>
      <c r="B257" s="275">
        <v>100</v>
      </c>
      <c r="C257" s="275">
        <v>650</v>
      </c>
      <c r="D257" s="275">
        <v>500</v>
      </c>
      <c r="E257" s="276">
        <v>90</v>
      </c>
      <c r="F257" s="276"/>
      <c r="G257" s="83" t="s">
        <v>843</v>
      </c>
      <c r="H257" s="367">
        <v>0</v>
      </c>
      <c r="I257" s="367"/>
      <c r="J257" s="85"/>
      <c r="L257" s="367"/>
    </row>
    <row r="258" spans="1:12">
      <c r="A258" s="277">
        <v>305</v>
      </c>
      <c r="B258" s="275">
        <v>100</v>
      </c>
      <c r="C258" s="275">
        <v>650</v>
      </c>
      <c r="D258" s="275">
        <v>600</v>
      </c>
      <c r="E258" s="275"/>
      <c r="F258" s="275"/>
      <c r="G258" s="63" t="s">
        <v>846</v>
      </c>
      <c r="H258" s="366"/>
      <c r="I258" s="366"/>
      <c r="J258" s="64" t="s">
        <v>847</v>
      </c>
      <c r="L258" s="366"/>
    </row>
    <row r="259" spans="1:12">
      <c r="A259" s="277">
        <v>305</v>
      </c>
      <c r="B259" s="275">
        <v>100</v>
      </c>
      <c r="C259" s="275">
        <v>650</v>
      </c>
      <c r="D259" s="275">
        <v>600</v>
      </c>
      <c r="E259" s="276">
        <v>5</v>
      </c>
      <c r="F259" s="280"/>
      <c r="G259" s="83" t="s">
        <v>848</v>
      </c>
      <c r="H259" s="367"/>
      <c r="I259" s="367"/>
      <c r="J259" s="64"/>
      <c r="L259" s="367"/>
    </row>
    <row r="260" spans="1:12">
      <c r="A260" s="277">
        <v>305</v>
      </c>
      <c r="B260" s="275">
        <v>100</v>
      </c>
      <c r="C260" s="275">
        <v>650</v>
      </c>
      <c r="D260" s="275">
        <v>600</v>
      </c>
      <c r="E260" s="276">
        <v>10</v>
      </c>
      <c r="F260" s="280"/>
      <c r="G260" s="83" t="s">
        <v>849</v>
      </c>
      <c r="H260" s="367"/>
      <c r="I260" s="367"/>
      <c r="J260" s="64"/>
      <c r="L260" s="367"/>
    </row>
    <row r="261" spans="1:12">
      <c r="A261" s="277">
        <v>305</v>
      </c>
      <c r="B261" s="275">
        <v>100</v>
      </c>
      <c r="C261" s="275">
        <v>650</v>
      </c>
      <c r="D261" s="275">
        <v>600</v>
      </c>
      <c r="E261" s="276">
        <v>15</v>
      </c>
      <c r="F261" s="280"/>
      <c r="G261" s="83" t="s">
        <v>850</v>
      </c>
      <c r="H261" s="367">
        <v>11690.52</v>
      </c>
      <c r="I261" s="367"/>
      <c r="J261" s="64"/>
      <c r="L261" s="367"/>
    </row>
    <row r="262" spans="1:12">
      <c r="A262" s="277">
        <v>305</v>
      </c>
      <c r="B262" s="275">
        <v>100</v>
      </c>
      <c r="C262" s="275">
        <v>650</v>
      </c>
      <c r="D262" s="275">
        <v>600</v>
      </c>
      <c r="E262" s="276">
        <v>20</v>
      </c>
      <c r="F262" s="280"/>
      <c r="G262" s="83" t="s">
        <v>851</v>
      </c>
      <c r="H262" s="367">
        <v>48550.41</v>
      </c>
      <c r="I262" s="367"/>
      <c r="J262" s="64"/>
      <c r="L262" s="367">
        <v>48550.41</v>
      </c>
    </row>
    <row r="263" spans="1:12">
      <c r="A263" s="277">
        <v>305</v>
      </c>
      <c r="B263" s="275">
        <v>100</v>
      </c>
      <c r="C263" s="275">
        <v>650</v>
      </c>
      <c r="D263" s="275">
        <v>600</v>
      </c>
      <c r="E263" s="276">
        <v>25</v>
      </c>
      <c r="F263" s="280"/>
      <c r="G263" s="83" t="s">
        <v>852</v>
      </c>
      <c r="H263" s="367"/>
      <c r="I263" s="367"/>
      <c r="J263" s="64"/>
      <c r="L263" s="367"/>
    </row>
    <row r="264" spans="1:12">
      <c r="A264" s="277">
        <v>305</v>
      </c>
      <c r="B264" s="275">
        <v>100</v>
      </c>
      <c r="C264" s="275">
        <v>650</v>
      </c>
      <c r="D264" s="275">
        <v>600</v>
      </c>
      <c r="E264" s="276">
        <v>30</v>
      </c>
      <c r="F264" s="280"/>
      <c r="G264" s="83" t="s">
        <v>853</v>
      </c>
      <c r="H264" s="367">
        <v>34819.5</v>
      </c>
      <c r="I264" s="367"/>
      <c r="J264" s="64"/>
      <c r="L264" s="367">
        <v>34819.5</v>
      </c>
    </row>
    <row r="265" spans="1:12">
      <c r="A265" s="277">
        <v>305</v>
      </c>
      <c r="B265" s="275">
        <v>100</v>
      </c>
      <c r="C265" s="275">
        <v>650</v>
      </c>
      <c r="D265" s="275">
        <v>600</v>
      </c>
      <c r="E265" s="276">
        <v>35</v>
      </c>
      <c r="F265" s="280"/>
      <c r="G265" s="83" t="s">
        <v>854</v>
      </c>
      <c r="H265" s="367">
        <v>4050.26</v>
      </c>
      <c r="I265" s="367"/>
      <c r="J265" s="64"/>
      <c r="L265" s="367">
        <v>4050.26</v>
      </c>
    </row>
    <row r="266" spans="1:12">
      <c r="A266" s="277">
        <v>305</v>
      </c>
      <c r="B266" s="275">
        <v>100</v>
      </c>
      <c r="C266" s="275">
        <v>650</v>
      </c>
      <c r="D266" s="275">
        <v>600</v>
      </c>
      <c r="E266" s="276">
        <v>40</v>
      </c>
      <c r="F266" s="280"/>
      <c r="G266" s="83" t="s">
        <v>855</v>
      </c>
      <c r="H266" s="367">
        <v>278497.40999999997</v>
      </c>
      <c r="I266" s="367"/>
      <c r="J266" s="64"/>
      <c r="L266" s="367">
        <v>181322.73</v>
      </c>
    </row>
    <row r="267" spans="1:12">
      <c r="A267" s="277">
        <v>305</v>
      </c>
      <c r="B267" s="275">
        <v>100</v>
      </c>
      <c r="C267" s="275">
        <v>650</v>
      </c>
      <c r="D267" s="275">
        <v>600</v>
      </c>
      <c r="E267" s="276">
        <v>45</v>
      </c>
      <c r="F267" s="280"/>
      <c r="G267" s="83" t="s">
        <v>856</v>
      </c>
      <c r="H267" s="367">
        <v>252798.04</v>
      </c>
      <c r="I267" s="367"/>
      <c r="J267" s="64"/>
      <c r="L267" s="367">
        <v>134663.56</v>
      </c>
    </row>
    <row r="268" spans="1:12" ht="25.5">
      <c r="A268" s="277">
        <v>305</v>
      </c>
      <c r="B268" s="275">
        <v>100</v>
      </c>
      <c r="C268" s="275">
        <v>650</v>
      </c>
      <c r="D268" s="275">
        <v>600</v>
      </c>
      <c r="E268" s="276">
        <v>50</v>
      </c>
      <c r="F268" s="280"/>
      <c r="G268" s="83" t="s">
        <v>846</v>
      </c>
      <c r="H268" s="367">
        <v>0</v>
      </c>
      <c r="I268" s="367"/>
      <c r="J268" s="64"/>
      <c r="L268" s="367"/>
    </row>
    <row r="269" spans="1:12" ht="25.5">
      <c r="A269" s="277">
        <v>305</v>
      </c>
      <c r="B269" s="275">
        <v>100</v>
      </c>
      <c r="C269" s="275">
        <v>650</v>
      </c>
      <c r="D269" s="275">
        <v>600</v>
      </c>
      <c r="E269" s="276">
        <v>90</v>
      </c>
      <c r="F269" s="280"/>
      <c r="G269" s="83" t="s">
        <v>843</v>
      </c>
      <c r="H269" s="367"/>
      <c r="I269" s="367"/>
      <c r="J269" s="64"/>
      <c r="L269" s="367"/>
    </row>
    <row r="270" spans="1:12" s="86" customFormat="1" ht="25.5">
      <c r="A270" s="277">
        <v>305</v>
      </c>
      <c r="B270" s="275">
        <v>100</v>
      </c>
      <c r="C270" s="275">
        <v>650</v>
      </c>
      <c r="D270" s="275">
        <v>700</v>
      </c>
      <c r="E270" s="275"/>
      <c r="F270" s="275"/>
      <c r="G270" s="63" t="s">
        <v>857</v>
      </c>
      <c r="H270" s="366"/>
      <c r="I270" s="366"/>
      <c r="J270" s="64" t="s">
        <v>858</v>
      </c>
      <c r="L270" s="366"/>
    </row>
    <row r="271" spans="1:12" s="86" customFormat="1" ht="12.75">
      <c r="A271" s="277">
        <v>305</v>
      </c>
      <c r="B271" s="275">
        <v>100</v>
      </c>
      <c r="C271" s="275">
        <v>650</v>
      </c>
      <c r="D271" s="275">
        <v>700</v>
      </c>
      <c r="E271" s="276">
        <v>5</v>
      </c>
      <c r="F271" s="276"/>
      <c r="G271" s="83" t="s">
        <v>848</v>
      </c>
      <c r="H271" s="367">
        <v>0</v>
      </c>
      <c r="I271" s="367"/>
      <c r="J271" s="85"/>
      <c r="L271" s="367"/>
    </row>
    <row r="272" spans="1:12" s="86" customFormat="1" ht="12.75">
      <c r="A272" s="277">
        <v>305</v>
      </c>
      <c r="B272" s="275">
        <v>100</v>
      </c>
      <c r="C272" s="275">
        <v>650</v>
      </c>
      <c r="D272" s="275">
        <v>700</v>
      </c>
      <c r="E272" s="276">
        <v>10</v>
      </c>
      <c r="F272" s="276"/>
      <c r="G272" s="83" t="s">
        <v>849</v>
      </c>
      <c r="H272" s="367">
        <v>0</v>
      </c>
      <c r="I272" s="367"/>
      <c r="J272" s="85"/>
      <c r="L272" s="367"/>
    </row>
    <row r="273" spans="1:12" s="86" customFormat="1" ht="12.75">
      <c r="A273" s="277">
        <v>305</v>
      </c>
      <c r="B273" s="275">
        <v>100</v>
      </c>
      <c r="C273" s="275">
        <v>650</v>
      </c>
      <c r="D273" s="275">
        <v>700</v>
      </c>
      <c r="E273" s="276">
        <v>15</v>
      </c>
      <c r="F273" s="276"/>
      <c r="G273" s="83" t="s">
        <v>850</v>
      </c>
      <c r="H273" s="367">
        <v>0</v>
      </c>
      <c r="I273" s="367"/>
      <c r="J273" s="85"/>
      <c r="L273" s="367"/>
    </row>
    <row r="274" spans="1:12" s="86" customFormat="1" ht="12.75">
      <c r="A274" s="277">
        <v>305</v>
      </c>
      <c r="B274" s="275">
        <v>100</v>
      </c>
      <c r="C274" s="275">
        <v>650</v>
      </c>
      <c r="D274" s="275">
        <v>700</v>
      </c>
      <c r="E274" s="276">
        <v>20</v>
      </c>
      <c r="F274" s="276"/>
      <c r="G274" s="83" t="s">
        <v>851</v>
      </c>
      <c r="H274" s="367">
        <v>0</v>
      </c>
      <c r="I274" s="367"/>
      <c r="J274" s="85"/>
      <c r="L274" s="367"/>
    </row>
    <row r="275" spans="1:12" s="86" customFormat="1" ht="12.75">
      <c r="A275" s="277">
        <v>305</v>
      </c>
      <c r="B275" s="275">
        <v>100</v>
      </c>
      <c r="C275" s="275">
        <v>650</v>
      </c>
      <c r="D275" s="275">
        <v>700</v>
      </c>
      <c r="E275" s="276">
        <v>25</v>
      </c>
      <c r="F275" s="276"/>
      <c r="G275" s="83" t="s">
        <v>852</v>
      </c>
      <c r="H275" s="367">
        <v>0</v>
      </c>
      <c r="I275" s="367"/>
      <c r="J275" s="85"/>
      <c r="L275" s="367"/>
    </row>
    <row r="276" spans="1:12" s="86" customFormat="1" ht="12.75">
      <c r="A276" s="277">
        <v>305</v>
      </c>
      <c r="B276" s="275">
        <v>100</v>
      </c>
      <c r="C276" s="275">
        <v>650</v>
      </c>
      <c r="D276" s="275">
        <v>700</v>
      </c>
      <c r="E276" s="276">
        <v>30</v>
      </c>
      <c r="F276" s="276"/>
      <c r="G276" s="83" t="s">
        <v>853</v>
      </c>
      <c r="H276" s="367">
        <v>0</v>
      </c>
      <c r="I276" s="367"/>
      <c r="J276" s="85"/>
      <c r="L276" s="367"/>
    </row>
    <row r="277" spans="1:12" s="86" customFormat="1" ht="12.75">
      <c r="A277" s="277">
        <v>305</v>
      </c>
      <c r="B277" s="275">
        <v>100</v>
      </c>
      <c r="C277" s="275">
        <v>650</v>
      </c>
      <c r="D277" s="275">
        <v>700</v>
      </c>
      <c r="E277" s="276">
        <v>35</v>
      </c>
      <c r="F277" s="276"/>
      <c r="G277" s="83" t="s">
        <v>854</v>
      </c>
      <c r="H277" s="367">
        <v>0</v>
      </c>
      <c r="I277" s="367"/>
      <c r="J277" s="85"/>
      <c r="L277" s="367"/>
    </row>
    <row r="278" spans="1:12" s="86" customFormat="1" ht="25.5">
      <c r="A278" s="277">
        <v>305</v>
      </c>
      <c r="B278" s="275">
        <v>100</v>
      </c>
      <c r="C278" s="275">
        <v>650</v>
      </c>
      <c r="D278" s="275">
        <v>700</v>
      </c>
      <c r="E278" s="276">
        <v>40</v>
      </c>
      <c r="F278" s="276"/>
      <c r="G278" s="83" t="s">
        <v>846</v>
      </c>
      <c r="H278" s="367">
        <v>0</v>
      </c>
      <c r="I278" s="367"/>
      <c r="J278" s="85"/>
      <c r="L278" s="367"/>
    </row>
    <row r="279" spans="1:12" ht="25.5">
      <c r="A279" s="277">
        <v>305</v>
      </c>
      <c r="B279" s="275">
        <v>100</v>
      </c>
      <c r="C279" s="275">
        <v>650</v>
      </c>
      <c r="D279" s="275">
        <v>700</v>
      </c>
      <c r="E279" s="276">
        <v>90</v>
      </c>
      <c r="F279" s="276"/>
      <c r="G279" s="83" t="s">
        <v>843</v>
      </c>
      <c r="H279" s="367">
        <v>0</v>
      </c>
      <c r="I279" s="367"/>
      <c r="J279" s="85"/>
      <c r="L279" s="367"/>
    </row>
    <row r="280" spans="1:12">
      <c r="A280" s="277">
        <v>305</v>
      </c>
      <c r="B280" s="275">
        <v>100</v>
      </c>
      <c r="C280" s="275">
        <v>700</v>
      </c>
      <c r="D280" s="275"/>
      <c r="E280" s="275"/>
      <c r="F280" s="275"/>
      <c r="G280" s="63" t="s">
        <v>859</v>
      </c>
      <c r="H280" s="366"/>
      <c r="I280" s="366"/>
      <c r="J280" s="64" t="s">
        <v>860</v>
      </c>
      <c r="L280" s="366"/>
    </row>
    <row r="281" spans="1:12">
      <c r="A281" s="277">
        <v>305</v>
      </c>
      <c r="B281" s="275">
        <v>100</v>
      </c>
      <c r="C281" s="275">
        <v>700</v>
      </c>
      <c r="D281" s="276">
        <v>100</v>
      </c>
      <c r="E281" s="276"/>
      <c r="F281" s="275"/>
      <c r="G281" s="83" t="s">
        <v>861</v>
      </c>
      <c r="H281" s="367">
        <v>217883.94</v>
      </c>
      <c r="I281" s="367"/>
      <c r="J281" s="64" t="s">
        <v>862</v>
      </c>
      <c r="L281" s="367"/>
    </row>
    <row r="282" spans="1:12">
      <c r="A282" s="277">
        <v>305</v>
      </c>
      <c r="B282" s="275">
        <v>100</v>
      </c>
      <c r="C282" s="275">
        <v>700</v>
      </c>
      <c r="D282" s="276">
        <v>200</v>
      </c>
      <c r="E282" s="276"/>
      <c r="F282" s="275"/>
      <c r="G282" s="83" t="s">
        <v>863</v>
      </c>
      <c r="H282" s="367">
        <v>1273.0999999999999</v>
      </c>
      <c r="I282" s="367"/>
      <c r="J282" s="64" t="s">
        <v>864</v>
      </c>
      <c r="L282" s="367"/>
    </row>
    <row r="283" spans="1:12">
      <c r="A283" s="277">
        <v>305</v>
      </c>
      <c r="B283" s="275">
        <v>100</v>
      </c>
      <c r="C283" s="275">
        <v>700</v>
      </c>
      <c r="D283" s="276">
        <v>300</v>
      </c>
      <c r="E283" s="276"/>
      <c r="F283" s="275"/>
      <c r="G283" s="83" t="s">
        <v>865</v>
      </c>
      <c r="H283" s="367">
        <v>0</v>
      </c>
      <c r="I283" s="367"/>
      <c r="J283" s="64" t="s">
        <v>866</v>
      </c>
      <c r="L283" s="367"/>
    </row>
    <row r="284" spans="1:12">
      <c r="A284" s="277">
        <v>305</v>
      </c>
      <c r="B284" s="275">
        <v>100</v>
      </c>
      <c r="C284" s="275">
        <v>700</v>
      </c>
      <c r="D284" s="276">
        <v>400</v>
      </c>
      <c r="E284" s="276"/>
      <c r="F284" s="275"/>
      <c r="G284" s="83" t="s">
        <v>867</v>
      </c>
      <c r="H284" s="367">
        <v>117906.15</v>
      </c>
      <c r="I284" s="367"/>
      <c r="J284" s="64" t="s">
        <v>868</v>
      </c>
      <c r="L284" s="367"/>
    </row>
    <row r="285" spans="1:12" s="86" customFormat="1" ht="12.75">
      <c r="A285" s="277">
        <v>305</v>
      </c>
      <c r="B285" s="275">
        <v>100</v>
      </c>
      <c r="C285" s="275">
        <v>700</v>
      </c>
      <c r="D285" s="275">
        <v>500</v>
      </c>
      <c r="E285" s="275"/>
      <c r="F285" s="275"/>
      <c r="G285" s="84" t="s">
        <v>869</v>
      </c>
      <c r="H285" s="366"/>
      <c r="I285" s="366"/>
      <c r="J285" s="91" t="s">
        <v>870</v>
      </c>
      <c r="L285" s="366"/>
    </row>
    <row r="286" spans="1:12" s="86" customFormat="1" ht="12.75">
      <c r="A286" s="277">
        <v>305</v>
      </c>
      <c r="B286" s="275">
        <v>100</v>
      </c>
      <c r="C286" s="275">
        <v>700</v>
      </c>
      <c r="D286" s="275">
        <v>500</v>
      </c>
      <c r="E286" s="276">
        <v>5</v>
      </c>
      <c r="F286" s="280"/>
      <c r="G286" s="83" t="s">
        <v>871</v>
      </c>
      <c r="H286" s="367">
        <v>0</v>
      </c>
      <c r="I286" s="367"/>
      <c r="J286" s="64"/>
      <c r="L286" s="367"/>
    </row>
    <row r="287" spans="1:12" s="86" customFormat="1" ht="12.75">
      <c r="A287" s="277">
        <v>305</v>
      </c>
      <c r="B287" s="275">
        <v>100</v>
      </c>
      <c r="C287" s="275">
        <v>700</v>
      </c>
      <c r="D287" s="275">
        <v>500</v>
      </c>
      <c r="E287" s="276">
        <v>10</v>
      </c>
      <c r="F287" s="280"/>
      <c r="G287" s="83" t="s">
        <v>872</v>
      </c>
      <c r="H287" s="367">
        <v>7005.24</v>
      </c>
      <c r="I287" s="367"/>
      <c r="J287" s="64"/>
      <c r="L287" s="367">
        <v>70</v>
      </c>
    </row>
    <row r="288" spans="1:12" s="86" customFormat="1" ht="12.75">
      <c r="A288" s="277">
        <v>305</v>
      </c>
      <c r="B288" s="275">
        <v>100</v>
      </c>
      <c r="C288" s="275">
        <v>700</v>
      </c>
      <c r="D288" s="275">
        <v>500</v>
      </c>
      <c r="E288" s="276">
        <v>15</v>
      </c>
      <c r="F288" s="280"/>
      <c r="G288" s="83" t="s">
        <v>873</v>
      </c>
      <c r="H288" s="367">
        <v>67153.350000000006</v>
      </c>
      <c r="I288" s="367"/>
      <c r="J288" s="64"/>
      <c r="L288" s="367"/>
    </row>
    <row r="289" spans="1:12" s="86" customFormat="1" ht="12.75">
      <c r="A289" s="277">
        <v>305</v>
      </c>
      <c r="B289" s="275">
        <v>100</v>
      </c>
      <c r="C289" s="275">
        <v>700</v>
      </c>
      <c r="D289" s="275">
        <v>500</v>
      </c>
      <c r="E289" s="276">
        <v>20</v>
      </c>
      <c r="F289" s="275"/>
      <c r="G289" s="83" t="s">
        <v>874</v>
      </c>
      <c r="H289" s="367">
        <v>0</v>
      </c>
      <c r="I289" s="367"/>
      <c r="J289" s="64"/>
      <c r="L289" s="367"/>
    </row>
    <row r="290" spans="1:12" s="86" customFormat="1" ht="12.75">
      <c r="A290" s="277">
        <v>305</v>
      </c>
      <c r="B290" s="275">
        <v>100</v>
      </c>
      <c r="C290" s="275">
        <v>700</v>
      </c>
      <c r="D290" s="275">
        <v>500</v>
      </c>
      <c r="E290" s="276">
        <v>25</v>
      </c>
      <c r="F290" s="280"/>
      <c r="G290" s="83" t="s">
        <v>875</v>
      </c>
      <c r="H290" s="367">
        <v>265524.07</v>
      </c>
      <c r="I290" s="367"/>
      <c r="J290" s="64"/>
      <c r="L290" s="367"/>
    </row>
    <row r="291" spans="1:12" s="86" customFormat="1" ht="12.75">
      <c r="A291" s="277">
        <v>305</v>
      </c>
      <c r="B291" s="275">
        <v>100</v>
      </c>
      <c r="C291" s="275">
        <v>700</v>
      </c>
      <c r="D291" s="275">
        <v>500</v>
      </c>
      <c r="E291" s="276">
        <v>30</v>
      </c>
      <c r="F291" s="280"/>
      <c r="G291" s="83" t="s">
        <v>876</v>
      </c>
      <c r="H291" s="367">
        <v>894541.36</v>
      </c>
      <c r="I291" s="367"/>
      <c r="J291" s="64"/>
      <c r="L291" s="367"/>
    </row>
    <row r="292" spans="1:12" s="86" customFormat="1" ht="12.75">
      <c r="A292" s="277">
        <v>305</v>
      </c>
      <c r="B292" s="275">
        <v>100</v>
      </c>
      <c r="C292" s="275">
        <v>700</v>
      </c>
      <c r="D292" s="275">
        <v>500</v>
      </c>
      <c r="E292" s="276">
        <v>35</v>
      </c>
      <c r="F292" s="280"/>
      <c r="G292" s="83" t="s">
        <v>877</v>
      </c>
      <c r="H292" s="367">
        <v>439735.41</v>
      </c>
      <c r="I292" s="367"/>
      <c r="J292" s="64"/>
      <c r="L292" s="367">
        <v>39997.9</v>
      </c>
    </row>
    <row r="293" spans="1:12" s="86" customFormat="1" ht="12.75">
      <c r="A293" s="277">
        <v>305</v>
      </c>
      <c r="B293" s="275">
        <v>100</v>
      </c>
      <c r="C293" s="275">
        <v>700</v>
      </c>
      <c r="D293" s="275">
        <v>500</v>
      </c>
      <c r="E293" s="276">
        <v>40</v>
      </c>
      <c r="F293" s="280"/>
      <c r="G293" s="83" t="s">
        <v>878</v>
      </c>
      <c r="H293" s="367">
        <v>0</v>
      </c>
      <c r="I293" s="367"/>
      <c r="J293" s="64"/>
      <c r="L293" s="367"/>
    </row>
    <row r="294" spans="1:12" s="86" customFormat="1" ht="12.75">
      <c r="A294" s="277">
        <v>305</v>
      </c>
      <c r="B294" s="275">
        <v>100</v>
      </c>
      <c r="C294" s="275">
        <v>700</v>
      </c>
      <c r="D294" s="275">
        <v>500</v>
      </c>
      <c r="E294" s="276">
        <v>45</v>
      </c>
      <c r="F294" s="280"/>
      <c r="G294" s="83" t="s">
        <v>879</v>
      </c>
      <c r="H294" s="367">
        <v>58394.16</v>
      </c>
      <c r="I294" s="367"/>
      <c r="J294" s="64"/>
      <c r="L294" s="367"/>
    </row>
    <row r="295" spans="1:12">
      <c r="A295" s="277">
        <v>305</v>
      </c>
      <c r="B295" s="275">
        <v>100</v>
      </c>
      <c r="C295" s="275">
        <v>700</v>
      </c>
      <c r="D295" s="275">
        <v>500</v>
      </c>
      <c r="E295" s="276">
        <v>90</v>
      </c>
      <c r="F295" s="275"/>
      <c r="G295" s="83" t="s">
        <v>869</v>
      </c>
      <c r="H295" s="367">
        <v>903359.19</v>
      </c>
      <c r="I295" s="367"/>
      <c r="J295" s="64"/>
      <c r="L295" s="367">
        <v>30514.880000000001</v>
      </c>
    </row>
    <row r="296" spans="1:12" s="86" customFormat="1" ht="12.75">
      <c r="A296" s="277">
        <v>305</v>
      </c>
      <c r="B296" s="275">
        <v>100</v>
      </c>
      <c r="C296" s="275">
        <v>700</v>
      </c>
      <c r="D296" s="275">
        <v>600</v>
      </c>
      <c r="E296" s="275"/>
      <c r="F296" s="275"/>
      <c r="G296" s="63" t="s">
        <v>880</v>
      </c>
      <c r="H296" s="372"/>
      <c r="I296" s="372"/>
      <c r="J296" s="64" t="s">
        <v>881</v>
      </c>
      <c r="L296" s="372"/>
    </row>
    <row r="297" spans="1:12" s="86" customFormat="1" ht="12.75">
      <c r="A297" s="277">
        <v>305</v>
      </c>
      <c r="B297" s="275">
        <v>100</v>
      </c>
      <c r="C297" s="275">
        <v>700</v>
      </c>
      <c r="D297" s="275">
        <v>600</v>
      </c>
      <c r="E297" s="276">
        <v>10</v>
      </c>
      <c r="F297" s="276"/>
      <c r="G297" s="83" t="s">
        <v>882</v>
      </c>
      <c r="H297" s="367">
        <v>543511.71</v>
      </c>
      <c r="I297" s="367"/>
      <c r="J297" s="85"/>
      <c r="L297" s="367">
        <v>42667.83</v>
      </c>
    </row>
    <row r="298" spans="1:12" s="90" customFormat="1" ht="25.5">
      <c r="A298" s="277">
        <v>305</v>
      </c>
      <c r="B298" s="275">
        <v>100</v>
      </c>
      <c r="C298" s="275">
        <v>700</v>
      </c>
      <c r="D298" s="275">
        <v>600</v>
      </c>
      <c r="E298" s="276">
        <v>90</v>
      </c>
      <c r="F298" s="276"/>
      <c r="G298" s="83" t="s">
        <v>883</v>
      </c>
      <c r="H298" s="367">
        <v>829494.46</v>
      </c>
      <c r="I298" s="367"/>
      <c r="J298" s="85"/>
      <c r="L298" s="367">
        <v>454494.66</v>
      </c>
    </row>
    <row r="299" spans="1:12">
      <c r="A299" s="277">
        <v>305</v>
      </c>
      <c r="B299" s="275">
        <v>100</v>
      </c>
      <c r="C299" s="275">
        <v>700</v>
      </c>
      <c r="D299" s="275">
        <v>700</v>
      </c>
      <c r="E299" s="276"/>
      <c r="F299" s="276"/>
      <c r="G299" s="66" t="s">
        <v>884</v>
      </c>
      <c r="H299" s="371">
        <v>0</v>
      </c>
      <c r="I299" s="371"/>
      <c r="J299" s="85" t="s">
        <v>885</v>
      </c>
      <c r="L299" s="371"/>
    </row>
    <row r="300" spans="1:12" s="86" customFormat="1" ht="25.5">
      <c r="A300" s="277">
        <v>305</v>
      </c>
      <c r="B300" s="275">
        <v>100</v>
      </c>
      <c r="C300" s="275">
        <v>750</v>
      </c>
      <c r="D300" s="275"/>
      <c r="E300" s="275"/>
      <c r="F300" s="275"/>
      <c r="G300" s="63" t="s">
        <v>886</v>
      </c>
      <c r="H300" s="366"/>
      <c r="I300" s="366"/>
      <c r="J300" s="85" t="s">
        <v>887</v>
      </c>
      <c r="L300" s="366"/>
    </row>
    <row r="301" spans="1:12" ht="25.5">
      <c r="A301" s="277">
        <v>305</v>
      </c>
      <c r="B301" s="275">
        <v>100</v>
      </c>
      <c r="C301" s="275">
        <v>750</v>
      </c>
      <c r="D301" s="275">
        <v>100</v>
      </c>
      <c r="E301" s="276"/>
      <c r="F301" s="276"/>
      <c r="G301" s="83" t="s">
        <v>888</v>
      </c>
      <c r="H301" s="367">
        <v>71263.149999999994</v>
      </c>
      <c r="I301" s="367"/>
      <c r="J301" s="85" t="s">
        <v>889</v>
      </c>
      <c r="L301" s="367">
        <v>46020.590000000004</v>
      </c>
    </row>
    <row r="302" spans="1:12">
      <c r="A302" s="277">
        <v>305</v>
      </c>
      <c r="B302" s="275">
        <v>100</v>
      </c>
      <c r="C302" s="275">
        <v>750</v>
      </c>
      <c r="D302" s="275">
        <v>200</v>
      </c>
      <c r="E302" s="276"/>
      <c r="F302" s="275"/>
      <c r="G302" s="83" t="s">
        <v>890</v>
      </c>
      <c r="H302" s="367">
        <v>18030.46</v>
      </c>
      <c r="I302" s="367"/>
      <c r="J302" s="64" t="s">
        <v>891</v>
      </c>
      <c r="L302" s="367">
        <v>18030.46</v>
      </c>
    </row>
    <row r="303" spans="1:12" ht="25.5">
      <c r="A303" s="277">
        <v>305</v>
      </c>
      <c r="B303" s="275">
        <v>100</v>
      </c>
      <c r="C303" s="275">
        <v>750</v>
      </c>
      <c r="D303" s="275">
        <v>300</v>
      </c>
      <c r="E303" s="275"/>
      <c r="F303" s="275"/>
      <c r="G303" s="63" t="s">
        <v>892</v>
      </c>
      <c r="H303" s="366"/>
      <c r="I303" s="366"/>
      <c r="J303" s="64" t="s">
        <v>893</v>
      </c>
      <c r="L303" s="366"/>
    </row>
    <row r="304" spans="1:12" ht="25.5">
      <c r="A304" s="277">
        <v>305</v>
      </c>
      <c r="B304" s="275">
        <v>100</v>
      </c>
      <c r="C304" s="275">
        <v>750</v>
      </c>
      <c r="D304" s="275">
        <v>300</v>
      </c>
      <c r="E304" s="276">
        <v>10</v>
      </c>
      <c r="F304" s="275"/>
      <c r="G304" s="83" t="s">
        <v>894</v>
      </c>
      <c r="H304" s="367">
        <v>0</v>
      </c>
      <c r="I304" s="367"/>
      <c r="J304" s="64" t="s">
        <v>895</v>
      </c>
      <c r="L304" s="367"/>
    </row>
    <row r="305" spans="1:12" s="86" customFormat="1" ht="12.75">
      <c r="A305" s="277">
        <v>305</v>
      </c>
      <c r="B305" s="275">
        <v>100</v>
      </c>
      <c r="C305" s="275">
        <v>750</v>
      </c>
      <c r="D305" s="275">
        <v>300</v>
      </c>
      <c r="E305" s="275">
        <v>20</v>
      </c>
      <c r="F305" s="275"/>
      <c r="G305" s="63" t="s">
        <v>896</v>
      </c>
      <c r="H305" s="366"/>
      <c r="I305" s="366"/>
      <c r="J305" s="64" t="s">
        <v>897</v>
      </c>
      <c r="L305" s="366"/>
    </row>
    <row r="306" spans="1:12" s="86" customFormat="1" ht="12.75">
      <c r="A306" s="277">
        <v>305</v>
      </c>
      <c r="B306" s="275">
        <v>100</v>
      </c>
      <c r="C306" s="275">
        <v>750</v>
      </c>
      <c r="D306" s="275">
        <v>300</v>
      </c>
      <c r="E306" s="275">
        <v>20</v>
      </c>
      <c r="F306" s="276">
        <v>5</v>
      </c>
      <c r="G306" s="83" t="s">
        <v>898</v>
      </c>
      <c r="H306" s="367">
        <v>0</v>
      </c>
      <c r="I306" s="367"/>
      <c r="J306" s="64"/>
      <c r="L306" s="367"/>
    </row>
    <row r="307" spans="1:12" s="86" customFormat="1" ht="12.75">
      <c r="A307" s="277">
        <v>305</v>
      </c>
      <c r="B307" s="275">
        <v>100</v>
      </c>
      <c r="C307" s="275">
        <v>750</v>
      </c>
      <c r="D307" s="275">
        <v>300</v>
      </c>
      <c r="E307" s="275">
        <v>20</v>
      </c>
      <c r="F307" s="276">
        <v>10</v>
      </c>
      <c r="G307" s="83" t="s">
        <v>899</v>
      </c>
      <c r="H307" s="367">
        <v>218258.37</v>
      </c>
      <c r="I307" s="367"/>
      <c r="J307" s="64"/>
      <c r="L307" s="367">
        <v>168837.16</v>
      </c>
    </row>
    <row r="308" spans="1:12">
      <c r="A308" s="277">
        <v>305</v>
      </c>
      <c r="B308" s="275">
        <v>100</v>
      </c>
      <c r="C308" s="275">
        <v>750</v>
      </c>
      <c r="D308" s="275">
        <v>300</v>
      </c>
      <c r="E308" s="275">
        <v>20</v>
      </c>
      <c r="F308" s="276">
        <v>15</v>
      </c>
      <c r="G308" s="83" t="s">
        <v>900</v>
      </c>
      <c r="H308" s="367">
        <v>0</v>
      </c>
      <c r="I308" s="367"/>
      <c r="J308" s="64"/>
      <c r="L308" s="367"/>
    </row>
    <row r="309" spans="1:12" s="86" customFormat="1" ht="12.75">
      <c r="A309" s="277">
        <v>305</v>
      </c>
      <c r="B309" s="275">
        <v>100</v>
      </c>
      <c r="C309" s="275">
        <v>750</v>
      </c>
      <c r="D309" s="275">
        <v>300</v>
      </c>
      <c r="E309" s="275">
        <v>30</v>
      </c>
      <c r="F309" s="275"/>
      <c r="G309" s="63" t="s">
        <v>901</v>
      </c>
      <c r="H309" s="366"/>
      <c r="I309" s="366"/>
      <c r="J309" s="64" t="s">
        <v>902</v>
      </c>
      <c r="L309" s="366"/>
    </row>
    <row r="310" spans="1:12" s="86" customFormat="1" ht="12.75">
      <c r="A310" s="277">
        <v>305</v>
      </c>
      <c r="B310" s="275">
        <v>100</v>
      </c>
      <c r="C310" s="275">
        <v>750</v>
      </c>
      <c r="D310" s="275">
        <v>300</v>
      </c>
      <c r="E310" s="275">
        <v>30</v>
      </c>
      <c r="F310" s="276">
        <v>5</v>
      </c>
      <c r="G310" s="83" t="s">
        <v>903</v>
      </c>
      <c r="H310" s="367">
        <v>192498.67</v>
      </c>
      <c r="I310" s="367"/>
      <c r="J310" s="64"/>
      <c r="L310" s="367"/>
    </row>
    <row r="311" spans="1:12" s="86" customFormat="1" ht="12.75">
      <c r="A311" s="277">
        <v>305</v>
      </c>
      <c r="B311" s="275">
        <v>100</v>
      </c>
      <c r="C311" s="275">
        <v>750</v>
      </c>
      <c r="D311" s="275">
        <v>300</v>
      </c>
      <c r="E311" s="275">
        <v>30</v>
      </c>
      <c r="F311" s="276">
        <v>10</v>
      </c>
      <c r="G311" s="83" t="s">
        <v>904</v>
      </c>
      <c r="H311" s="367">
        <v>3677945.01</v>
      </c>
      <c r="I311" s="367"/>
      <c r="J311" s="64"/>
      <c r="L311" s="367">
        <v>2330163.7259999998</v>
      </c>
    </row>
    <row r="312" spans="1:12" s="86" customFormat="1" ht="12.75">
      <c r="A312" s="277">
        <v>305</v>
      </c>
      <c r="B312" s="275">
        <v>100</v>
      </c>
      <c r="C312" s="275">
        <v>750</v>
      </c>
      <c r="D312" s="275">
        <v>300</v>
      </c>
      <c r="E312" s="275">
        <v>30</v>
      </c>
      <c r="F312" s="276">
        <v>15</v>
      </c>
      <c r="G312" s="83" t="s">
        <v>905</v>
      </c>
      <c r="H312" s="367">
        <v>0</v>
      </c>
      <c r="I312" s="367"/>
      <c r="J312" s="64"/>
      <c r="L312" s="367"/>
    </row>
    <row r="313" spans="1:12">
      <c r="A313" s="277">
        <v>305</v>
      </c>
      <c r="B313" s="275">
        <v>100</v>
      </c>
      <c r="C313" s="275">
        <v>750</v>
      </c>
      <c r="D313" s="275">
        <v>300</v>
      </c>
      <c r="E313" s="275">
        <v>30</v>
      </c>
      <c r="F313" s="276">
        <v>20</v>
      </c>
      <c r="G313" s="83" t="s">
        <v>906</v>
      </c>
      <c r="H313" s="367">
        <v>0</v>
      </c>
      <c r="I313" s="367"/>
      <c r="J313" s="64"/>
      <c r="L313" s="367"/>
    </row>
    <row r="314" spans="1:12" s="86" customFormat="1" ht="12.75">
      <c r="A314" s="277">
        <v>305</v>
      </c>
      <c r="B314" s="275">
        <v>100</v>
      </c>
      <c r="C314" s="275">
        <v>750</v>
      </c>
      <c r="D314" s="275">
        <v>300</v>
      </c>
      <c r="E314" s="275">
        <v>40</v>
      </c>
      <c r="F314" s="275"/>
      <c r="G314" s="63" t="s">
        <v>907</v>
      </c>
      <c r="H314" s="366"/>
      <c r="I314" s="366"/>
      <c r="J314" s="64" t="s">
        <v>908</v>
      </c>
      <c r="L314" s="366"/>
    </row>
    <row r="315" spans="1:12" s="86" customFormat="1" ht="12.75">
      <c r="A315" s="277">
        <v>305</v>
      </c>
      <c r="B315" s="275">
        <v>100</v>
      </c>
      <c r="C315" s="275">
        <v>750</v>
      </c>
      <c r="D315" s="275">
        <v>300</v>
      </c>
      <c r="E315" s="275">
        <v>40</v>
      </c>
      <c r="F315" s="276">
        <v>5</v>
      </c>
      <c r="G315" s="83" t="s">
        <v>909</v>
      </c>
      <c r="H315" s="367">
        <v>2320284.4700000002</v>
      </c>
      <c r="I315" s="367"/>
      <c r="J315" s="64"/>
      <c r="L315" s="367"/>
    </row>
    <row r="316" spans="1:12">
      <c r="A316" s="277">
        <v>305</v>
      </c>
      <c r="B316" s="275">
        <v>100</v>
      </c>
      <c r="C316" s="275">
        <v>750</v>
      </c>
      <c r="D316" s="275">
        <v>300</v>
      </c>
      <c r="E316" s="275">
        <v>40</v>
      </c>
      <c r="F316" s="276">
        <v>10</v>
      </c>
      <c r="G316" s="83" t="s">
        <v>639</v>
      </c>
      <c r="H316" s="367">
        <v>898439.08</v>
      </c>
      <c r="I316" s="367"/>
      <c r="J316" s="70"/>
      <c r="L316" s="367"/>
    </row>
    <row r="317" spans="1:12">
      <c r="A317" s="277">
        <v>305</v>
      </c>
      <c r="B317" s="275">
        <v>100</v>
      </c>
      <c r="C317" s="275">
        <v>750</v>
      </c>
      <c r="D317" s="275">
        <v>300</v>
      </c>
      <c r="E317" s="276">
        <v>50</v>
      </c>
      <c r="F317" s="275"/>
      <c r="G317" s="83" t="s">
        <v>910</v>
      </c>
      <c r="H317" s="367">
        <v>738869.96</v>
      </c>
      <c r="I317" s="367"/>
      <c r="J317" s="64" t="s">
        <v>911</v>
      </c>
      <c r="L317" s="367">
        <v>733817.4</v>
      </c>
    </row>
    <row r="318" spans="1:12" s="86" customFormat="1" ht="12.75">
      <c r="A318" s="277">
        <v>305</v>
      </c>
      <c r="B318" s="275">
        <v>100</v>
      </c>
      <c r="C318" s="275">
        <v>750</v>
      </c>
      <c r="D318" s="275">
        <v>300</v>
      </c>
      <c r="E318" s="275">
        <v>60</v>
      </c>
      <c r="F318" s="275"/>
      <c r="G318" s="63" t="s">
        <v>912</v>
      </c>
      <c r="H318" s="366"/>
      <c r="I318" s="366"/>
      <c r="J318" s="64" t="s">
        <v>913</v>
      </c>
      <c r="L318" s="366"/>
    </row>
    <row r="319" spans="1:12" s="86" customFormat="1" ht="12.75">
      <c r="A319" s="277">
        <v>305</v>
      </c>
      <c r="B319" s="275">
        <v>100</v>
      </c>
      <c r="C319" s="275">
        <v>750</v>
      </c>
      <c r="D319" s="275">
        <v>300</v>
      </c>
      <c r="E319" s="275">
        <v>60</v>
      </c>
      <c r="F319" s="276">
        <v>5</v>
      </c>
      <c r="G319" s="83" t="s">
        <v>914</v>
      </c>
      <c r="H319" s="367">
        <v>286710.81</v>
      </c>
      <c r="I319" s="367"/>
      <c r="J319" s="64"/>
      <c r="L319" s="367">
        <v>5052.5600000000004</v>
      </c>
    </row>
    <row r="320" spans="1:12" s="86" customFormat="1" ht="12.75">
      <c r="A320" s="277">
        <v>305</v>
      </c>
      <c r="B320" s="275">
        <v>100</v>
      </c>
      <c r="C320" s="275">
        <v>750</v>
      </c>
      <c r="D320" s="275">
        <v>300</v>
      </c>
      <c r="E320" s="275">
        <v>60</v>
      </c>
      <c r="F320" s="276">
        <v>10</v>
      </c>
      <c r="G320" s="83" t="s">
        <v>915</v>
      </c>
      <c r="H320" s="367">
        <v>243575.28</v>
      </c>
      <c r="I320" s="367"/>
      <c r="J320" s="64"/>
      <c r="L320" s="367"/>
    </row>
    <row r="321" spans="1:12" s="86" customFormat="1" ht="12.75">
      <c r="A321" s="277">
        <v>305</v>
      </c>
      <c r="B321" s="275">
        <v>100</v>
      </c>
      <c r="C321" s="275">
        <v>750</v>
      </c>
      <c r="D321" s="275">
        <v>300</v>
      </c>
      <c r="E321" s="275">
        <v>60</v>
      </c>
      <c r="F321" s="276">
        <v>15</v>
      </c>
      <c r="G321" s="83" t="s">
        <v>916</v>
      </c>
      <c r="H321" s="367">
        <v>0</v>
      </c>
      <c r="I321" s="367"/>
      <c r="J321" s="64"/>
      <c r="L321" s="367"/>
    </row>
    <row r="322" spans="1:12" s="86" customFormat="1" ht="12.75">
      <c r="A322" s="277">
        <v>305</v>
      </c>
      <c r="B322" s="275">
        <v>100</v>
      </c>
      <c r="C322" s="275">
        <v>750</v>
      </c>
      <c r="D322" s="275">
        <v>300</v>
      </c>
      <c r="E322" s="275">
        <v>60</v>
      </c>
      <c r="F322" s="276">
        <v>20</v>
      </c>
      <c r="G322" s="83" t="s">
        <v>917</v>
      </c>
      <c r="H322" s="367">
        <v>0</v>
      </c>
      <c r="I322" s="367"/>
      <c r="J322" s="64"/>
      <c r="L322" s="367"/>
    </row>
    <row r="323" spans="1:12" s="86" customFormat="1" ht="12.75">
      <c r="A323" s="277">
        <v>305</v>
      </c>
      <c r="B323" s="275">
        <v>100</v>
      </c>
      <c r="C323" s="275">
        <v>750</v>
      </c>
      <c r="D323" s="275">
        <v>300</v>
      </c>
      <c r="E323" s="275">
        <v>60</v>
      </c>
      <c r="F323" s="276">
        <v>25</v>
      </c>
      <c r="G323" s="83" t="s">
        <v>918</v>
      </c>
      <c r="H323" s="367">
        <v>203400.24</v>
      </c>
      <c r="I323" s="367"/>
      <c r="J323" s="64"/>
      <c r="L323" s="367">
        <v>67928.77</v>
      </c>
    </row>
    <row r="324" spans="1:12" s="86" customFormat="1" ht="12.75">
      <c r="A324" s="277">
        <v>305</v>
      </c>
      <c r="B324" s="275">
        <v>100</v>
      </c>
      <c r="C324" s="275">
        <v>750</v>
      </c>
      <c r="D324" s="275">
        <v>300</v>
      </c>
      <c r="E324" s="275">
        <v>60</v>
      </c>
      <c r="F324" s="276">
        <v>30</v>
      </c>
      <c r="G324" s="83" t="s">
        <v>919</v>
      </c>
      <c r="H324" s="367">
        <v>381189.28</v>
      </c>
      <c r="I324" s="367"/>
      <c r="J324" s="64"/>
      <c r="L324" s="367">
        <v>376418.04</v>
      </c>
    </row>
    <row r="325" spans="1:12" s="86" customFormat="1" ht="12.75">
      <c r="A325" s="277">
        <v>305</v>
      </c>
      <c r="B325" s="275">
        <v>100</v>
      </c>
      <c r="C325" s="275">
        <v>750</v>
      </c>
      <c r="D325" s="275">
        <v>300</v>
      </c>
      <c r="E325" s="275">
        <v>60</v>
      </c>
      <c r="F325" s="276">
        <v>35</v>
      </c>
      <c r="G325" s="83" t="s">
        <v>920</v>
      </c>
      <c r="H325" s="367">
        <v>0</v>
      </c>
      <c r="I325" s="367"/>
      <c r="J325" s="64"/>
      <c r="L325" s="367"/>
    </row>
    <row r="326" spans="1:12" s="86" customFormat="1" ht="12.75">
      <c r="A326" s="277">
        <v>305</v>
      </c>
      <c r="B326" s="275">
        <v>100</v>
      </c>
      <c r="C326" s="275">
        <v>750</v>
      </c>
      <c r="D326" s="275">
        <v>300</v>
      </c>
      <c r="E326" s="275">
        <v>60</v>
      </c>
      <c r="F326" s="276">
        <v>40</v>
      </c>
      <c r="G326" s="83" t="s">
        <v>921</v>
      </c>
      <c r="H326" s="367"/>
      <c r="I326" s="367"/>
      <c r="J326" s="64"/>
      <c r="L326" s="367">
        <v>14994</v>
      </c>
    </row>
    <row r="327" spans="1:12">
      <c r="A327" s="277">
        <v>305</v>
      </c>
      <c r="B327" s="275">
        <v>100</v>
      </c>
      <c r="C327" s="275">
        <v>750</v>
      </c>
      <c r="D327" s="275">
        <v>300</v>
      </c>
      <c r="E327" s="275">
        <v>60</v>
      </c>
      <c r="F327" s="276">
        <v>90</v>
      </c>
      <c r="G327" s="83" t="s">
        <v>922</v>
      </c>
      <c r="H327" s="367">
        <v>108812.97</v>
      </c>
      <c r="I327" s="367"/>
      <c r="J327" s="64"/>
      <c r="L327" s="367"/>
    </row>
    <row r="328" spans="1:12" s="86" customFormat="1" ht="12.75">
      <c r="A328" s="277">
        <v>305</v>
      </c>
      <c r="B328" s="275">
        <v>100</v>
      </c>
      <c r="C328" s="275">
        <v>750</v>
      </c>
      <c r="D328" s="275">
        <v>400</v>
      </c>
      <c r="E328" s="275"/>
      <c r="F328" s="275"/>
      <c r="G328" s="63" t="s">
        <v>923</v>
      </c>
      <c r="H328" s="366"/>
      <c r="I328" s="366"/>
      <c r="J328" s="85" t="s">
        <v>924</v>
      </c>
      <c r="L328" s="366"/>
    </row>
    <row r="329" spans="1:12" ht="25.5">
      <c r="A329" s="277">
        <v>305</v>
      </c>
      <c r="B329" s="275">
        <v>100</v>
      </c>
      <c r="C329" s="275">
        <v>750</v>
      </c>
      <c r="D329" s="275">
        <v>400</v>
      </c>
      <c r="E329" s="276">
        <v>10</v>
      </c>
      <c r="F329" s="276"/>
      <c r="G329" s="83" t="s">
        <v>925</v>
      </c>
      <c r="H329" s="367">
        <v>26418.23</v>
      </c>
      <c r="I329" s="367"/>
      <c r="J329" s="85" t="s">
        <v>926</v>
      </c>
      <c r="L329" s="367">
        <v>24979.32</v>
      </c>
    </row>
    <row r="330" spans="1:12" ht="25.5">
      <c r="A330" s="277">
        <v>305</v>
      </c>
      <c r="B330" s="275">
        <v>100</v>
      </c>
      <c r="C330" s="275">
        <v>750</v>
      </c>
      <c r="D330" s="275">
        <v>400</v>
      </c>
      <c r="E330" s="276">
        <v>20</v>
      </c>
      <c r="F330" s="275"/>
      <c r="G330" s="83" t="s">
        <v>927</v>
      </c>
      <c r="H330" s="367">
        <v>0</v>
      </c>
      <c r="I330" s="367"/>
      <c r="J330" s="64" t="s">
        <v>928</v>
      </c>
      <c r="L330" s="367"/>
    </row>
    <row r="331" spans="1:12" ht="25.5">
      <c r="A331" s="277">
        <v>305</v>
      </c>
      <c r="B331" s="275">
        <v>100</v>
      </c>
      <c r="C331" s="275">
        <v>750</v>
      </c>
      <c r="D331" s="275">
        <v>400</v>
      </c>
      <c r="E331" s="276">
        <v>30</v>
      </c>
      <c r="F331" s="275"/>
      <c r="G331" s="83" t="s">
        <v>929</v>
      </c>
      <c r="H331" s="367">
        <v>198941</v>
      </c>
      <c r="I331" s="367"/>
      <c r="J331" s="64" t="s">
        <v>930</v>
      </c>
      <c r="L331" s="367"/>
    </row>
    <row r="332" spans="1:12" s="86" customFormat="1" ht="12.75">
      <c r="A332" s="277">
        <v>305</v>
      </c>
      <c r="B332" s="275">
        <v>100</v>
      </c>
      <c r="C332" s="275">
        <v>800</v>
      </c>
      <c r="D332" s="275"/>
      <c r="E332" s="275"/>
      <c r="F332" s="275"/>
      <c r="G332" s="63" t="s">
        <v>931</v>
      </c>
      <c r="H332" s="366"/>
      <c r="I332" s="366"/>
      <c r="J332" s="85" t="s">
        <v>932</v>
      </c>
      <c r="L332" s="366"/>
    </row>
    <row r="333" spans="1:12" ht="25.5">
      <c r="A333" s="277">
        <v>305</v>
      </c>
      <c r="B333" s="275">
        <v>100</v>
      </c>
      <c r="C333" s="275">
        <v>800</v>
      </c>
      <c r="D333" s="275">
        <v>100</v>
      </c>
      <c r="E333" s="276"/>
      <c r="F333" s="276"/>
      <c r="G333" s="83" t="s">
        <v>933</v>
      </c>
      <c r="H333" s="367">
        <v>75327</v>
      </c>
      <c r="I333" s="367"/>
      <c r="J333" s="85" t="s">
        <v>934</v>
      </c>
      <c r="L333" s="367"/>
    </row>
    <row r="334" spans="1:12" ht="25.5">
      <c r="A334" s="277">
        <v>305</v>
      </c>
      <c r="B334" s="275">
        <v>100</v>
      </c>
      <c r="C334" s="275">
        <v>800</v>
      </c>
      <c r="D334" s="276">
        <v>200</v>
      </c>
      <c r="E334" s="275"/>
      <c r="F334" s="275"/>
      <c r="G334" s="83" t="s">
        <v>935</v>
      </c>
      <c r="H334" s="367">
        <v>33366.199999999997</v>
      </c>
      <c r="I334" s="367"/>
      <c r="J334" s="64" t="s">
        <v>936</v>
      </c>
      <c r="L334" s="367"/>
    </row>
    <row r="335" spans="1:12" ht="25.5">
      <c r="A335" s="277">
        <v>305</v>
      </c>
      <c r="B335" s="275">
        <v>100</v>
      </c>
      <c r="C335" s="275">
        <v>800</v>
      </c>
      <c r="D335" s="276">
        <v>300</v>
      </c>
      <c r="E335" s="275"/>
      <c r="F335" s="275"/>
      <c r="G335" s="83" t="s">
        <v>937</v>
      </c>
      <c r="H335" s="367">
        <v>16224.11</v>
      </c>
      <c r="I335" s="367"/>
      <c r="J335" s="64" t="s">
        <v>938</v>
      </c>
      <c r="L335" s="367"/>
    </row>
    <row r="336" spans="1:12">
      <c r="A336" s="277">
        <v>305</v>
      </c>
      <c r="B336" s="275">
        <v>100</v>
      </c>
      <c r="C336" s="275">
        <v>800</v>
      </c>
      <c r="D336" s="275">
        <v>400</v>
      </c>
      <c r="E336" s="275"/>
      <c r="F336" s="275"/>
      <c r="G336" s="63" t="s">
        <v>939</v>
      </c>
      <c r="H336" s="366"/>
      <c r="I336" s="366"/>
      <c r="J336" s="64" t="s">
        <v>940</v>
      </c>
      <c r="L336" s="366"/>
    </row>
    <row r="337" spans="1:12">
      <c r="A337" s="277">
        <v>305</v>
      </c>
      <c r="B337" s="275">
        <v>100</v>
      </c>
      <c r="C337" s="275">
        <v>800</v>
      </c>
      <c r="D337" s="275">
        <v>400</v>
      </c>
      <c r="E337" s="276">
        <v>10</v>
      </c>
      <c r="F337" s="275"/>
      <c r="G337" s="83" t="s">
        <v>941</v>
      </c>
      <c r="H337" s="367">
        <v>13116.23</v>
      </c>
      <c r="I337" s="367"/>
      <c r="J337" s="64"/>
      <c r="L337" s="367">
        <v>13116.23</v>
      </c>
    </row>
    <row r="338" spans="1:12">
      <c r="A338" s="277">
        <v>305</v>
      </c>
      <c r="B338" s="275">
        <v>100</v>
      </c>
      <c r="C338" s="275">
        <v>800</v>
      </c>
      <c r="D338" s="275">
        <v>400</v>
      </c>
      <c r="E338" s="276">
        <v>90</v>
      </c>
      <c r="F338" s="275"/>
      <c r="G338" s="83" t="s">
        <v>939</v>
      </c>
      <c r="H338" s="367">
        <v>3993916.77</v>
      </c>
      <c r="I338" s="367"/>
      <c r="J338" s="64"/>
      <c r="L338" s="367">
        <v>2708749.79</v>
      </c>
    </row>
    <row r="339" spans="1:12" s="89" customFormat="1">
      <c r="A339" s="277">
        <v>305</v>
      </c>
      <c r="B339" s="275">
        <v>100</v>
      </c>
      <c r="C339" s="275">
        <v>800</v>
      </c>
      <c r="D339" s="276">
        <v>500</v>
      </c>
      <c r="E339" s="275"/>
      <c r="F339" s="275"/>
      <c r="G339" s="83" t="s">
        <v>942</v>
      </c>
      <c r="H339" s="367">
        <v>1274267</v>
      </c>
      <c r="I339" s="367"/>
      <c r="J339" s="64" t="s">
        <v>943</v>
      </c>
      <c r="L339" s="367"/>
    </row>
    <row r="340" spans="1:12" s="89" customFormat="1" ht="25.5">
      <c r="A340" s="277">
        <v>305</v>
      </c>
      <c r="B340" s="275">
        <v>100</v>
      </c>
      <c r="C340" s="275">
        <v>800</v>
      </c>
      <c r="D340" s="276">
        <v>600</v>
      </c>
      <c r="E340" s="275"/>
      <c r="F340" s="275"/>
      <c r="G340" s="83" t="s">
        <v>944</v>
      </c>
      <c r="H340" s="367">
        <v>0</v>
      </c>
      <c r="I340" s="367"/>
      <c r="J340" s="64" t="s">
        <v>945</v>
      </c>
      <c r="L340" s="367"/>
    </row>
    <row r="341" spans="1:12" ht="25.5">
      <c r="A341" s="277">
        <v>305</v>
      </c>
      <c r="B341" s="275">
        <v>100</v>
      </c>
      <c r="C341" s="275">
        <v>800</v>
      </c>
      <c r="D341" s="276">
        <v>700</v>
      </c>
      <c r="E341" s="275"/>
      <c r="F341" s="275"/>
      <c r="G341" s="83" t="s">
        <v>946</v>
      </c>
      <c r="H341" s="367">
        <v>0</v>
      </c>
      <c r="I341" s="367"/>
      <c r="J341" s="64" t="s">
        <v>947</v>
      </c>
      <c r="L341" s="367"/>
    </row>
    <row r="342" spans="1:12">
      <c r="A342" s="277">
        <v>305</v>
      </c>
      <c r="B342" s="275">
        <v>100</v>
      </c>
      <c r="C342" s="276">
        <v>850</v>
      </c>
      <c r="D342" s="275"/>
      <c r="E342" s="275"/>
      <c r="F342" s="275"/>
      <c r="G342" s="83" t="s">
        <v>949</v>
      </c>
      <c r="H342" s="367">
        <v>0</v>
      </c>
      <c r="I342" s="367"/>
      <c r="J342" s="64" t="s">
        <v>948</v>
      </c>
      <c r="L342" s="367"/>
    </row>
    <row r="343" spans="1:12">
      <c r="A343" s="277">
        <v>305</v>
      </c>
      <c r="B343" s="275">
        <v>200</v>
      </c>
      <c r="C343" s="275"/>
      <c r="D343" s="275"/>
      <c r="E343" s="275"/>
      <c r="F343" s="275"/>
      <c r="G343" s="63" t="s">
        <v>56</v>
      </c>
      <c r="H343" s="366"/>
      <c r="I343" s="366"/>
      <c r="J343" s="64" t="s">
        <v>950</v>
      </c>
      <c r="L343" s="366"/>
    </row>
    <row r="344" spans="1:12">
      <c r="A344" s="277">
        <v>305</v>
      </c>
      <c r="B344" s="275">
        <v>200</v>
      </c>
      <c r="C344" s="275">
        <v>100</v>
      </c>
      <c r="D344" s="275"/>
      <c r="E344" s="275"/>
      <c r="F344" s="275"/>
      <c r="G344" s="63" t="s">
        <v>951</v>
      </c>
      <c r="H344" s="366"/>
      <c r="I344" s="366"/>
      <c r="J344" s="64" t="s">
        <v>952</v>
      </c>
      <c r="L344" s="366"/>
    </row>
    <row r="345" spans="1:12">
      <c r="A345" s="277">
        <v>305</v>
      </c>
      <c r="B345" s="275">
        <v>200</v>
      </c>
      <c r="C345" s="275">
        <v>100</v>
      </c>
      <c r="D345" s="276">
        <v>50</v>
      </c>
      <c r="E345" s="275"/>
      <c r="F345" s="275"/>
      <c r="G345" s="83" t="s">
        <v>953</v>
      </c>
      <c r="H345" s="367">
        <v>6546387.6500000004</v>
      </c>
      <c r="I345" s="367"/>
      <c r="J345" s="64" t="s">
        <v>954</v>
      </c>
      <c r="L345" s="367">
        <v>6192068.0779999997</v>
      </c>
    </row>
    <row r="346" spans="1:12">
      <c r="A346" s="277">
        <v>305</v>
      </c>
      <c r="B346" s="275">
        <v>200</v>
      </c>
      <c r="C346" s="275">
        <v>100</v>
      </c>
      <c r="D346" s="276">
        <v>100</v>
      </c>
      <c r="E346" s="275"/>
      <c r="F346" s="275"/>
      <c r="G346" s="83" t="s">
        <v>955</v>
      </c>
      <c r="H346" s="367">
        <v>10735386.35</v>
      </c>
      <c r="I346" s="367"/>
      <c r="J346" s="64" t="s">
        <v>956</v>
      </c>
      <c r="L346" s="367">
        <v>8456803.870000001</v>
      </c>
    </row>
    <row r="347" spans="1:12">
      <c r="A347" s="277">
        <v>305</v>
      </c>
      <c r="B347" s="275">
        <v>200</v>
      </c>
      <c r="C347" s="275">
        <v>100</v>
      </c>
      <c r="D347" s="276">
        <v>150</v>
      </c>
      <c r="E347" s="275"/>
      <c r="F347" s="275"/>
      <c r="G347" s="83" t="s">
        <v>957</v>
      </c>
      <c r="H347" s="366"/>
      <c r="I347" s="366"/>
      <c r="J347" s="64" t="s">
        <v>958</v>
      </c>
      <c r="L347" s="366"/>
    </row>
    <row r="348" spans="1:12">
      <c r="A348" s="277">
        <v>305</v>
      </c>
      <c r="B348" s="275">
        <v>200</v>
      </c>
      <c r="C348" s="275">
        <v>100</v>
      </c>
      <c r="D348" s="276">
        <v>150</v>
      </c>
      <c r="E348" s="275">
        <v>10</v>
      </c>
      <c r="F348" s="275"/>
      <c r="G348" s="83" t="s">
        <v>959</v>
      </c>
      <c r="H348" s="367">
        <v>1535263.19</v>
      </c>
      <c r="I348" s="367"/>
      <c r="J348" s="64" t="s">
        <v>960</v>
      </c>
      <c r="L348" s="367">
        <v>35184.730000000083</v>
      </c>
    </row>
    <row r="349" spans="1:12">
      <c r="A349" s="277">
        <v>305</v>
      </c>
      <c r="B349" s="275">
        <v>200</v>
      </c>
      <c r="C349" s="275">
        <v>100</v>
      </c>
      <c r="D349" s="276">
        <v>150</v>
      </c>
      <c r="E349" s="275">
        <v>20</v>
      </c>
      <c r="F349" s="275"/>
      <c r="G349" s="83" t="s">
        <v>961</v>
      </c>
      <c r="H349" s="367">
        <v>5805853.8200000003</v>
      </c>
      <c r="I349" s="367"/>
      <c r="J349" s="64" t="s">
        <v>962</v>
      </c>
      <c r="L349" s="367">
        <v>5805543.5099999998</v>
      </c>
    </row>
    <row r="350" spans="1:12">
      <c r="A350" s="277">
        <v>305</v>
      </c>
      <c r="B350" s="275">
        <v>200</v>
      </c>
      <c r="C350" s="275">
        <v>100</v>
      </c>
      <c r="D350" s="276">
        <v>200</v>
      </c>
      <c r="E350" s="275"/>
      <c r="F350" s="275"/>
      <c r="G350" s="83" t="s">
        <v>963</v>
      </c>
      <c r="H350" s="367">
        <v>8995861.75</v>
      </c>
      <c r="I350" s="367"/>
      <c r="J350" s="64" t="s">
        <v>964</v>
      </c>
      <c r="L350" s="367">
        <v>7710082.8700000001</v>
      </c>
    </row>
    <row r="351" spans="1:12" s="86" customFormat="1" ht="12.75">
      <c r="A351" s="277">
        <v>305</v>
      </c>
      <c r="B351" s="275">
        <v>200</v>
      </c>
      <c r="C351" s="275">
        <v>100</v>
      </c>
      <c r="D351" s="275">
        <v>250</v>
      </c>
      <c r="E351" s="275"/>
      <c r="F351" s="275"/>
      <c r="G351" s="63" t="s">
        <v>965</v>
      </c>
      <c r="H351" s="366"/>
      <c r="I351" s="366"/>
      <c r="J351" s="64" t="s">
        <v>966</v>
      </c>
      <c r="L351" s="366"/>
    </row>
    <row r="352" spans="1:12" s="86" customFormat="1" ht="12.75">
      <c r="A352" s="277">
        <v>305</v>
      </c>
      <c r="B352" s="275">
        <v>200</v>
      </c>
      <c r="C352" s="275">
        <v>100</v>
      </c>
      <c r="D352" s="275">
        <v>250</v>
      </c>
      <c r="E352" s="276">
        <v>10</v>
      </c>
      <c r="F352" s="276"/>
      <c r="G352" s="66" t="s">
        <v>967</v>
      </c>
      <c r="H352" s="363">
        <v>0</v>
      </c>
      <c r="I352" s="363"/>
      <c r="J352" s="64"/>
      <c r="L352" s="363"/>
    </row>
    <row r="353" spans="1:12" s="86" customFormat="1" ht="12.75">
      <c r="A353" s="277">
        <v>305</v>
      </c>
      <c r="B353" s="275">
        <v>200</v>
      </c>
      <c r="C353" s="275">
        <v>100</v>
      </c>
      <c r="D353" s="275">
        <v>250</v>
      </c>
      <c r="E353" s="276">
        <v>20</v>
      </c>
      <c r="F353" s="276"/>
      <c r="G353" s="66" t="s">
        <v>968</v>
      </c>
      <c r="H353" s="363">
        <v>106599.07</v>
      </c>
      <c r="I353" s="363"/>
      <c r="J353" s="64"/>
      <c r="L353" s="363"/>
    </row>
    <row r="354" spans="1:12">
      <c r="A354" s="277">
        <v>305</v>
      </c>
      <c r="B354" s="275">
        <v>200</v>
      </c>
      <c r="C354" s="275">
        <v>100</v>
      </c>
      <c r="D354" s="275">
        <v>250</v>
      </c>
      <c r="E354" s="276">
        <v>90</v>
      </c>
      <c r="F354" s="276"/>
      <c r="G354" s="66" t="s">
        <v>969</v>
      </c>
      <c r="H354" s="363">
        <v>361079.61</v>
      </c>
      <c r="I354" s="363"/>
      <c r="J354" s="64"/>
      <c r="L354" s="363">
        <v>321545.12</v>
      </c>
    </row>
    <row r="355" spans="1:12">
      <c r="A355" s="277">
        <v>305</v>
      </c>
      <c r="B355" s="275">
        <v>200</v>
      </c>
      <c r="C355" s="275">
        <v>100</v>
      </c>
      <c r="D355" s="276">
        <v>300</v>
      </c>
      <c r="E355" s="276"/>
      <c r="F355" s="276"/>
      <c r="G355" s="66" t="s">
        <v>970</v>
      </c>
      <c r="H355" s="367">
        <v>3537004.47</v>
      </c>
      <c r="I355" s="367"/>
      <c r="J355" s="64" t="s">
        <v>971</v>
      </c>
      <c r="L355" s="367">
        <v>2674557.8579999995</v>
      </c>
    </row>
    <row r="356" spans="1:12">
      <c r="A356" s="277">
        <v>305</v>
      </c>
      <c r="B356" s="275">
        <v>200</v>
      </c>
      <c r="C356" s="275">
        <v>100</v>
      </c>
      <c r="D356" s="276">
        <v>350</v>
      </c>
      <c r="E356" s="276"/>
      <c r="F356" s="276"/>
      <c r="G356" s="66" t="s">
        <v>972</v>
      </c>
      <c r="H356" s="367">
        <v>3471093.5</v>
      </c>
      <c r="I356" s="367"/>
      <c r="J356" s="64" t="s">
        <v>973</v>
      </c>
      <c r="L356" s="367">
        <v>3367538.67</v>
      </c>
    </row>
    <row r="357" spans="1:12" s="86" customFormat="1" ht="12.75">
      <c r="A357" s="277">
        <v>305</v>
      </c>
      <c r="B357" s="275">
        <v>200</v>
      </c>
      <c r="C357" s="275">
        <v>100</v>
      </c>
      <c r="D357" s="275">
        <v>400</v>
      </c>
      <c r="E357" s="275"/>
      <c r="F357" s="275"/>
      <c r="G357" s="63" t="s">
        <v>974</v>
      </c>
      <c r="H357" s="366"/>
      <c r="I357" s="366"/>
      <c r="J357" s="64" t="s">
        <v>975</v>
      </c>
      <c r="L357" s="366"/>
    </row>
    <row r="358" spans="1:12" s="86" customFormat="1" ht="12.75">
      <c r="A358" s="277">
        <v>305</v>
      </c>
      <c r="B358" s="275">
        <v>200</v>
      </c>
      <c r="C358" s="275">
        <v>100</v>
      </c>
      <c r="D358" s="275">
        <v>400</v>
      </c>
      <c r="E358" s="276">
        <v>10</v>
      </c>
      <c r="F358" s="276"/>
      <c r="G358" s="66" t="s">
        <v>976</v>
      </c>
      <c r="H358" s="363">
        <v>362411.29</v>
      </c>
      <c r="I358" s="363"/>
      <c r="J358" s="64"/>
      <c r="L358" s="363">
        <v>271827.55000000005</v>
      </c>
    </row>
    <row r="359" spans="1:12">
      <c r="A359" s="277">
        <v>305</v>
      </c>
      <c r="B359" s="275">
        <v>200</v>
      </c>
      <c r="C359" s="275">
        <v>100</v>
      </c>
      <c r="D359" s="275">
        <v>400</v>
      </c>
      <c r="E359" s="276">
        <v>20</v>
      </c>
      <c r="F359" s="276"/>
      <c r="G359" s="66" t="s">
        <v>977</v>
      </c>
      <c r="H359" s="363">
        <v>15353.76</v>
      </c>
      <c r="I359" s="363"/>
      <c r="J359" s="64"/>
      <c r="L359" s="363">
        <v>10980</v>
      </c>
    </row>
    <row r="360" spans="1:12">
      <c r="A360" s="277">
        <v>305</v>
      </c>
      <c r="B360" s="275">
        <v>200</v>
      </c>
      <c r="C360" s="275">
        <v>100</v>
      </c>
      <c r="D360" s="276">
        <v>450</v>
      </c>
      <c r="E360" s="276"/>
      <c r="F360" s="276"/>
      <c r="G360" s="66" t="s">
        <v>978</v>
      </c>
      <c r="H360" s="367">
        <v>7369240.7199999997</v>
      </c>
      <c r="I360" s="367"/>
      <c r="J360" s="64" t="s">
        <v>979</v>
      </c>
      <c r="L360" s="367">
        <v>5925233.6299999999</v>
      </c>
    </row>
    <row r="361" spans="1:12" s="86" customFormat="1" ht="12.75">
      <c r="A361" s="277">
        <v>305</v>
      </c>
      <c r="B361" s="275">
        <v>200</v>
      </c>
      <c r="C361" s="275">
        <v>100</v>
      </c>
      <c r="D361" s="274">
        <v>500</v>
      </c>
      <c r="E361" s="274"/>
      <c r="F361" s="274"/>
      <c r="G361" s="87" t="s">
        <v>980</v>
      </c>
      <c r="H361" s="366"/>
      <c r="I361" s="366"/>
      <c r="J361" s="92" t="s">
        <v>981</v>
      </c>
      <c r="L361" s="366"/>
    </row>
    <row r="362" spans="1:12" s="86" customFormat="1" ht="12.75">
      <c r="A362" s="277">
        <v>305</v>
      </c>
      <c r="B362" s="275">
        <v>200</v>
      </c>
      <c r="C362" s="275">
        <v>100</v>
      </c>
      <c r="D362" s="274">
        <v>500</v>
      </c>
      <c r="E362" s="276">
        <v>10</v>
      </c>
      <c r="F362" s="276"/>
      <c r="G362" s="66" t="s">
        <v>982</v>
      </c>
      <c r="H362" s="363">
        <v>1170557.3600000001</v>
      </c>
      <c r="I362" s="363"/>
      <c r="J362" s="64"/>
      <c r="L362" s="363">
        <v>1014613.54</v>
      </c>
    </row>
    <row r="363" spans="1:12" s="86" customFormat="1" ht="12.75">
      <c r="A363" s="277">
        <v>305</v>
      </c>
      <c r="B363" s="275">
        <v>200</v>
      </c>
      <c r="C363" s="275">
        <v>100</v>
      </c>
      <c r="D363" s="274">
        <v>500</v>
      </c>
      <c r="E363" s="276">
        <v>20</v>
      </c>
      <c r="F363" s="276"/>
      <c r="G363" s="66" t="s">
        <v>983</v>
      </c>
      <c r="H363" s="363">
        <v>128686.23</v>
      </c>
      <c r="I363" s="363"/>
      <c r="J363" s="64"/>
      <c r="L363" s="363">
        <v>36831.699999999997</v>
      </c>
    </row>
    <row r="364" spans="1:12" s="86" customFormat="1" ht="12.75">
      <c r="A364" s="277">
        <v>305</v>
      </c>
      <c r="B364" s="275">
        <v>200</v>
      </c>
      <c r="C364" s="275">
        <v>100</v>
      </c>
      <c r="D364" s="274">
        <v>500</v>
      </c>
      <c r="E364" s="276">
        <v>30</v>
      </c>
      <c r="F364" s="276"/>
      <c r="G364" s="66" t="s">
        <v>984</v>
      </c>
      <c r="H364" s="363">
        <v>15886.95</v>
      </c>
      <c r="I364" s="363"/>
      <c r="J364" s="64"/>
      <c r="L364" s="363">
        <v>2851.45</v>
      </c>
    </row>
    <row r="365" spans="1:12" s="86" customFormat="1" ht="12.75">
      <c r="A365" s="277">
        <v>305</v>
      </c>
      <c r="B365" s="275">
        <v>200</v>
      </c>
      <c r="C365" s="275">
        <v>100</v>
      </c>
      <c r="D365" s="274">
        <v>500</v>
      </c>
      <c r="E365" s="276">
        <v>40</v>
      </c>
      <c r="F365" s="276"/>
      <c r="G365" s="66" t="s">
        <v>985</v>
      </c>
      <c r="H365" s="363"/>
      <c r="I365" s="363"/>
      <c r="J365" s="64"/>
      <c r="L365" s="363"/>
    </row>
    <row r="366" spans="1:12">
      <c r="A366" s="277">
        <v>305</v>
      </c>
      <c r="B366" s="275">
        <v>200</v>
      </c>
      <c r="C366" s="275">
        <v>100</v>
      </c>
      <c r="D366" s="274">
        <v>500</v>
      </c>
      <c r="E366" s="276">
        <v>50</v>
      </c>
      <c r="F366" s="276"/>
      <c r="G366" s="66" t="s">
        <v>980</v>
      </c>
      <c r="H366" s="363"/>
      <c r="I366" s="363"/>
      <c r="J366" s="64"/>
      <c r="L366" s="363"/>
    </row>
    <row r="367" spans="1:12">
      <c r="A367" s="277">
        <v>305</v>
      </c>
      <c r="B367" s="275">
        <v>200</v>
      </c>
      <c r="C367" s="275">
        <v>100</v>
      </c>
      <c r="D367" s="275">
        <v>550</v>
      </c>
      <c r="E367" s="275"/>
      <c r="F367" s="275"/>
      <c r="G367" s="63" t="s">
        <v>986</v>
      </c>
      <c r="H367" s="366"/>
      <c r="I367" s="366"/>
      <c r="J367" s="64" t="s">
        <v>987</v>
      </c>
      <c r="L367" s="366"/>
    </row>
    <row r="368" spans="1:12">
      <c r="A368" s="277">
        <v>305</v>
      </c>
      <c r="B368" s="275">
        <v>200</v>
      </c>
      <c r="C368" s="275">
        <v>100</v>
      </c>
      <c r="D368" s="275">
        <v>550</v>
      </c>
      <c r="E368" s="276">
        <v>10</v>
      </c>
      <c r="F368" s="276"/>
      <c r="G368" s="66" t="s">
        <v>988</v>
      </c>
      <c r="H368" s="367">
        <v>0</v>
      </c>
      <c r="I368" s="367"/>
      <c r="J368" s="64" t="s">
        <v>989</v>
      </c>
      <c r="L368" s="367"/>
    </row>
    <row r="369" spans="1:12">
      <c r="A369" s="277">
        <v>305</v>
      </c>
      <c r="B369" s="275">
        <v>200</v>
      </c>
      <c r="C369" s="275">
        <v>100</v>
      </c>
      <c r="D369" s="275">
        <v>550</v>
      </c>
      <c r="E369" s="276">
        <v>20</v>
      </c>
      <c r="F369" s="276"/>
      <c r="G369" s="66" t="s">
        <v>990</v>
      </c>
      <c r="H369" s="367">
        <v>681631.66</v>
      </c>
      <c r="I369" s="367"/>
      <c r="J369" s="64" t="s">
        <v>991</v>
      </c>
      <c r="L369" s="367"/>
    </row>
    <row r="370" spans="1:12" s="86" customFormat="1" ht="12.75">
      <c r="A370" s="277">
        <v>305</v>
      </c>
      <c r="B370" s="275">
        <v>200</v>
      </c>
      <c r="C370" s="275">
        <v>100</v>
      </c>
      <c r="D370" s="275">
        <v>600</v>
      </c>
      <c r="E370" s="275"/>
      <c r="F370" s="275"/>
      <c r="G370" s="63" t="s">
        <v>992</v>
      </c>
      <c r="H370" s="366"/>
      <c r="I370" s="366"/>
      <c r="J370" s="64" t="s">
        <v>993</v>
      </c>
      <c r="L370" s="366"/>
    </row>
    <row r="371" spans="1:12" ht="25.5">
      <c r="A371" s="277">
        <v>305</v>
      </c>
      <c r="B371" s="275">
        <v>200</v>
      </c>
      <c r="C371" s="275">
        <v>100</v>
      </c>
      <c r="D371" s="275">
        <v>600</v>
      </c>
      <c r="E371" s="276">
        <v>10</v>
      </c>
      <c r="F371" s="276"/>
      <c r="G371" s="83" t="s">
        <v>994</v>
      </c>
      <c r="H371" s="367">
        <v>1616581.51</v>
      </c>
      <c r="I371" s="367"/>
      <c r="J371" s="85" t="s">
        <v>995</v>
      </c>
      <c r="L371" s="367"/>
    </row>
    <row r="372" spans="1:12" s="86" customFormat="1" ht="12.75">
      <c r="A372" s="277">
        <v>305</v>
      </c>
      <c r="B372" s="275">
        <v>200</v>
      </c>
      <c r="C372" s="275">
        <v>100</v>
      </c>
      <c r="D372" s="275">
        <v>600</v>
      </c>
      <c r="E372" s="275">
        <v>20</v>
      </c>
      <c r="F372" s="275"/>
      <c r="G372" s="63" t="s">
        <v>996</v>
      </c>
      <c r="H372" s="366"/>
      <c r="I372" s="366"/>
      <c r="J372" s="64" t="s">
        <v>997</v>
      </c>
      <c r="L372" s="366"/>
    </row>
    <row r="373" spans="1:12" s="86" customFormat="1" ht="12.75">
      <c r="A373" s="277">
        <v>305</v>
      </c>
      <c r="B373" s="275">
        <v>200</v>
      </c>
      <c r="C373" s="275">
        <v>100</v>
      </c>
      <c r="D373" s="275">
        <v>600</v>
      </c>
      <c r="E373" s="275">
        <v>20</v>
      </c>
      <c r="F373" s="276">
        <v>5</v>
      </c>
      <c r="G373" s="66" t="s">
        <v>998</v>
      </c>
      <c r="H373" s="363">
        <v>39098.36</v>
      </c>
      <c r="I373" s="363"/>
      <c r="J373" s="64"/>
      <c r="L373" s="363"/>
    </row>
    <row r="374" spans="1:12">
      <c r="A374" s="277">
        <v>305</v>
      </c>
      <c r="B374" s="275">
        <v>200</v>
      </c>
      <c r="C374" s="275">
        <v>100</v>
      </c>
      <c r="D374" s="275">
        <v>600</v>
      </c>
      <c r="E374" s="275">
        <v>20</v>
      </c>
      <c r="F374" s="276">
        <v>10</v>
      </c>
      <c r="G374" s="66" t="s">
        <v>999</v>
      </c>
      <c r="H374" s="367">
        <v>0</v>
      </c>
      <c r="I374" s="367"/>
      <c r="J374" s="64"/>
      <c r="L374" s="367"/>
    </row>
    <row r="375" spans="1:12" s="86" customFormat="1" ht="12.75">
      <c r="A375" s="277">
        <v>305</v>
      </c>
      <c r="B375" s="275">
        <v>200</v>
      </c>
      <c r="C375" s="275">
        <v>100</v>
      </c>
      <c r="D375" s="275">
        <v>600</v>
      </c>
      <c r="E375" s="275">
        <v>30</v>
      </c>
      <c r="F375" s="275"/>
      <c r="G375" s="63" t="s">
        <v>1000</v>
      </c>
      <c r="H375" s="366"/>
      <c r="I375" s="366"/>
      <c r="J375" s="64" t="s">
        <v>1001</v>
      </c>
      <c r="L375" s="366"/>
    </row>
    <row r="376" spans="1:12" s="86" customFormat="1" ht="12.75">
      <c r="A376" s="277">
        <v>305</v>
      </c>
      <c r="B376" s="275">
        <v>200</v>
      </c>
      <c r="C376" s="275">
        <v>100</v>
      </c>
      <c r="D376" s="275">
        <v>600</v>
      </c>
      <c r="E376" s="275">
        <v>30</v>
      </c>
      <c r="F376" s="276">
        <v>5</v>
      </c>
      <c r="G376" s="66" t="s">
        <v>1002</v>
      </c>
      <c r="H376" s="363">
        <v>1063743.69</v>
      </c>
      <c r="I376" s="363"/>
      <c r="J376" s="64"/>
      <c r="L376" s="363">
        <v>1024410.8400000001</v>
      </c>
    </row>
    <row r="377" spans="1:12">
      <c r="A377" s="277">
        <v>305</v>
      </c>
      <c r="B377" s="275">
        <v>200</v>
      </c>
      <c r="C377" s="275">
        <v>100</v>
      </c>
      <c r="D377" s="275">
        <v>600</v>
      </c>
      <c r="E377" s="275">
        <v>30</v>
      </c>
      <c r="F377" s="276">
        <v>10</v>
      </c>
      <c r="G377" s="66" t="s">
        <v>1003</v>
      </c>
      <c r="H377" s="363">
        <v>157024.95999999999</v>
      </c>
      <c r="I377" s="363"/>
      <c r="J377" s="64"/>
      <c r="L377" s="363">
        <v>56047.68</v>
      </c>
    </row>
    <row r="378" spans="1:12">
      <c r="A378" s="277">
        <v>305</v>
      </c>
      <c r="B378" s="275">
        <v>200</v>
      </c>
      <c r="C378" s="275">
        <v>100</v>
      </c>
      <c r="D378" s="275">
        <v>600</v>
      </c>
      <c r="E378" s="275">
        <v>30</v>
      </c>
      <c r="F378" s="281">
        <v>15</v>
      </c>
      <c r="G378" s="72" t="s">
        <v>1004</v>
      </c>
      <c r="H378" s="373">
        <v>11748.2</v>
      </c>
      <c r="I378" s="373"/>
      <c r="J378" s="68"/>
      <c r="L378" s="373"/>
    </row>
    <row r="379" spans="1:12" s="86" customFormat="1" ht="12.75">
      <c r="A379" s="277">
        <v>305</v>
      </c>
      <c r="B379" s="275">
        <v>200</v>
      </c>
      <c r="C379" s="275">
        <v>100</v>
      </c>
      <c r="D379" s="275">
        <v>600</v>
      </c>
      <c r="E379" s="275">
        <v>30</v>
      </c>
      <c r="F379" s="281">
        <v>20</v>
      </c>
      <c r="G379" s="72" t="s">
        <v>1005</v>
      </c>
      <c r="H379" s="373">
        <v>104254.35</v>
      </c>
      <c r="I379" s="373"/>
      <c r="J379" s="68"/>
      <c r="L379" s="373"/>
    </row>
    <row r="380" spans="1:12" s="86" customFormat="1" ht="12.75">
      <c r="A380" s="277">
        <v>305</v>
      </c>
      <c r="B380" s="275">
        <v>200</v>
      </c>
      <c r="C380" s="275">
        <v>100</v>
      </c>
      <c r="D380" s="275">
        <v>600</v>
      </c>
      <c r="E380" s="275">
        <v>30</v>
      </c>
      <c r="F380" s="276">
        <v>25</v>
      </c>
      <c r="G380" s="66" t="s">
        <v>1006</v>
      </c>
      <c r="H380" s="363">
        <v>0</v>
      </c>
      <c r="I380" s="363"/>
      <c r="J380" s="64"/>
      <c r="L380" s="363"/>
    </row>
    <row r="381" spans="1:12" s="86" customFormat="1" ht="12.75">
      <c r="A381" s="277">
        <v>305</v>
      </c>
      <c r="B381" s="275">
        <v>200</v>
      </c>
      <c r="C381" s="275">
        <v>100</v>
      </c>
      <c r="D381" s="275">
        <v>600</v>
      </c>
      <c r="E381" s="275">
        <v>30</v>
      </c>
      <c r="F381" s="276">
        <v>30</v>
      </c>
      <c r="G381" s="66" t="s">
        <v>1007</v>
      </c>
      <c r="H381" s="363">
        <v>83519.66</v>
      </c>
      <c r="I381" s="363"/>
      <c r="J381" s="64"/>
      <c r="L381" s="363">
        <v>15636.52</v>
      </c>
    </row>
    <row r="382" spans="1:12" s="86" customFormat="1" ht="12.75">
      <c r="A382" s="277">
        <v>305</v>
      </c>
      <c r="B382" s="275">
        <v>200</v>
      </c>
      <c r="C382" s="275">
        <v>100</v>
      </c>
      <c r="D382" s="275">
        <v>600</v>
      </c>
      <c r="E382" s="275">
        <v>30</v>
      </c>
      <c r="F382" s="276">
        <v>35</v>
      </c>
      <c r="G382" s="66" t="s">
        <v>1008</v>
      </c>
      <c r="H382" s="363">
        <v>321394.39</v>
      </c>
      <c r="I382" s="363"/>
      <c r="J382" s="64"/>
      <c r="L382" s="363">
        <v>8336.52</v>
      </c>
    </row>
    <row r="383" spans="1:12" s="86" customFormat="1" ht="12.75">
      <c r="A383" s="277">
        <v>305</v>
      </c>
      <c r="B383" s="275">
        <v>200</v>
      </c>
      <c r="C383" s="275">
        <v>100</v>
      </c>
      <c r="D383" s="275">
        <v>600</v>
      </c>
      <c r="E383" s="275">
        <v>30</v>
      </c>
      <c r="F383" s="276">
        <v>40</v>
      </c>
      <c r="G383" s="66" t="s">
        <v>1009</v>
      </c>
      <c r="H383" s="363">
        <v>276751.08</v>
      </c>
      <c r="I383" s="363"/>
      <c r="J383" s="64"/>
      <c r="L383" s="363">
        <v>113.5</v>
      </c>
    </row>
    <row r="384" spans="1:12" s="86" customFormat="1" ht="12.75">
      <c r="A384" s="277">
        <v>305</v>
      </c>
      <c r="B384" s="275">
        <v>200</v>
      </c>
      <c r="C384" s="275">
        <v>100</v>
      </c>
      <c r="D384" s="275">
        <v>600</v>
      </c>
      <c r="E384" s="275">
        <v>30</v>
      </c>
      <c r="F384" s="276">
        <v>45</v>
      </c>
      <c r="G384" s="66" t="s">
        <v>1010</v>
      </c>
      <c r="H384" s="363">
        <v>13011.81</v>
      </c>
      <c r="I384" s="363"/>
      <c r="J384" s="64"/>
      <c r="L384" s="363">
        <v>714</v>
      </c>
    </row>
    <row r="385" spans="1:12" s="86" customFormat="1" ht="12.75">
      <c r="A385" s="277">
        <v>305</v>
      </c>
      <c r="B385" s="275">
        <v>200</v>
      </c>
      <c r="C385" s="275">
        <v>100</v>
      </c>
      <c r="D385" s="275">
        <v>600</v>
      </c>
      <c r="E385" s="275">
        <v>30</v>
      </c>
      <c r="F385" s="276">
        <v>50</v>
      </c>
      <c r="G385" s="66" t="s">
        <v>1011</v>
      </c>
      <c r="H385" s="363">
        <v>385433.72</v>
      </c>
      <c r="I385" s="363"/>
      <c r="J385" s="64"/>
      <c r="L385" s="363">
        <v>353192.29</v>
      </c>
    </row>
    <row r="386" spans="1:12" s="86" customFormat="1" ht="12.75">
      <c r="A386" s="277">
        <v>305</v>
      </c>
      <c r="B386" s="275">
        <v>200</v>
      </c>
      <c r="C386" s="275">
        <v>100</v>
      </c>
      <c r="D386" s="275">
        <v>600</v>
      </c>
      <c r="E386" s="275">
        <v>30</v>
      </c>
      <c r="F386" s="276">
        <v>55</v>
      </c>
      <c r="G386" s="66" t="s">
        <v>1012</v>
      </c>
      <c r="H386" s="363">
        <v>62567.38</v>
      </c>
      <c r="I386" s="363"/>
      <c r="J386" s="64"/>
      <c r="L386" s="363">
        <v>603.49</v>
      </c>
    </row>
    <row r="387" spans="1:12" s="86" customFormat="1" ht="12.75">
      <c r="A387" s="277">
        <v>305</v>
      </c>
      <c r="B387" s="275">
        <v>200</v>
      </c>
      <c r="C387" s="275">
        <v>100</v>
      </c>
      <c r="D387" s="275">
        <v>600</v>
      </c>
      <c r="E387" s="275">
        <v>30</v>
      </c>
      <c r="F387" s="276">
        <v>60</v>
      </c>
      <c r="G387" s="66" t="s">
        <v>1013</v>
      </c>
      <c r="H387" s="363">
        <v>356899.75</v>
      </c>
      <c r="I387" s="363"/>
      <c r="J387" s="64"/>
      <c r="L387" s="363">
        <v>335531.94</v>
      </c>
    </row>
    <row r="388" spans="1:12" s="86" customFormat="1" ht="12.75">
      <c r="A388" s="277">
        <v>305</v>
      </c>
      <c r="B388" s="275">
        <v>200</v>
      </c>
      <c r="C388" s="275">
        <v>100</v>
      </c>
      <c r="D388" s="275">
        <v>600</v>
      </c>
      <c r="E388" s="275">
        <v>30</v>
      </c>
      <c r="F388" s="276">
        <v>65</v>
      </c>
      <c r="G388" s="66" t="s">
        <v>1014</v>
      </c>
      <c r="H388" s="363">
        <v>96821.36</v>
      </c>
      <c r="I388" s="363"/>
      <c r="J388" s="64"/>
      <c r="L388" s="363">
        <v>1228.56</v>
      </c>
    </row>
    <row r="389" spans="1:12" s="86" customFormat="1" ht="12.75">
      <c r="A389" s="277">
        <v>305</v>
      </c>
      <c r="B389" s="275">
        <v>200</v>
      </c>
      <c r="C389" s="275">
        <v>100</v>
      </c>
      <c r="D389" s="275">
        <v>600</v>
      </c>
      <c r="E389" s="275">
        <v>30</v>
      </c>
      <c r="F389" s="276">
        <v>80</v>
      </c>
      <c r="G389" s="66" t="s">
        <v>1015</v>
      </c>
      <c r="H389" s="367">
        <v>1373297.77</v>
      </c>
      <c r="I389" s="367"/>
      <c r="J389" s="64"/>
      <c r="L389" s="367"/>
    </row>
    <row r="390" spans="1:12">
      <c r="A390" s="277">
        <v>305</v>
      </c>
      <c r="B390" s="275">
        <v>200</v>
      </c>
      <c r="C390" s="275">
        <v>100</v>
      </c>
      <c r="D390" s="275">
        <v>600</v>
      </c>
      <c r="E390" s="275">
        <v>30</v>
      </c>
      <c r="F390" s="276">
        <v>90</v>
      </c>
      <c r="G390" s="66" t="s">
        <v>1000</v>
      </c>
      <c r="H390" s="363">
        <v>5026089.41</v>
      </c>
      <c r="I390" s="363"/>
      <c r="J390" s="64"/>
      <c r="L390" s="363">
        <v>1310042.2420000001</v>
      </c>
    </row>
    <row r="391" spans="1:12" s="86" customFormat="1" ht="12.75">
      <c r="A391" s="277">
        <v>305</v>
      </c>
      <c r="B391" s="275">
        <v>200</v>
      </c>
      <c r="C391" s="275">
        <v>200</v>
      </c>
      <c r="D391" s="275"/>
      <c r="E391" s="275"/>
      <c r="F391" s="275"/>
      <c r="G391" s="63" t="s">
        <v>1016</v>
      </c>
      <c r="H391" s="366"/>
      <c r="I391" s="366"/>
      <c r="J391" s="85" t="s">
        <v>1017</v>
      </c>
      <c r="L391" s="366"/>
    </row>
    <row r="392" spans="1:12">
      <c r="A392" s="277">
        <v>305</v>
      </c>
      <c r="B392" s="275">
        <v>200</v>
      </c>
      <c r="C392" s="275">
        <v>200</v>
      </c>
      <c r="D392" s="275">
        <v>100</v>
      </c>
      <c r="E392" s="276"/>
      <c r="F392" s="276"/>
      <c r="G392" s="83" t="s">
        <v>1018</v>
      </c>
      <c r="H392" s="367">
        <v>0</v>
      </c>
      <c r="I392" s="367"/>
      <c r="J392" s="85" t="s">
        <v>1019</v>
      </c>
      <c r="L392" s="367"/>
    </row>
    <row r="393" spans="1:12">
      <c r="A393" s="277">
        <v>305</v>
      </c>
      <c r="B393" s="275">
        <v>200</v>
      </c>
      <c r="C393" s="275">
        <v>200</v>
      </c>
      <c r="D393" s="276">
        <v>200</v>
      </c>
      <c r="E393" s="276"/>
      <c r="F393" s="276"/>
      <c r="G393" s="66" t="s">
        <v>1020</v>
      </c>
      <c r="H393" s="367">
        <v>6976</v>
      </c>
      <c r="I393" s="367"/>
      <c r="J393" s="64" t="s">
        <v>1021</v>
      </c>
      <c r="L393" s="367"/>
    </row>
    <row r="394" spans="1:12" ht="25.5">
      <c r="A394" s="277">
        <v>305</v>
      </c>
      <c r="B394" s="275">
        <v>200</v>
      </c>
      <c r="C394" s="275">
        <v>200</v>
      </c>
      <c r="D394" s="275">
        <v>300</v>
      </c>
      <c r="E394" s="275"/>
      <c r="F394" s="275"/>
      <c r="G394" s="63" t="s">
        <v>1022</v>
      </c>
      <c r="H394" s="366"/>
      <c r="I394" s="366"/>
      <c r="J394" s="64" t="s">
        <v>1023</v>
      </c>
      <c r="L394" s="366"/>
    </row>
    <row r="395" spans="1:12" s="86" customFormat="1" ht="12.75">
      <c r="A395" s="277">
        <v>305</v>
      </c>
      <c r="B395" s="275">
        <v>200</v>
      </c>
      <c r="C395" s="275">
        <v>200</v>
      </c>
      <c r="D395" s="275">
        <v>300</v>
      </c>
      <c r="E395" s="275">
        <v>10</v>
      </c>
      <c r="F395" s="275"/>
      <c r="G395" s="63" t="s">
        <v>1024</v>
      </c>
      <c r="H395" s="366"/>
      <c r="I395" s="366"/>
      <c r="J395" s="64" t="s">
        <v>1025</v>
      </c>
      <c r="L395" s="366"/>
    </row>
    <row r="396" spans="1:12" s="86" customFormat="1" ht="12.75">
      <c r="A396" s="277">
        <v>305</v>
      </c>
      <c r="B396" s="275">
        <v>200</v>
      </c>
      <c r="C396" s="275">
        <v>200</v>
      </c>
      <c r="D396" s="275">
        <v>300</v>
      </c>
      <c r="E396" s="275">
        <v>10</v>
      </c>
      <c r="F396" s="276">
        <v>5</v>
      </c>
      <c r="G396" s="66" t="s">
        <v>1026</v>
      </c>
      <c r="H396" s="363">
        <v>4948.32</v>
      </c>
      <c r="I396" s="363"/>
      <c r="J396" s="64"/>
      <c r="L396" s="363"/>
    </row>
    <row r="397" spans="1:12" s="86" customFormat="1" ht="12.75">
      <c r="A397" s="277">
        <v>305</v>
      </c>
      <c r="B397" s="275">
        <v>200</v>
      </c>
      <c r="C397" s="275">
        <v>200</v>
      </c>
      <c r="D397" s="275">
        <v>300</v>
      </c>
      <c r="E397" s="275">
        <v>10</v>
      </c>
      <c r="F397" s="276">
        <v>10</v>
      </c>
      <c r="G397" s="66" t="s">
        <v>1027</v>
      </c>
      <c r="H397" s="363">
        <v>0</v>
      </c>
      <c r="I397" s="363"/>
      <c r="J397" s="64"/>
      <c r="L397" s="363"/>
    </row>
    <row r="398" spans="1:12" s="86" customFormat="1" ht="12.75">
      <c r="A398" s="277">
        <v>305</v>
      </c>
      <c r="B398" s="275">
        <v>200</v>
      </c>
      <c r="C398" s="275">
        <v>200</v>
      </c>
      <c r="D398" s="275">
        <v>300</v>
      </c>
      <c r="E398" s="275">
        <v>10</v>
      </c>
      <c r="F398" s="276">
        <v>15</v>
      </c>
      <c r="G398" s="66" t="s">
        <v>1028</v>
      </c>
      <c r="H398" s="363">
        <v>10426.57</v>
      </c>
      <c r="I398" s="363"/>
      <c r="J398" s="64"/>
      <c r="L398" s="363">
        <v>7112.56</v>
      </c>
    </row>
    <row r="399" spans="1:12" s="86" customFormat="1" ht="12.75">
      <c r="A399" s="277">
        <v>305</v>
      </c>
      <c r="B399" s="275">
        <v>200</v>
      </c>
      <c r="C399" s="275">
        <v>200</v>
      </c>
      <c r="D399" s="275">
        <v>300</v>
      </c>
      <c r="E399" s="275">
        <v>10</v>
      </c>
      <c r="F399" s="276">
        <v>20</v>
      </c>
      <c r="G399" s="66" t="s">
        <v>1029</v>
      </c>
      <c r="H399" s="363">
        <v>325692.67</v>
      </c>
      <c r="I399" s="363"/>
      <c r="J399" s="64"/>
      <c r="L399" s="363"/>
    </row>
    <row r="400" spans="1:12">
      <c r="A400" s="277">
        <v>305</v>
      </c>
      <c r="B400" s="275">
        <v>200</v>
      </c>
      <c r="C400" s="275">
        <v>200</v>
      </c>
      <c r="D400" s="275">
        <v>300</v>
      </c>
      <c r="E400" s="275">
        <v>10</v>
      </c>
      <c r="F400" s="276">
        <v>90</v>
      </c>
      <c r="G400" s="66" t="s">
        <v>1030</v>
      </c>
      <c r="H400" s="363">
        <v>6947.68</v>
      </c>
      <c r="I400" s="363"/>
      <c r="J400" s="64"/>
      <c r="L400" s="363"/>
    </row>
    <row r="401" spans="1:12">
      <c r="A401" s="277">
        <v>305</v>
      </c>
      <c r="B401" s="275">
        <v>200</v>
      </c>
      <c r="C401" s="275">
        <v>200</v>
      </c>
      <c r="D401" s="275">
        <v>300</v>
      </c>
      <c r="E401" s="276">
        <v>20</v>
      </c>
      <c r="F401" s="276"/>
      <c r="G401" s="66" t="s">
        <v>1031</v>
      </c>
      <c r="H401" s="367">
        <v>33603.089999999997</v>
      </c>
      <c r="I401" s="367"/>
      <c r="J401" s="64" t="s">
        <v>1032</v>
      </c>
      <c r="L401" s="367"/>
    </row>
    <row r="402" spans="1:12">
      <c r="A402" s="277">
        <v>305</v>
      </c>
      <c r="B402" s="275">
        <v>200</v>
      </c>
      <c r="C402" s="275">
        <v>200</v>
      </c>
      <c r="D402" s="275">
        <v>300</v>
      </c>
      <c r="E402" s="276">
        <v>30</v>
      </c>
      <c r="F402" s="276"/>
      <c r="G402" s="66" t="s">
        <v>1033</v>
      </c>
      <c r="H402" s="367">
        <v>0</v>
      </c>
      <c r="I402" s="367"/>
      <c r="J402" s="64" t="s">
        <v>1034</v>
      </c>
      <c r="L402" s="367"/>
    </row>
    <row r="403" spans="1:12">
      <c r="A403" s="277">
        <v>305</v>
      </c>
      <c r="B403" s="275">
        <v>200</v>
      </c>
      <c r="C403" s="275">
        <v>200</v>
      </c>
      <c r="D403" s="275">
        <v>300</v>
      </c>
      <c r="E403" s="276">
        <v>40</v>
      </c>
      <c r="F403" s="276"/>
      <c r="G403" s="66" t="s">
        <v>1035</v>
      </c>
      <c r="H403" s="367">
        <v>1443926.49</v>
      </c>
      <c r="I403" s="367"/>
      <c r="J403" s="64" t="s">
        <v>1036</v>
      </c>
      <c r="L403" s="367">
        <v>1182580.3899999999</v>
      </c>
    </row>
    <row r="404" spans="1:12" s="86" customFormat="1" ht="12.75">
      <c r="A404" s="277">
        <v>305</v>
      </c>
      <c r="B404" s="275">
        <v>200</v>
      </c>
      <c r="C404" s="275">
        <v>200</v>
      </c>
      <c r="D404" s="275">
        <v>300</v>
      </c>
      <c r="E404" s="275">
        <v>50</v>
      </c>
      <c r="F404" s="275"/>
      <c r="G404" s="63" t="s">
        <v>1037</v>
      </c>
      <c r="H404" s="366"/>
      <c r="I404" s="366"/>
      <c r="J404" s="64" t="s">
        <v>1038</v>
      </c>
      <c r="L404" s="366"/>
    </row>
    <row r="405" spans="1:12" s="86" customFormat="1" ht="12.75">
      <c r="A405" s="277">
        <v>305</v>
      </c>
      <c r="B405" s="275">
        <v>200</v>
      </c>
      <c r="C405" s="275">
        <v>200</v>
      </c>
      <c r="D405" s="275">
        <v>300</v>
      </c>
      <c r="E405" s="275">
        <v>50</v>
      </c>
      <c r="F405" s="276">
        <v>10</v>
      </c>
      <c r="G405" s="66" t="s">
        <v>1039</v>
      </c>
      <c r="H405" s="363">
        <v>0</v>
      </c>
      <c r="I405" s="363"/>
      <c r="J405" s="64"/>
      <c r="L405" s="363"/>
    </row>
    <row r="406" spans="1:12" s="86" customFormat="1" ht="12.75">
      <c r="A406" s="277">
        <v>305</v>
      </c>
      <c r="B406" s="275">
        <v>200</v>
      </c>
      <c r="C406" s="275">
        <v>200</v>
      </c>
      <c r="D406" s="275">
        <v>300</v>
      </c>
      <c r="E406" s="275">
        <v>50</v>
      </c>
      <c r="F406" s="276">
        <v>20</v>
      </c>
      <c r="G406" s="66" t="s">
        <v>1040</v>
      </c>
      <c r="H406" s="363">
        <v>47393.32</v>
      </c>
      <c r="I406" s="363"/>
      <c r="J406" s="64"/>
      <c r="L406" s="363"/>
    </row>
    <row r="407" spans="1:12" s="86" customFormat="1" ht="12.75">
      <c r="A407" s="277">
        <v>305</v>
      </c>
      <c r="B407" s="275">
        <v>200</v>
      </c>
      <c r="C407" s="275">
        <v>200</v>
      </c>
      <c r="D407" s="275">
        <v>300</v>
      </c>
      <c r="E407" s="275">
        <v>50</v>
      </c>
      <c r="F407" s="276">
        <v>30</v>
      </c>
      <c r="G407" s="66" t="s">
        <v>1041</v>
      </c>
      <c r="H407" s="363">
        <v>5327.46</v>
      </c>
      <c r="I407" s="363"/>
      <c r="J407" s="64"/>
      <c r="L407" s="363"/>
    </row>
    <row r="408" spans="1:12" s="86" customFormat="1" ht="12.75">
      <c r="A408" s="277">
        <v>305</v>
      </c>
      <c r="B408" s="275">
        <v>200</v>
      </c>
      <c r="C408" s="275">
        <v>200</v>
      </c>
      <c r="D408" s="275">
        <v>300</v>
      </c>
      <c r="E408" s="275">
        <v>50</v>
      </c>
      <c r="F408" s="276">
        <v>40</v>
      </c>
      <c r="G408" s="66" t="s">
        <v>1042</v>
      </c>
      <c r="H408" s="363">
        <v>18610.87</v>
      </c>
      <c r="I408" s="363"/>
      <c r="J408" s="64"/>
      <c r="L408" s="363">
        <v>11093.97</v>
      </c>
    </row>
    <row r="409" spans="1:12" s="86" customFormat="1" ht="12.75">
      <c r="A409" s="277">
        <v>305</v>
      </c>
      <c r="B409" s="275">
        <v>200</v>
      </c>
      <c r="C409" s="275">
        <v>200</v>
      </c>
      <c r="D409" s="275">
        <v>300</v>
      </c>
      <c r="E409" s="275">
        <v>50</v>
      </c>
      <c r="F409" s="276">
        <v>90</v>
      </c>
      <c r="G409" s="66" t="s">
        <v>1037</v>
      </c>
      <c r="H409" s="363">
        <v>0</v>
      </c>
      <c r="I409" s="363"/>
      <c r="J409" s="64"/>
      <c r="L409" s="363"/>
    </row>
    <row r="410" spans="1:12" ht="38.25">
      <c r="A410" s="277">
        <v>305</v>
      </c>
      <c r="B410" s="275">
        <v>200</v>
      </c>
      <c r="C410" s="275">
        <v>200</v>
      </c>
      <c r="D410" s="275">
        <v>300</v>
      </c>
      <c r="E410" s="275">
        <v>60</v>
      </c>
      <c r="F410" s="276"/>
      <c r="G410" s="66" t="s">
        <v>1043</v>
      </c>
      <c r="H410" s="363">
        <v>0</v>
      </c>
      <c r="I410" s="363"/>
      <c r="J410" s="64" t="s">
        <v>1044</v>
      </c>
      <c r="L410" s="363"/>
    </row>
    <row r="411" spans="1:12" s="86" customFormat="1" ht="12.75">
      <c r="A411" s="277">
        <v>305</v>
      </c>
      <c r="B411" s="275">
        <v>200</v>
      </c>
      <c r="C411" s="275">
        <v>200</v>
      </c>
      <c r="D411" s="275">
        <v>400</v>
      </c>
      <c r="E411" s="275"/>
      <c r="F411" s="275"/>
      <c r="G411" s="63" t="s">
        <v>1045</v>
      </c>
      <c r="H411" s="366"/>
      <c r="I411" s="366"/>
      <c r="J411" s="85" t="s">
        <v>1046</v>
      </c>
      <c r="L411" s="366"/>
    </row>
    <row r="412" spans="1:12" ht="25.5">
      <c r="A412" s="277">
        <v>305</v>
      </c>
      <c r="B412" s="275">
        <v>200</v>
      </c>
      <c r="C412" s="275">
        <v>200</v>
      </c>
      <c r="D412" s="275">
        <v>400</v>
      </c>
      <c r="E412" s="276">
        <v>10</v>
      </c>
      <c r="F412" s="276"/>
      <c r="G412" s="83" t="s">
        <v>1047</v>
      </c>
      <c r="H412" s="367"/>
      <c r="I412" s="367"/>
      <c r="J412" s="85" t="s">
        <v>1048</v>
      </c>
      <c r="L412" s="367"/>
    </row>
    <row r="413" spans="1:12" ht="25.5">
      <c r="A413" s="277">
        <v>305</v>
      </c>
      <c r="B413" s="275">
        <v>200</v>
      </c>
      <c r="C413" s="275">
        <v>200</v>
      </c>
      <c r="D413" s="275">
        <v>400</v>
      </c>
      <c r="E413" s="276">
        <v>20</v>
      </c>
      <c r="F413" s="276"/>
      <c r="G413" s="66" t="s">
        <v>1049</v>
      </c>
      <c r="H413" s="367"/>
      <c r="I413" s="367"/>
      <c r="J413" s="64" t="s">
        <v>1050</v>
      </c>
      <c r="L413" s="367"/>
    </row>
    <row r="414" spans="1:12" ht="25.5">
      <c r="A414" s="277">
        <v>305</v>
      </c>
      <c r="B414" s="275">
        <v>200</v>
      </c>
      <c r="C414" s="275">
        <v>200</v>
      </c>
      <c r="D414" s="275">
        <v>400</v>
      </c>
      <c r="E414" s="276">
        <v>30</v>
      </c>
      <c r="F414" s="276"/>
      <c r="G414" s="66" t="s">
        <v>1051</v>
      </c>
      <c r="H414" s="367">
        <v>6974.66</v>
      </c>
      <c r="I414" s="367"/>
      <c r="J414" s="64" t="s">
        <v>1052</v>
      </c>
      <c r="L414" s="367"/>
    </row>
    <row r="415" spans="1:12">
      <c r="A415" s="277">
        <v>305</v>
      </c>
      <c r="B415" s="275">
        <v>200</v>
      </c>
      <c r="C415" s="275">
        <v>300</v>
      </c>
      <c r="D415" s="275"/>
      <c r="E415" s="275"/>
      <c r="F415" s="275"/>
      <c r="G415" s="63" t="s">
        <v>1053</v>
      </c>
      <c r="H415" s="366"/>
      <c r="I415" s="366"/>
      <c r="J415" s="64" t="s">
        <v>1054</v>
      </c>
      <c r="L415" s="366"/>
    </row>
    <row r="416" spans="1:12">
      <c r="A416" s="277">
        <v>305</v>
      </c>
      <c r="B416" s="275">
        <v>200</v>
      </c>
      <c r="C416" s="275">
        <v>300</v>
      </c>
      <c r="D416" s="276">
        <v>100</v>
      </c>
      <c r="E416" s="276"/>
      <c r="F416" s="276"/>
      <c r="G416" s="66" t="s">
        <v>1055</v>
      </c>
      <c r="H416" s="367">
        <v>7082.7</v>
      </c>
      <c r="I416" s="367"/>
      <c r="J416" s="64" t="s">
        <v>1056</v>
      </c>
      <c r="L416" s="367">
        <v>3800</v>
      </c>
    </row>
    <row r="417" spans="1:12" s="79" customFormat="1" ht="15.75">
      <c r="A417" s="277">
        <v>305</v>
      </c>
      <c r="B417" s="275">
        <v>200</v>
      </c>
      <c r="C417" s="275">
        <v>300</v>
      </c>
      <c r="D417" s="276">
        <v>200</v>
      </c>
      <c r="E417" s="276"/>
      <c r="F417" s="276"/>
      <c r="G417" s="66" t="s">
        <v>1057</v>
      </c>
      <c r="H417" s="367">
        <v>183516.15</v>
      </c>
      <c r="I417" s="367"/>
      <c r="J417" s="64" t="s">
        <v>1058</v>
      </c>
      <c r="L417" s="367">
        <v>150565.09</v>
      </c>
    </row>
    <row r="418" spans="1:12">
      <c r="A418" s="272">
        <v>310</v>
      </c>
      <c r="B418" s="93">
        <v>0</v>
      </c>
      <c r="C418" s="93">
        <v>0</v>
      </c>
      <c r="D418" s="93">
        <v>0</v>
      </c>
      <c r="E418" s="93">
        <v>0</v>
      </c>
      <c r="F418" s="93">
        <v>0</v>
      </c>
      <c r="G418" s="81" t="s">
        <v>1059</v>
      </c>
      <c r="H418" s="366"/>
      <c r="I418" s="366"/>
      <c r="J418" s="61"/>
      <c r="L418" s="366"/>
    </row>
    <row r="419" spans="1:12">
      <c r="A419" s="277">
        <v>310</v>
      </c>
      <c r="B419" s="276">
        <v>100</v>
      </c>
      <c r="C419" s="276"/>
      <c r="D419" s="276"/>
      <c r="E419" s="276"/>
      <c r="F419" s="276"/>
      <c r="G419" s="66" t="s">
        <v>1060</v>
      </c>
      <c r="H419" s="367">
        <v>935913.12</v>
      </c>
      <c r="I419" s="367"/>
      <c r="J419" s="64" t="s">
        <v>1061</v>
      </c>
      <c r="L419" s="367">
        <v>524422.89799999993</v>
      </c>
    </row>
    <row r="420" spans="1:12" s="86" customFormat="1" ht="12.75">
      <c r="A420" s="277">
        <v>310</v>
      </c>
      <c r="B420" s="275">
        <v>200</v>
      </c>
      <c r="C420" s="275"/>
      <c r="D420" s="275"/>
      <c r="E420" s="275"/>
      <c r="F420" s="275"/>
      <c r="G420" s="63" t="s">
        <v>1062</v>
      </c>
      <c r="H420" s="366"/>
      <c r="I420" s="366"/>
      <c r="J420" s="64" t="s">
        <v>1063</v>
      </c>
      <c r="L420" s="366"/>
    </row>
    <row r="421" spans="1:12" s="86" customFormat="1" ht="12.75">
      <c r="A421" s="277">
        <v>310</v>
      </c>
      <c r="B421" s="275">
        <v>200</v>
      </c>
      <c r="C421" s="276">
        <v>100</v>
      </c>
      <c r="D421" s="276"/>
      <c r="E421" s="276"/>
      <c r="F421" s="276"/>
      <c r="G421" s="66" t="s">
        <v>1064</v>
      </c>
      <c r="H421" s="363">
        <v>783796.54</v>
      </c>
      <c r="I421" s="363"/>
      <c r="J421" s="64"/>
      <c r="L421" s="363">
        <v>478490.32</v>
      </c>
    </row>
    <row r="422" spans="1:12" s="86" customFormat="1" ht="12.75">
      <c r="A422" s="277">
        <v>310</v>
      </c>
      <c r="B422" s="275">
        <v>200</v>
      </c>
      <c r="C422" s="276">
        <v>200</v>
      </c>
      <c r="D422" s="276"/>
      <c r="E422" s="276"/>
      <c r="F422" s="276"/>
      <c r="G422" s="66" t="s">
        <v>1065</v>
      </c>
      <c r="H422" s="363">
        <v>5148025.57</v>
      </c>
      <c r="I422" s="363"/>
      <c r="J422" s="64"/>
      <c r="L422" s="363">
        <v>4461443.6260000002</v>
      </c>
    </row>
    <row r="423" spans="1:12">
      <c r="A423" s="277">
        <v>310</v>
      </c>
      <c r="B423" s="275">
        <v>200</v>
      </c>
      <c r="C423" s="276">
        <v>300</v>
      </c>
      <c r="D423" s="276"/>
      <c r="E423" s="276"/>
      <c r="F423" s="276"/>
      <c r="G423" s="66" t="s">
        <v>1066</v>
      </c>
      <c r="H423" s="363">
        <v>212061.69</v>
      </c>
      <c r="I423" s="363"/>
      <c r="J423" s="64"/>
      <c r="L423" s="363"/>
    </row>
    <row r="424" spans="1:12">
      <c r="A424" s="277">
        <v>310</v>
      </c>
      <c r="B424" s="276">
        <v>300</v>
      </c>
      <c r="C424" s="276"/>
      <c r="D424" s="276"/>
      <c r="E424" s="276"/>
      <c r="F424" s="276"/>
      <c r="G424" s="66" t="s">
        <v>1067</v>
      </c>
      <c r="H424" s="367">
        <v>5812056.3700000001</v>
      </c>
      <c r="I424" s="367"/>
      <c r="J424" s="64" t="s">
        <v>1068</v>
      </c>
      <c r="L424" s="367">
        <v>4654836.9419999998</v>
      </c>
    </row>
    <row r="425" spans="1:12">
      <c r="A425" s="277">
        <v>310</v>
      </c>
      <c r="B425" s="276">
        <v>400</v>
      </c>
      <c r="C425" s="276"/>
      <c r="D425" s="276"/>
      <c r="E425" s="276"/>
      <c r="F425" s="276"/>
      <c r="G425" s="66" t="s">
        <v>1069</v>
      </c>
      <c r="H425" s="367">
        <v>123843.19</v>
      </c>
      <c r="I425" s="367"/>
      <c r="J425" s="64" t="s">
        <v>1070</v>
      </c>
      <c r="L425" s="367">
        <v>113388.71</v>
      </c>
    </row>
    <row r="426" spans="1:12">
      <c r="A426" s="277">
        <v>310</v>
      </c>
      <c r="B426" s="276">
        <v>500</v>
      </c>
      <c r="C426" s="276"/>
      <c r="D426" s="276"/>
      <c r="E426" s="276"/>
      <c r="F426" s="276"/>
      <c r="G426" s="66" t="s">
        <v>1071</v>
      </c>
      <c r="H426" s="367">
        <v>394179.47</v>
      </c>
      <c r="I426" s="367"/>
      <c r="J426" s="64" t="s">
        <v>1072</v>
      </c>
      <c r="L426" s="367">
        <v>48293.03</v>
      </c>
    </row>
    <row r="427" spans="1:12" s="86" customFormat="1" ht="12.75">
      <c r="A427" s="277">
        <v>310</v>
      </c>
      <c r="B427" s="275">
        <v>600</v>
      </c>
      <c r="C427" s="275"/>
      <c r="D427" s="275"/>
      <c r="E427" s="275"/>
      <c r="F427" s="275"/>
      <c r="G427" s="63" t="s">
        <v>1073</v>
      </c>
      <c r="H427" s="366"/>
      <c r="I427" s="366"/>
      <c r="J427" s="64" t="s">
        <v>1074</v>
      </c>
      <c r="L427" s="366"/>
    </row>
    <row r="428" spans="1:12" s="86" customFormat="1" ht="12.75">
      <c r="A428" s="277">
        <v>310</v>
      </c>
      <c r="B428" s="275">
        <v>600</v>
      </c>
      <c r="C428" s="276">
        <v>100</v>
      </c>
      <c r="D428" s="276"/>
      <c r="E428" s="276"/>
      <c r="F428" s="276"/>
      <c r="G428" s="66" t="s">
        <v>1075</v>
      </c>
      <c r="H428" s="363">
        <v>1132216.3500000001</v>
      </c>
      <c r="I428" s="363"/>
      <c r="J428" s="64"/>
      <c r="L428" s="363">
        <v>993180.29</v>
      </c>
    </row>
    <row r="429" spans="1:12" s="86" customFormat="1" ht="12.75">
      <c r="A429" s="277">
        <v>310</v>
      </c>
      <c r="B429" s="275">
        <v>600</v>
      </c>
      <c r="C429" s="276">
        <v>200</v>
      </c>
      <c r="D429" s="276"/>
      <c r="E429" s="276"/>
      <c r="F429" s="276"/>
      <c r="G429" s="66" t="s">
        <v>1076</v>
      </c>
      <c r="H429" s="363">
        <v>293090.40999999997</v>
      </c>
      <c r="I429" s="363"/>
      <c r="J429" s="64"/>
      <c r="L429" s="363">
        <v>145204.51999999999</v>
      </c>
    </row>
    <row r="430" spans="1:12" s="86" customFormat="1" ht="12.75">
      <c r="A430" s="277">
        <v>310</v>
      </c>
      <c r="B430" s="275">
        <v>600</v>
      </c>
      <c r="C430" s="276">
        <v>300</v>
      </c>
      <c r="D430" s="276"/>
      <c r="E430" s="276"/>
      <c r="F430" s="276"/>
      <c r="G430" s="66" t="s">
        <v>1073</v>
      </c>
      <c r="H430" s="363">
        <v>276815.25</v>
      </c>
      <c r="I430" s="363"/>
      <c r="J430" s="64"/>
      <c r="L430" s="363"/>
    </row>
    <row r="431" spans="1:12" s="79" customFormat="1" ht="15.75">
      <c r="A431" s="277">
        <v>310</v>
      </c>
      <c r="B431" s="275">
        <v>700</v>
      </c>
      <c r="C431" s="275"/>
      <c r="D431" s="275"/>
      <c r="E431" s="276"/>
      <c r="F431" s="276"/>
      <c r="G431" s="83" t="s">
        <v>1077</v>
      </c>
      <c r="H431" s="367">
        <v>0</v>
      </c>
      <c r="I431" s="367"/>
      <c r="J431" s="85" t="s">
        <v>1078</v>
      </c>
      <c r="L431" s="367"/>
    </row>
    <row r="432" spans="1:12">
      <c r="A432" s="272">
        <v>315</v>
      </c>
      <c r="B432" s="93">
        <v>0</v>
      </c>
      <c r="C432" s="93">
        <v>0</v>
      </c>
      <c r="D432" s="93">
        <v>0</v>
      </c>
      <c r="E432" s="93">
        <v>0</v>
      </c>
      <c r="F432" s="93">
        <v>0</v>
      </c>
      <c r="G432" s="81" t="s">
        <v>61</v>
      </c>
      <c r="H432" s="366"/>
      <c r="I432" s="366"/>
      <c r="J432" s="93" t="s">
        <v>1079</v>
      </c>
      <c r="L432" s="366"/>
    </row>
    <row r="433" spans="1:12" s="86" customFormat="1" ht="12.75">
      <c r="A433" s="277">
        <v>315</v>
      </c>
      <c r="B433" s="275">
        <v>100</v>
      </c>
      <c r="C433" s="275"/>
      <c r="D433" s="275"/>
      <c r="E433" s="275"/>
      <c r="F433" s="275"/>
      <c r="G433" s="63" t="s">
        <v>1080</v>
      </c>
      <c r="H433" s="366"/>
      <c r="I433" s="366"/>
      <c r="J433" s="64" t="s">
        <v>1081</v>
      </c>
      <c r="L433" s="366"/>
    </row>
    <row r="434" spans="1:12" s="86" customFormat="1" ht="12.75">
      <c r="A434" s="277">
        <v>315</v>
      </c>
      <c r="B434" s="275">
        <v>100</v>
      </c>
      <c r="C434" s="276">
        <v>100</v>
      </c>
      <c r="D434" s="276"/>
      <c r="E434" s="276"/>
      <c r="F434" s="276"/>
      <c r="G434" s="66" t="s">
        <v>1082</v>
      </c>
      <c r="H434" s="363">
        <v>324146.39</v>
      </c>
      <c r="I434" s="363"/>
      <c r="J434" s="64"/>
      <c r="L434" s="363">
        <v>18440.449999999997</v>
      </c>
    </row>
    <row r="435" spans="1:12">
      <c r="A435" s="277">
        <v>315</v>
      </c>
      <c r="B435" s="275">
        <v>100</v>
      </c>
      <c r="C435" s="276">
        <v>200</v>
      </c>
      <c r="D435" s="276"/>
      <c r="E435" s="276"/>
      <c r="F435" s="276"/>
      <c r="G435" s="66" t="s">
        <v>1083</v>
      </c>
      <c r="H435" s="363">
        <v>47075.03</v>
      </c>
      <c r="I435" s="363"/>
      <c r="J435" s="64"/>
      <c r="L435" s="363">
        <v>100027.67</v>
      </c>
    </row>
    <row r="436" spans="1:12">
      <c r="A436" s="277">
        <v>315</v>
      </c>
      <c r="B436" s="275">
        <v>200</v>
      </c>
      <c r="C436" s="275"/>
      <c r="D436" s="275"/>
      <c r="E436" s="275"/>
      <c r="F436" s="275"/>
      <c r="G436" s="63" t="s">
        <v>1084</v>
      </c>
      <c r="H436" s="366"/>
      <c r="I436" s="366"/>
      <c r="J436" s="64" t="s">
        <v>1085</v>
      </c>
      <c r="L436" s="366"/>
    </row>
    <row r="437" spans="1:12">
      <c r="A437" s="277">
        <v>315</v>
      </c>
      <c r="B437" s="275">
        <v>200</v>
      </c>
      <c r="C437" s="276">
        <v>100</v>
      </c>
      <c r="D437" s="276"/>
      <c r="E437" s="276"/>
      <c r="F437" s="276"/>
      <c r="G437" s="66" t="s">
        <v>1086</v>
      </c>
      <c r="H437" s="367">
        <v>2016933.37</v>
      </c>
      <c r="I437" s="367"/>
      <c r="J437" s="64" t="s">
        <v>1087</v>
      </c>
      <c r="L437" s="367">
        <v>1764112.09</v>
      </c>
    </row>
    <row r="438" spans="1:12" s="86" customFormat="1" ht="12.75">
      <c r="A438" s="277">
        <v>315</v>
      </c>
      <c r="B438" s="275">
        <v>200</v>
      </c>
      <c r="C438" s="275">
        <v>200</v>
      </c>
      <c r="D438" s="275"/>
      <c r="E438" s="275"/>
      <c r="F438" s="275"/>
      <c r="G438" s="63" t="s">
        <v>1088</v>
      </c>
      <c r="H438" s="366"/>
      <c r="I438" s="366"/>
      <c r="J438" s="64" t="s">
        <v>1089</v>
      </c>
      <c r="L438" s="366"/>
    </row>
    <row r="439" spans="1:12" s="86" customFormat="1" ht="12.75">
      <c r="A439" s="277">
        <v>315</v>
      </c>
      <c r="B439" s="275">
        <v>200</v>
      </c>
      <c r="C439" s="275">
        <v>200</v>
      </c>
      <c r="D439" s="276">
        <v>100</v>
      </c>
      <c r="E439" s="276"/>
      <c r="F439" s="276"/>
      <c r="G439" s="66" t="s">
        <v>1090</v>
      </c>
      <c r="H439" s="363">
        <v>207526.18</v>
      </c>
      <c r="I439" s="363"/>
      <c r="J439" s="64"/>
      <c r="L439" s="363">
        <v>156339.10999999999</v>
      </c>
    </row>
    <row r="440" spans="1:12" s="86" customFormat="1" ht="12.75">
      <c r="A440" s="277">
        <v>315</v>
      </c>
      <c r="B440" s="275">
        <v>200</v>
      </c>
      <c r="C440" s="275">
        <v>200</v>
      </c>
      <c r="D440" s="276">
        <v>200</v>
      </c>
      <c r="E440" s="276"/>
      <c r="F440" s="276"/>
      <c r="G440" s="66" t="s">
        <v>1091</v>
      </c>
      <c r="H440" s="363">
        <v>421692.71</v>
      </c>
      <c r="I440" s="363"/>
      <c r="J440" s="64"/>
      <c r="L440" s="363">
        <v>140356.53</v>
      </c>
    </row>
    <row r="441" spans="1:12" s="86" customFormat="1" ht="12.75">
      <c r="A441" s="277">
        <v>315</v>
      </c>
      <c r="B441" s="275">
        <v>200</v>
      </c>
      <c r="C441" s="275">
        <v>200</v>
      </c>
      <c r="D441" s="276">
        <v>300</v>
      </c>
      <c r="E441" s="276"/>
      <c r="F441" s="276"/>
      <c r="G441" s="66" t="s">
        <v>1092</v>
      </c>
      <c r="H441" s="363">
        <v>33813.26</v>
      </c>
      <c r="I441" s="363"/>
      <c r="J441" s="64"/>
      <c r="L441" s="363">
        <v>2456.16</v>
      </c>
    </row>
    <row r="442" spans="1:12">
      <c r="A442" s="277">
        <v>315</v>
      </c>
      <c r="B442" s="275">
        <v>200</v>
      </c>
      <c r="C442" s="275">
        <v>200</v>
      </c>
      <c r="D442" s="276">
        <v>900</v>
      </c>
      <c r="E442" s="276"/>
      <c r="F442" s="276"/>
      <c r="G442" s="66" t="s">
        <v>1093</v>
      </c>
      <c r="H442" s="363">
        <v>529594.5</v>
      </c>
      <c r="I442" s="363"/>
      <c r="J442" s="64"/>
      <c r="L442" s="363">
        <v>332398.77</v>
      </c>
    </row>
    <row r="443" spans="1:12">
      <c r="A443" s="277">
        <v>315</v>
      </c>
      <c r="B443" s="275">
        <v>300</v>
      </c>
      <c r="C443" s="275"/>
      <c r="D443" s="275"/>
      <c r="E443" s="275"/>
      <c r="F443" s="275"/>
      <c r="G443" s="63" t="s">
        <v>1094</v>
      </c>
      <c r="H443" s="366"/>
      <c r="I443" s="366"/>
      <c r="J443" s="64" t="s">
        <v>1095</v>
      </c>
      <c r="L443" s="366"/>
    </row>
    <row r="444" spans="1:12" s="86" customFormat="1" ht="12.75">
      <c r="A444" s="277">
        <v>315</v>
      </c>
      <c r="B444" s="275">
        <v>300</v>
      </c>
      <c r="C444" s="275">
        <v>100</v>
      </c>
      <c r="D444" s="275"/>
      <c r="E444" s="275"/>
      <c r="F444" s="275"/>
      <c r="G444" s="63" t="s">
        <v>1096</v>
      </c>
      <c r="H444" s="366"/>
      <c r="I444" s="366"/>
      <c r="J444" s="64" t="s">
        <v>1097</v>
      </c>
      <c r="L444" s="366"/>
    </row>
    <row r="445" spans="1:12" s="86" customFormat="1" ht="12.75">
      <c r="A445" s="277">
        <v>315</v>
      </c>
      <c r="B445" s="275">
        <v>300</v>
      </c>
      <c r="C445" s="275">
        <v>100</v>
      </c>
      <c r="D445" s="276">
        <v>100</v>
      </c>
      <c r="E445" s="276"/>
      <c r="F445" s="276"/>
      <c r="G445" s="66" t="s">
        <v>1098</v>
      </c>
      <c r="H445" s="363">
        <v>0</v>
      </c>
      <c r="I445" s="363"/>
      <c r="J445" s="64"/>
      <c r="L445" s="363"/>
    </row>
    <row r="446" spans="1:12">
      <c r="A446" s="277">
        <v>315</v>
      </c>
      <c r="B446" s="275">
        <v>300</v>
      </c>
      <c r="C446" s="275">
        <v>100</v>
      </c>
      <c r="D446" s="276">
        <v>200</v>
      </c>
      <c r="E446" s="276"/>
      <c r="F446" s="276"/>
      <c r="G446" s="66" t="s">
        <v>1099</v>
      </c>
      <c r="H446" s="363">
        <v>0</v>
      </c>
      <c r="I446" s="363"/>
      <c r="J446" s="64"/>
      <c r="L446" s="363"/>
    </row>
    <row r="447" spans="1:12">
      <c r="A447" s="277">
        <v>315</v>
      </c>
      <c r="B447" s="275">
        <v>300</v>
      </c>
      <c r="C447" s="275">
        <v>200</v>
      </c>
      <c r="D447" s="275"/>
      <c r="E447" s="275"/>
      <c r="F447" s="275"/>
      <c r="G447" s="63" t="s">
        <v>1100</v>
      </c>
      <c r="H447" s="366"/>
      <c r="I447" s="366"/>
      <c r="J447" s="64" t="s">
        <v>1101</v>
      </c>
      <c r="L447" s="366"/>
    </row>
    <row r="448" spans="1:12">
      <c r="A448" s="277">
        <v>315</v>
      </c>
      <c r="B448" s="275">
        <v>300</v>
      </c>
      <c r="C448" s="275">
        <v>200</v>
      </c>
      <c r="D448" s="276">
        <v>100</v>
      </c>
      <c r="E448" s="276"/>
      <c r="F448" s="276"/>
      <c r="G448" s="66" t="s">
        <v>1098</v>
      </c>
      <c r="H448" s="363">
        <v>0</v>
      </c>
      <c r="I448" s="363"/>
      <c r="J448" s="64"/>
      <c r="L448" s="363"/>
    </row>
    <row r="449" spans="1:12" s="86" customFormat="1" ht="12.75">
      <c r="A449" s="277">
        <v>315</v>
      </c>
      <c r="B449" s="275">
        <v>300</v>
      </c>
      <c r="C449" s="275">
        <v>200</v>
      </c>
      <c r="D449" s="276">
        <v>200</v>
      </c>
      <c r="E449" s="276"/>
      <c r="F449" s="276"/>
      <c r="G449" s="66" t="s">
        <v>1099</v>
      </c>
      <c r="H449" s="363">
        <v>0</v>
      </c>
      <c r="I449" s="363"/>
      <c r="J449" s="64"/>
      <c r="L449" s="363"/>
    </row>
    <row r="450" spans="1:12" s="86" customFormat="1" ht="12.75">
      <c r="A450" s="277">
        <v>315</v>
      </c>
      <c r="B450" s="275">
        <v>350</v>
      </c>
      <c r="C450" s="275"/>
      <c r="D450" s="275"/>
      <c r="E450" s="276"/>
      <c r="F450" s="276"/>
      <c r="G450" s="83" t="s">
        <v>1102</v>
      </c>
      <c r="H450" s="367">
        <v>0</v>
      </c>
      <c r="I450" s="367"/>
      <c r="J450" s="85" t="s">
        <v>1103</v>
      </c>
      <c r="L450" s="367"/>
    </row>
    <row r="451" spans="1:12" s="79" customFormat="1" ht="15.75">
      <c r="A451" s="277">
        <v>315</v>
      </c>
      <c r="B451" s="275">
        <v>400</v>
      </c>
      <c r="C451" s="275"/>
      <c r="D451" s="275"/>
      <c r="E451" s="276"/>
      <c r="F451" s="276"/>
      <c r="G451" s="83" t="s">
        <v>1104</v>
      </c>
      <c r="H451" s="367">
        <v>0</v>
      </c>
      <c r="I451" s="367"/>
      <c r="J451" s="85" t="s">
        <v>1105</v>
      </c>
      <c r="L451" s="367"/>
    </row>
    <row r="452" spans="1:12">
      <c r="A452" s="272">
        <v>320</v>
      </c>
      <c r="B452" s="93">
        <v>0</v>
      </c>
      <c r="C452" s="93">
        <v>0</v>
      </c>
      <c r="D452" s="93">
        <v>0</v>
      </c>
      <c r="E452" s="93">
        <v>0</v>
      </c>
      <c r="F452" s="93">
        <v>0</v>
      </c>
      <c r="G452" s="81" t="s">
        <v>1106</v>
      </c>
      <c r="H452" s="366"/>
      <c r="I452" s="366"/>
      <c r="J452" s="93" t="s">
        <v>1107</v>
      </c>
      <c r="L452" s="366"/>
    </row>
    <row r="453" spans="1:12">
      <c r="A453" s="277">
        <v>320</v>
      </c>
      <c r="B453" s="275">
        <v>100</v>
      </c>
      <c r="C453" s="275"/>
      <c r="D453" s="275"/>
      <c r="E453" s="275"/>
      <c r="F453" s="275"/>
      <c r="G453" s="63" t="s">
        <v>1108</v>
      </c>
      <c r="H453" s="366"/>
      <c r="I453" s="366"/>
      <c r="J453" s="64" t="s">
        <v>1109</v>
      </c>
      <c r="L453" s="366"/>
    </row>
    <row r="454" spans="1:12">
      <c r="A454" s="277">
        <v>320</v>
      </c>
      <c r="B454" s="275">
        <v>100</v>
      </c>
      <c r="C454" s="275">
        <v>100</v>
      </c>
      <c r="D454" s="275"/>
      <c r="E454" s="275"/>
      <c r="F454" s="275"/>
      <c r="G454" s="63" t="s">
        <v>1110</v>
      </c>
      <c r="H454" s="366"/>
      <c r="I454" s="366"/>
      <c r="J454" s="64" t="s">
        <v>1111</v>
      </c>
      <c r="L454" s="366"/>
    </row>
    <row r="455" spans="1:12" s="86" customFormat="1" ht="12.75">
      <c r="A455" s="277">
        <v>320</v>
      </c>
      <c r="B455" s="275">
        <v>100</v>
      </c>
      <c r="C455" s="275">
        <v>100</v>
      </c>
      <c r="D455" s="275">
        <v>100</v>
      </c>
      <c r="E455" s="275"/>
      <c r="F455" s="275"/>
      <c r="G455" s="63" t="s">
        <v>1112</v>
      </c>
      <c r="H455" s="366"/>
      <c r="I455" s="366"/>
      <c r="J455" s="64" t="s">
        <v>1113</v>
      </c>
      <c r="L455" s="366"/>
    </row>
    <row r="456" spans="1:12" s="86" customFormat="1" ht="12.75">
      <c r="A456" s="277">
        <v>320</v>
      </c>
      <c r="B456" s="275">
        <v>100</v>
      </c>
      <c r="C456" s="275">
        <v>100</v>
      </c>
      <c r="D456" s="275">
        <v>100</v>
      </c>
      <c r="E456" s="276">
        <v>10</v>
      </c>
      <c r="F456" s="276"/>
      <c r="G456" s="94" t="s">
        <v>1114</v>
      </c>
      <c r="H456" s="367">
        <v>42619114.359999999</v>
      </c>
      <c r="I456" s="367"/>
      <c r="J456" s="64"/>
      <c r="L456" s="367">
        <v>35074846.029516511</v>
      </c>
    </row>
    <row r="457" spans="1:12" s="86" customFormat="1" ht="12.75">
      <c r="A457" s="277">
        <v>320</v>
      </c>
      <c r="B457" s="275">
        <v>100</v>
      </c>
      <c r="C457" s="275">
        <v>100</v>
      </c>
      <c r="D457" s="275">
        <v>100</v>
      </c>
      <c r="E457" s="276">
        <v>20</v>
      </c>
      <c r="F457" s="276"/>
      <c r="G457" s="94" t="s">
        <v>1115</v>
      </c>
      <c r="H457" s="367">
        <v>14175679.560000001</v>
      </c>
      <c r="I457" s="367"/>
      <c r="J457" s="64"/>
      <c r="L457" s="367">
        <v>10779044.941304404</v>
      </c>
    </row>
    <row r="458" spans="1:12" s="86" customFormat="1" ht="12.75">
      <c r="A458" s="277">
        <v>320</v>
      </c>
      <c r="B458" s="275">
        <v>100</v>
      </c>
      <c r="C458" s="275">
        <v>100</v>
      </c>
      <c r="D458" s="275">
        <v>100</v>
      </c>
      <c r="E458" s="275">
        <v>30</v>
      </c>
      <c r="F458" s="275"/>
      <c r="G458" s="95" t="s">
        <v>1116</v>
      </c>
      <c r="H458" s="366"/>
      <c r="I458" s="366"/>
      <c r="J458" s="64"/>
      <c r="L458" s="366"/>
    </row>
    <row r="459" spans="1:12" s="86" customFormat="1" ht="12.75">
      <c r="A459" s="277">
        <v>320</v>
      </c>
      <c r="B459" s="275">
        <v>100</v>
      </c>
      <c r="C459" s="275">
        <v>100</v>
      </c>
      <c r="D459" s="275">
        <v>100</v>
      </c>
      <c r="E459" s="275">
        <v>30</v>
      </c>
      <c r="F459" s="276">
        <v>5</v>
      </c>
      <c r="G459" s="94" t="s">
        <v>1117</v>
      </c>
      <c r="H459" s="367">
        <v>4436436.41</v>
      </c>
      <c r="I459" s="367"/>
      <c r="J459" s="64"/>
      <c r="L459" s="367">
        <v>3382938.2756454558</v>
      </c>
    </row>
    <row r="460" spans="1:12" s="86" customFormat="1" ht="12.75">
      <c r="A460" s="277">
        <v>320</v>
      </c>
      <c r="B460" s="275">
        <v>100</v>
      </c>
      <c r="C460" s="275">
        <v>100</v>
      </c>
      <c r="D460" s="275">
        <v>100</v>
      </c>
      <c r="E460" s="275">
        <v>30</v>
      </c>
      <c r="F460" s="276">
        <v>10</v>
      </c>
      <c r="G460" s="94" t="s">
        <v>1118</v>
      </c>
      <c r="H460" s="367">
        <v>0</v>
      </c>
      <c r="I460" s="367"/>
      <c r="J460" s="64"/>
      <c r="L460" s="367"/>
    </row>
    <row r="461" spans="1:12" s="86" customFormat="1" ht="12.75">
      <c r="A461" s="277">
        <v>320</v>
      </c>
      <c r="B461" s="275">
        <v>100</v>
      </c>
      <c r="C461" s="275">
        <v>100</v>
      </c>
      <c r="D461" s="275">
        <v>100</v>
      </c>
      <c r="E461" s="275">
        <v>40</v>
      </c>
      <c r="F461" s="275"/>
      <c r="G461" s="95" t="s">
        <v>1119</v>
      </c>
      <c r="H461" s="366"/>
      <c r="I461" s="366"/>
      <c r="J461" s="64"/>
      <c r="L461" s="366"/>
    </row>
    <row r="462" spans="1:12" s="86" customFormat="1" ht="12.75">
      <c r="A462" s="277">
        <v>320</v>
      </c>
      <c r="B462" s="275">
        <v>100</v>
      </c>
      <c r="C462" s="275">
        <v>100</v>
      </c>
      <c r="D462" s="275">
        <v>100</v>
      </c>
      <c r="E462" s="275">
        <v>40</v>
      </c>
      <c r="F462" s="276">
        <v>5</v>
      </c>
      <c r="G462" s="94" t="s">
        <v>1120</v>
      </c>
      <c r="H462" s="367">
        <v>2391128.17</v>
      </c>
      <c r="I462" s="367"/>
      <c r="J462" s="64"/>
      <c r="L462" s="367">
        <v>1889428.4048096023</v>
      </c>
    </row>
    <row r="463" spans="1:12" s="86" customFormat="1" ht="12.75">
      <c r="A463" s="277">
        <v>320</v>
      </c>
      <c r="B463" s="275">
        <v>100</v>
      </c>
      <c r="C463" s="275">
        <v>100</v>
      </c>
      <c r="D463" s="275">
        <v>100</v>
      </c>
      <c r="E463" s="275">
        <v>40</v>
      </c>
      <c r="F463" s="276">
        <v>10</v>
      </c>
      <c r="G463" s="94" t="s">
        <v>1121</v>
      </c>
      <c r="H463" s="367">
        <v>0</v>
      </c>
      <c r="I463" s="367"/>
      <c r="J463" s="64"/>
      <c r="L463" s="367"/>
    </row>
    <row r="464" spans="1:12" s="86" customFormat="1" ht="12.75">
      <c r="A464" s="277">
        <v>320</v>
      </c>
      <c r="B464" s="275">
        <v>100</v>
      </c>
      <c r="C464" s="275">
        <v>100</v>
      </c>
      <c r="D464" s="275">
        <v>100</v>
      </c>
      <c r="E464" s="275">
        <v>50</v>
      </c>
      <c r="F464" s="275"/>
      <c r="G464" s="95" t="s">
        <v>1122</v>
      </c>
      <c r="H464" s="366"/>
      <c r="I464" s="366"/>
      <c r="J464" s="64"/>
      <c r="L464" s="366"/>
    </row>
    <row r="465" spans="1:12" s="86" customFormat="1" ht="12.75">
      <c r="A465" s="277">
        <v>320</v>
      </c>
      <c r="B465" s="275">
        <v>100</v>
      </c>
      <c r="C465" s="275">
        <v>100</v>
      </c>
      <c r="D465" s="275">
        <v>100</v>
      </c>
      <c r="E465" s="275">
        <v>50</v>
      </c>
      <c r="F465" s="276">
        <v>5</v>
      </c>
      <c r="G465" s="94" t="s">
        <v>1123</v>
      </c>
      <c r="H465" s="367">
        <v>0</v>
      </c>
      <c r="I465" s="367"/>
      <c r="J465" s="64"/>
      <c r="L465" s="367"/>
    </row>
    <row r="466" spans="1:12" s="86" customFormat="1" ht="12.75">
      <c r="A466" s="277">
        <v>320</v>
      </c>
      <c r="B466" s="275">
        <v>100</v>
      </c>
      <c r="C466" s="275">
        <v>100</v>
      </c>
      <c r="D466" s="275">
        <v>100</v>
      </c>
      <c r="E466" s="275">
        <v>50</v>
      </c>
      <c r="F466" s="276">
        <v>10</v>
      </c>
      <c r="G466" s="94" t="s">
        <v>1124</v>
      </c>
      <c r="H466" s="367">
        <v>0</v>
      </c>
      <c r="I466" s="367"/>
      <c r="J466" s="64"/>
      <c r="L466" s="367"/>
    </row>
    <row r="467" spans="1:12" s="86" customFormat="1" ht="12.75">
      <c r="A467" s="277">
        <v>320</v>
      </c>
      <c r="B467" s="275">
        <v>100</v>
      </c>
      <c r="C467" s="275">
        <v>100</v>
      </c>
      <c r="D467" s="275">
        <v>100</v>
      </c>
      <c r="E467" s="275">
        <v>50</v>
      </c>
      <c r="F467" s="276">
        <v>15</v>
      </c>
      <c r="G467" s="94" t="s">
        <v>1125</v>
      </c>
      <c r="H467" s="367">
        <v>474956.97</v>
      </c>
      <c r="I467" s="367"/>
      <c r="J467" s="64"/>
      <c r="L467" s="367">
        <v>70204.778156996588</v>
      </c>
    </row>
    <row r="468" spans="1:12" s="86" customFormat="1" ht="12.75">
      <c r="A468" s="277">
        <v>320</v>
      </c>
      <c r="B468" s="275">
        <v>100</v>
      </c>
      <c r="C468" s="275">
        <v>100</v>
      </c>
      <c r="D468" s="275">
        <v>100</v>
      </c>
      <c r="E468" s="275">
        <v>50</v>
      </c>
      <c r="F468" s="276">
        <v>20</v>
      </c>
      <c r="G468" s="94" t="s">
        <v>1126</v>
      </c>
      <c r="H468" s="367">
        <v>0</v>
      </c>
      <c r="I468" s="367"/>
      <c r="J468" s="64"/>
      <c r="L468" s="367"/>
    </row>
    <row r="469" spans="1:12" s="86" customFormat="1" ht="12.75">
      <c r="A469" s="277">
        <v>320</v>
      </c>
      <c r="B469" s="275">
        <v>100</v>
      </c>
      <c r="C469" s="275">
        <v>100</v>
      </c>
      <c r="D469" s="275">
        <v>100</v>
      </c>
      <c r="E469" s="275">
        <v>90</v>
      </c>
      <c r="F469" s="275"/>
      <c r="G469" s="95" t="s">
        <v>1127</v>
      </c>
      <c r="H469" s="366"/>
      <c r="I469" s="366"/>
      <c r="J469" s="64"/>
      <c r="L469" s="366"/>
    </row>
    <row r="470" spans="1:12" s="86" customFormat="1" ht="12.75">
      <c r="A470" s="277">
        <v>320</v>
      </c>
      <c r="B470" s="275">
        <v>100</v>
      </c>
      <c r="C470" s="275">
        <v>100</v>
      </c>
      <c r="D470" s="275">
        <v>100</v>
      </c>
      <c r="E470" s="275">
        <v>90</v>
      </c>
      <c r="F470" s="276">
        <v>5</v>
      </c>
      <c r="G470" s="94" t="s">
        <v>1128</v>
      </c>
      <c r="H470" s="367">
        <v>17989234.879999999</v>
      </c>
      <c r="I470" s="367"/>
      <c r="J470" s="64"/>
      <c r="L470" s="367">
        <v>14544914.976201905</v>
      </c>
    </row>
    <row r="471" spans="1:12">
      <c r="A471" s="277">
        <v>320</v>
      </c>
      <c r="B471" s="275">
        <v>100</v>
      </c>
      <c r="C471" s="275">
        <v>100</v>
      </c>
      <c r="D471" s="275">
        <v>100</v>
      </c>
      <c r="E471" s="275">
        <v>90</v>
      </c>
      <c r="F471" s="276">
        <v>10</v>
      </c>
      <c r="G471" s="94" t="s">
        <v>1129</v>
      </c>
      <c r="H471" s="367">
        <v>0</v>
      </c>
      <c r="I471" s="367"/>
      <c r="J471" s="64"/>
      <c r="L471" s="367"/>
    </row>
    <row r="472" spans="1:12">
      <c r="A472" s="277">
        <v>320</v>
      </c>
      <c r="B472" s="275">
        <v>100</v>
      </c>
      <c r="C472" s="275">
        <v>100</v>
      </c>
      <c r="D472" s="275">
        <v>200</v>
      </c>
      <c r="E472" s="275"/>
      <c r="F472" s="275"/>
      <c r="G472" s="63" t="s">
        <v>1130</v>
      </c>
      <c r="H472" s="366"/>
      <c r="I472" s="366"/>
      <c r="J472" s="64" t="s">
        <v>1131</v>
      </c>
      <c r="L472" s="366"/>
    </row>
    <row r="473" spans="1:12" s="86" customFormat="1" ht="12.75">
      <c r="A473" s="277">
        <v>320</v>
      </c>
      <c r="B473" s="275">
        <v>100</v>
      </c>
      <c r="C473" s="275">
        <v>100</v>
      </c>
      <c r="D473" s="275">
        <v>200</v>
      </c>
      <c r="E473" s="276">
        <v>10</v>
      </c>
      <c r="F473" s="276"/>
      <c r="G473" s="94" t="s">
        <v>1114</v>
      </c>
      <c r="H473" s="367">
        <v>1851048.77</v>
      </c>
      <c r="I473" s="367"/>
      <c r="J473" s="64"/>
      <c r="L473" s="367">
        <v>1583676.8337447857</v>
      </c>
    </row>
    <row r="474" spans="1:12">
      <c r="A474" s="277">
        <v>320</v>
      </c>
      <c r="B474" s="275">
        <v>100</v>
      </c>
      <c r="C474" s="275">
        <v>100</v>
      </c>
      <c r="D474" s="275">
        <v>200</v>
      </c>
      <c r="E474" s="276">
        <v>20</v>
      </c>
      <c r="F474" s="276"/>
      <c r="G474" s="94" t="s">
        <v>1115</v>
      </c>
      <c r="H474" s="367">
        <v>480890.05</v>
      </c>
      <c r="I474" s="367"/>
      <c r="J474" s="64"/>
      <c r="L474" s="367">
        <v>486688.48750105308</v>
      </c>
    </row>
    <row r="475" spans="1:12">
      <c r="A475" s="277">
        <v>320</v>
      </c>
      <c r="B475" s="275">
        <v>100</v>
      </c>
      <c r="C475" s="275">
        <v>100</v>
      </c>
      <c r="D475" s="275">
        <v>200</v>
      </c>
      <c r="E475" s="275">
        <v>30</v>
      </c>
      <c r="F475" s="275"/>
      <c r="G475" s="95" t="s">
        <v>1116</v>
      </c>
      <c r="H475" s="366"/>
      <c r="I475" s="366"/>
      <c r="J475" s="64"/>
      <c r="L475" s="366"/>
    </row>
    <row r="476" spans="1:12">
      <c r="A476" s="277">
        <v>320</v>
      </c>
      <c r="B476" s="275">
        <v>100</v>
      </c>
      <c r="C476" s="275">
        <v>100</v>
      </c>
      <c r="D476" s="275">
        <v>200</v>
      </c>
      <c r="E476" s="275">
        <v>30</v>
      </c>
      <c r="F476" s="276">
        <v>5</v>
      </c>
      <c r="G476" s="94" t="s">
        <v>1117</v>
      </c>
      <c r="H476" s="367">
        <v>136989.56</v>
      </c>
      <c r="I476" s="367"/>
      <c r="J476" s="64"/>
      <c r="L476" s="367">
        <v>152744.24790403253</v>
      </c>
    </row>
    <row r="477" spans="1:12">
      <c r="A477" s="277">
        <v>320</v>
      </c>
      <c r="B477" s="275">
        <v>100</v>
      </c>
      <c r="C477" s="275">
        <v>100</v>
      </c>
      <c r="D477" s="275">
        <v>200</v>
      </c>
      <c r="E477" s="275">
        <v>30</v>
      </c>
      <c r="F477" s="276">
        <v>10</v>
      </c>
      <c r="G477" s="94" t="s">
        <v>1118</v>
      </c>
      <c r="H477" s="367">
        <v>0</v>
      </c>
      <c r="I477" s="367"/>
      <c r="J477" s="64"/>
      <c r="L477" s="367"/>
    </row>
    <row r="478" spans="1:12">
      <c r="A478" s="277">
        <v>320</v>
      </c>
      <c r="B478" s="275">
        <v>100</v>
      </c>
      <c r="C478" s="275">
        <v>100</v>
      </c>
      <c r="D478" s="275">
        <v>200</v>
      </c>
      <c r="E478" s="275">
        <v>40</v>
      </c>
      <c r="F478" s="275"/>
      <c r="G478" s="95" t="s">
        <v>1119</v>
      </c>
      <c r="H478" s="366"/>
      <c r="I478" s="366"/>
      <c r="J478" s="64"/>
      <c r="L478" s="366"/>
    </row>
    <row r="479" spans="1:12" s="86" customFormat="1" ht="12.75">
      <c r="A479" s="277">
        <v>320</v>
      </c>
      <c r="B479" s="275">
        <v>100</v>
      </c>
      <c r="C479" s="275">
        <v>100</v>
      </c>
      <c r="D479" s="275">
        <v>200</v>
      </c>
      <c r="E479" s="275">
        <v>40</v>
      </c>
      <c r="F479" s="276">
        <v>5</v>
      </c>
      <c r="G479" s="94" t="s">
        <v>1120</v>
      </c>
      <c r="H479" s="367">
        <v>491239.96</v>
      </c>
      <c r="I479" s="367"/>
      <c r="J479" s="64"/>
      <c r="L479" s="367">
        <v>85310.253142615969</v>
      </c>
    </row>
    <row r="480" spans="1:12" s="86" customFormat="1" ht="12.75">
      <c r="A480" s="277">
        <v>320</v>
      </c>
      <c r="B480" s="275">
        <v>100</v>
      </c>
      <c r="C480" s="275">
        <v>100</v>
      </c>
      <c r="D480" s="275">
        <v>200</v>
      </c>
      <c r="E480" s="275">
        <v>40</v>
      </c>
      <c r="F480" s="276">
        <v>10</v>
      </c>
      <c r="G480" s="94" t="s">
        <v>1121</v>
      </c>
      <c r="H480" s="367">
        <v>0</v>
      </c>
      <c r="I480" s="367"/>
      <c r="J480" s="64"/>
      <c r="L480" s="367"/>
    </row>
    <row r="481" spans="1:12" s="86" customFormat="1" ht="12.75">
      <c r="A481" s="277">
        <v>320</v>
      </c>
      <c r="B481" s="275">
        <v>100</v>
      </c>
      <c r="C481" s="275">
        <v>100</v>
      </c>
      <c r="D481" s="275">
        <v>200</v>
      </c>
      <c r="E481" s="275">
        <v>50</v>
      </c>
      <c r="F481" s="275"/>
      <c r="G481" s="95" t="s">
        <v>1122</v>
      </c>
      <c r="H481" s="366"/>
      <c r="I481" s="366"/>
      <c r="J481" s="64"/>
      <c r="L481" s="366"/>
    </row>
    <row r="482" spans="1:12" s="86" customFormat="1" ht="12.75">
      <c r="A482" s="277">
        <v>320</v>
      </c>
      <c r="B482" s="275">
        <v>100</v>
      </c>
      <c r="C482" s="275">
        <v>100</v>
      </c>
      <c r="D482" s="275">
        <v>200</v>
      </c>
      <c r="E482" s="275">
        <v>50</v>
      </c>
      <c r="F482" s="276">
        <v>5</v>
      </c>
      <c r="G482" s="94" t="s">
        <v>1123</v>
      </c>
      <c r="H482" s="367">
        <v>0</v>
      </c>
      <c r="I482" s="367"/>
      <c r="J482" s="64"/>
      <c r="L482" s="367"/>
    </row>
    <row r="483" spans="1:12" s="86" customFormat="1" ht="12.75">
      <c r="A483" s="277">
        <v>320</v>
      </c>
      <c r="B483" s="275">
        <v>100</v>
      </c>
      <c r="C483" s="275">
        <v>100</v>
      </c>
      <c r="D483" s="275">
        <v>200</v>
      </c>
      <c r="E483" s="275">
        <v>50</v>
      </c>
      <c r="F483" s="276">
        <v>10</v>
      </c>
      <c r="G483" s="94" t="s">
        <v>1124</v>
      </c>
      <c r="H483" s="367">
        <v>0</v>
      </c>
      <c r="I483" s="367"/>
      <c r="J483" s="64"/>
      <c r="L483" s="367"/>
    </row>
    <row r="484" spans="1:12" s="86" customFormat="1" ht="12.75">
      <c r="A484" s="277">
        <v>320</v>
      </c>
      <c r="B484" s="275">
        <v>100</v>
      </c>
      <c r="C484" s="275">
        <v>100</v>
      </c>
      <c r="D484" s="275">
        <v>200</v>
      </c>
      <c r="E484" s="275">
        <v>50</v>
      </c>
      <c r="F484" s="276">
        <v>15</v>
      </c>
      <c r="G484" s="94" t="s">
        <v>1125</v>
      </c>
      <c r="H484" s="367">
        <v>8.23</v>
      </c>
      <c r="I484" s="367"/>
      <c r="J484" s="64"/>
      <c r="L484" s="367">
        <v>14866.894197952217</v>
      </c>
    </row>
    <row r="485" spans="1:12" s="86" customFormat="1" ht="12.75">
      <c r="A485" s="277">
        <v>320</v>
      </c>
      <c r="B485" s="275">
        <v>100</v>
      </c>
      <c r="C485" s="275">
        <v>100</v>
      </c>
      <c r="D485" s="275">
        <v>200</v>
      </c>
      <c r="E485" s="275">
        <v>50</v>
      </c>
      <c r="F485" s="276">
        <v>20</v>
      </c>
      <c r="G485" s="94" t="s">
        <v>1126</v>
      </c>
      <c r="H485" s="367"/>
      <c r="I485" s="367"/>
      <c r="J485" s="64"/>
      <c r="L485" s="367">
        <v>9911.2627986348125</v>
      </c>
    </row>
    <row r="486" spans="1:12" s="86" customFormat="1" ht="12.75">
      <c r="A486" s="277">
        <v>320</v>
      </c>
      <c r="B486" s="275">
        <v>100</v>
      </c>
      <c r="C486" s="275">
        <v>100</v>
      </c>
      <c r="D486" s="275">
        <v>200</v>
      </c>
      <c r="E486" s="275">
        <v>90</v>
      </c>
      <c r="F486" s="275"/>
      <c r="G486" s="95" t="s">
        <v>1127</v>
      </c>
      <c r="H486" s="366"/>
      <c r="I486" s="366"/>
      <c r="J486" s="64"/>
      <c r="L486" s="366"/>
    </row>
    <row r="487" spans="1:12" s="86" customFormat="1" ht="12.75">
      <c r="A487" s="277">
        <v>320</v>
      </c>
      <c r="B487" s="275">
        <v>100</v>
      </c>
      <c r="C487" s="275">
        <v>100</v>
      </c>
      <c r="D487" s="275">
        <v>200</v>
      </c>
      <c r="E487" s="275">
        <v>90</v>
      </c>
      <c r="F487" s="276">
        <v>5</v>
      </c>
      <c r="G487" s="94" t="s">
        <v>1128</v>
      </c>
      <c r="H487" s="367">
        <v>820319.2</v>
      </c>
      <c r="I487" s="367"/>
      <c r="J487" s="64"/>
      <c r="L487" s="367">
        <v>737178.87514241633</v>
      </c>
    </row>
    <row r="488" spans="1:12">
      <c r="A488" s="277">
        <v>320</v>
      </c>
      <c r="B488" s="275">
        <v>100</v>
      </c>
      <c r="C488" s="275">
        <v>100</v>
      </c>
      <c r="D488" s="275">
        <v>200</v>
      </c>
      <c r="E488" s="275">
        <v>90</v>
      </c>
      <c r="F488" s="276">
        <v>10</v>
      </c>
      <c r="G488" s="94" t="s">
        <v>1129</v>
      </c>
      <c r="H488" s="367">
        <v>0</v>
      </c>
      <c r="I488" s="367"/>
      <c r="J488" s="64"/>
      <c r="L488" s="367"/>
    </row>
    <row r="489" spans="1:12">
      <c r="A489" s="277">
        <v>320</v>
      </c>
      <c r="B489" s="275">
        <v>100</v>
      </c>
      <c r="C489" s="275">
        <v>100</v>
      </c>
      <c r="D489" s="276">
        <v>300</v>
      </c>
      <c r="E489" s="276"/>
      <c r="F489" s="276"/>
      <c r="G489" s="66" t="s">
        <v>1132</v>
      </c>
      <c r="H489" s="367">
        <v>0</v>
      </c>
      <c r="I489" s="367"/>
      <c r="J489" s="64" t="s">
        <v>1133</v>
      </c>
      <c r="L489" s="367"/>
    </row>
    <row r="490" spans="1:12">
      <c r="A490" s="277">
        <v>320</v>
      </c>
      <c r="B490" s="275">
        <v>100</v>
      </c>
      <c r="C490" s="275">
        <v>200</v>
      </c>
      <c r="D490" s="275"/>
      <c r="E490" s="275"/>
      <c r="F490" s="275"/>
      <c r="G490" s="63" t="s">
        <v>1134</v>
      </c>
      <c r="H490" s="366"/>
      <c r="I490" s="366"/>
      <c r="J490" s="64" t="s">
        <v>1135</v>
      </c>
      <c r="L490" s="366"/>
    </row>
    <row r="491" spans="1:12">
      <c r="A491" s="277">
        <v>320</v>
      </c>
      <c r="B491" s="275">
        <v>100</v>
      </c>
      <c r="C491" s="275">
        <v>200</v>
      </c>
      <c r="D491" s="275">
        <v>100</v>
      </c>
      <c r="E491" s="275"/>
      <c r="F491" s="275"/>
      <c r="G491" s="63" t="s">
        <v>1136</v>
      </c>
      <c r="H491" s="366"/>
      <c r="I491" s="366"/>
      <c r="J491" s="64" t="s">
        <v>1137</v>
      </c>
      <c r="L491" s="366"/>
    </row>
    <row r="492" spans="1:12" s="86" customFormat="1" ht="12.75">
      <c r="A492" s="277">
        <v>320</v>
      </c>
      <c r="B492" s="275">
        <v>100</v>
      </c>
      <c r="C492" s="275">
        <v>200</v>
      </c>
      <c r="D492" s="275">
        <v>100</v>
      </c>
      <c r="E492" s="276">
        <v>10</v>
      </c>
      <c r="F492" s="276"/>
      <c r="G492" s="94" t="s">
        <v>1114</v>
      </c>
      <c r="H492" s="367">
        <v>6050719.5700000003</v>
      </c>
      <c r="I492" s="367"/>
      <c r="J492" s="64"/>
      <c r="L492" s="367">
        <v>1205060.044666667</v>
      </c>
    </row>
    <row r="493" spans="1:12" s="86" customFormat="1" ht="12.75">
      <c r="A493" s="277">
        <v>320</v>
      </c>
      <c r="B493" s="275">
        <v>100</v>
      </c>
      <c r="C493" s="275">
        <v>200</v>
      </c>
      <c r="D493" s="275">
        <v>100</v>
      </c>
      <c r="E493" s="276">
        <v>20</v>
      </c>
      <c r="F493" s="276"/>
      <c r="G493" s="94" t="s">
        <v>1115</v>
      </c>
      <c r="H493" s="367">
        <v>980509.06</v>
      </c>
      <c r="I493" s="367"/>
      <c r="J493" s="64"/>
      <c r="L493" s="367">
        <v>176475.25797020705</v>
      </c>
    </row>
    <row r="494" spans="1:12" s="86" customFormat="1" ht="12.75">
      <c r="A494" s="277">
        <v>320</v>
      </c>
      <c r="B494" s="275">
        <v>100</v>
      </c>
      <c r="C494" s="275">
        <v>200</v>
      </c>
      <c r="D494" s="275">
        <v>100</v>
      </c>
      <c r="E494" s="276">
        <v>30</v>
      </c>
      <c r="F494" s="276"/>
      <c r="G494" s="94" t="s">
        <v>1138</v>
      </c>
      <c r="H494" s="367">
        <v>859912.08</v>
      </c>
      <c r="I494" s="367"/>
      <c r="J494" s="64"/>
      <c r="L494" s="367">
        <v>118226.71095500363</v>
      </c>
    </row>
    <row r="495" spans="1:12" s="86" customFormat="1" ht="12.75">
      <c r="A495" s="277">
        <v>320</v>
      </c>
      <c r="B495" s="275">
        <v>100</v>
      </c>
      <c r="C495" s="275">
        <v>200</v>
      </c>
      <c r="D495" s="275">
        <v>100</v>
      </c>
      <c r="E495" s="276">
        <v>40</v>
      </c>
      <c r="F495" s="276"/>
      <c r="G495" s="94" t="s">
        <v>1139</v>
      </c>
      <c r="H495" s="367">
        <v>113776.32000000001</v>
      </c>
      <c r="I495" s="367"/>
      <c r="J495" s="64"/>
      <c r="L495" s="367">
        <v>20323.596012841215</v>
      </c>
    </row>
    <row r="496" spans="1:12" s="86" customFormat="1" ht="12.75">
      <c r="A496" s="277">
        <v>320</v>
      </c>
      <c r="B496" s="275">
        <v>100</v>
      </c>
      <c r="C496" s="275">
        <v>200</v>
      </c>
      <c r="D496" s="275">
        <v>100</v>
      </c>
      <c r="E496" s="275">
        <v>50</v>
      </c>
      <c r="F496" s="275"/>
      <c r="G496" s="95" t="s">
        <v>1140</v>
      </c>
      <c r="H496" s="366"/>
      <c r="I496" s="366"/>
      <c r="J496" s="64"/>
      <c r="L496" s="366"/>
    </row>
    <row r="497" spans="1:12" s="86" customFormat="1" ht="12.75">
      <c r="A497" s="277">
        <v>320</v>
      </c>
      <c r="B497" s="275">
        <v>100</v>
      </c>
      <c r="C497" s="275">
        <v>200</v>
      </c>
      <c r="D497" s="275">
        <v>100</v>
      </c>
      <c r="E497" s="275">
        <v>50</v>
      </c>
      <c r="F497" s="276">
        <v>5</v>
      </c>
      <c r="G497" s="94" t="s">
        <v>1123</v>
      </c>
      <c r="H497" s="367">
        <v>0</v>
      </c>
      <c r="I497" s="367"/>
      <c r="J497" s="64"/>
      <c r="L497" s="367"/>
    </row>
    <row r="498" spans="1:12" s="86" customFormat="1" ht="12.75">
      <c r="A498" s="277">
        <v>320</v>
      </c>
      <c r="B498" s="275">
        <v>100</v>
      </c>
      <c r="C498" s="275">
        <v>200</v>
      </c>
      <c r="D498" s="275">
        <v>100</v>
      </c>
      <c r="E498" s="275">
        <v>50</v>
      </c>
      <c r="F498" s="276">
        <v>10</v>
      </c>
      <c r="G498" s="94" t="s">
        <v>1124</v>
      </c>
      <c r="H498" s="367">
        <v>0</v>
      </c>
      <c r="I498" s="367"/>
      <c r="J498" s="64"/>
      <c r="L498" s="367"/>
    </row>
    <row r="499" spans="1:12" s="86" customFormat="1" ht="12.75">
      <c r="A499" s="277">
        <v>320</v>
      </c>
      <c r="B499" s="275">
        <v>100</v>
      </c>
      <c r="C499" s="275">
        <v>200</v>
      </c>
      <c r="D499" s="275">
        <v>100</v>
      </c>
      <c r="E499" s="275">
        <v>50</v>
      </c>
      <c r="F499" s="276">
        <v>15</v>
      </c>
      <c r="G499" s="94" t="s">
        <v>1141</v>
      </c>
      <c r="H499" s="367">
        <v>2639.94</v>
      </c>
      <c r="I499" s="367"/>
      <c r="J499" s="64"/>
      <c r="L499" s="367"/>
    </row>
    <row r="500" spans="1:12">
      <c r="A500" s="277">
        <v>320</v>
      </c>
      <c r="B500" s="275">
        <v>100</v>
      </c>
      <c r="C500" s="275">
        <v>200</v>
      </c>
      <c r="D500" s="275">
        <v>100</v>
      </c>
      <c r="E500" s="276">
        <v>90</v>
      </c>
      <c r="F500" s="276"/>
      <c r="G500" s="94" t="s">
        <v>1142</v>
      </c>
      <c r="H500" s="367">
        <v>2868313.28</v>
      </c>
      <c r="I500" s="367"/>
      <c r="J500" s="64"/>
      <c r="L500" s="367">
        <v>447817.2205895501</v>
      </c>
    </row>
    <row r="501" spans="1:12" s="86" customFormat="1" ht="12.75">
      <c r="A501" s="277">
        <v>320</v>
      </c>
      <c r="B501" s="275">
        <v>100</v>
      </c>
      <c r="C501" s="275">
        <v>200</v>
      </c>
      <c r="D501" s="275">
        <v>200</v>
      </c>
      <c r="E501" s="275"/>
      <c r="F501" s="275"/>
      <c r="G501" s="63" t="s">
        <v>1143</v>
      </c>
      <c r="H501" s="366"/>
      <c r="I501" s="366"/>
      <c r="J501" s="64" t="s">
        <v>1144</v>
      </c>
      <c r="L501" s="366"/>
    </row>
    <row r="502" spans="1:12" s="86" customFormat="1" ht="12.75">
      <c r="A502" s="277">
        <v>320</v>
      </c>
      <c r="B502" s="275">
        <v>100</v>
      </c>
      <c r="C502" s="275">
        <v>200</v>
      </c>
      <c r="D502" s="275">
        <v>200</v>
      </c>
      <c r="E502" s="276">
        <v>10</v>
      </c>
      <c r="F502" s="276"/>
      <c r="G502" s="94" t="s">
        <v>1114</v>
      </c>
      <c r="H502" s="367">
        <v>177755.68</v>
      </c>
      <c r="I502" s="367"/>
      <c r="J502" s="64"/>
      <c r="L502" s="367">
        <v>36766.79066666666</v>
      </c>
    </row>
    <row r="503" spans="1:12" s="86" customFormat="1" ht="12.75">
      <c r="A503" s="277">
        <v>320</v>
      </c>
      <c r="B503" s="275">
        <v>100</v>
      </c>
      <c r="C503" s="275">
        <v>200</v>
      </c>
      <c r="D503" s="275">
        <v>200</v>
      </c>
      <c r="E503" s="276">
        <v>20</v>
      </c>
      <c r="F503" s="276"/>
      <c r="G503" s="94" t="s">
        <v>1115</v>
      </c>
      <c r="H503" s="367">
        <v>6750.28</v>
      </c>
      <c r="I503" s="367"/>
      <c r="J503" s="64"/>
      <c r="L503" s="367">
        <v>5384.3199733930032</v>
      </c>
    </row>
    <row r="504" spans="1:12" s="86" customFormat="1" ht="12.75">
      <c r="A504" s="277">
        <v>320</v>
      </c>
      <c r="B504" s="275">
        <v>100</v>
      </c>
      <c r="C504" s="275">
        <v>200</v>
      </c>
      <c r="D504" s="275">
        <v>200</v>
      </c>
      <c r="E504" s="276">
        <v>30</v>
      </c>
      <c r="F504" s="276"/>
      <c r="G504" s="94" t="s">
        <v>1138</v>
      </c>
      <c r="H504" s="367">
        <v>46656.66</v>
      </c>
      <c r="I504" s="367"/>
      <c r="J504" s="64"/>
      <c r="L504" s="367">
        <v>3607.1370485887301</v>
      </c>
    </row>
    <row r="505" spans="1:12" s="86" customFormat="1" ht="12.75">
      <c r="A505" s="277">
        <v>320</v>
      </c>
      <c r="B505" s="275">
        <v>100</v>
      </c>
      <c r="C505" s="275">
        <v>200</v>
      </c>
      <c r="D505" s="275">
        <v>200</v>
      </c>
      <c r="E505" s="276">
        <v>40</v>
      </c>
      <c r="F505" s="276"/>
      <c r="G505" s="94" t="s">
        <v>1139</v>
      </c>
      <c r="H505" s="367">
        <v>40127.040000000001</v>
      </c>
      <c r="I505" s="367"/>
      <c r="J505" s="64"/>
      <c r="L505" s="367">
        <v>620.07980723045819</v>
      </c>
    </row>
    <row r="506" spans="1:12" s="86" customFormat="1" ht="12.75">
      <c r="A506" s="277">
        <v>320</v>
      </c>
      <c r="B506" s="275">
        <v>100</v>
      </c>
      <c r="C506" s="275">
        <v>200</v>
      </c>
      <c r="D506" s="275">
        <v>200</v>
      </c>
      <c r="E506" s="275">
        <v>50</v>
      </c>
      <c r="F506" s="275"/>
      <c r="G506" s="95" t="s">
        <v>1140</v>
      </c>
      <c r="H506" s="366"/>
      <c r="I506" s="366"/>
      <c r="J506" s="64"/>
      <c r="L506" s="366"/>
    </row>
    <row r="507" spans="1:12" s="86" customFormat="1" ht="12.75">
      <c r="A507" s="277">
        <v>320</v>
      </c>
      <c r="B507" s="275">
        <v>100</v>
      </c>
      <c r="C507" s="275">
        <v>200</v>
      </c>
      <c r="D507" s="275">
        <v>200</v>
      </c>
      <c r="E507" s="275">
        <v>50</v>
      </c>
      <c r="F507" s="276">
        <v>5</v>
      </c>
      <c r="G507" s="94" t="s">
        <v>1123</v>
      </c>
      <c r="H507" s="367">
        <v>0</v>
      </c>
      <c r="I507" s="367"/>
      <c r="J507" s="64"/>
      <c r="L507" s="367"/>
    </row>
    <row r="508" spans="1:12" s="86" customFormat="1" ht="12.75">
      <c r="A508" s="277">
        <v>320</v>
      </c>
      <c r="B508" s="275">
        <v>100</v>
      </c>
      <c r="C508" s="275">
        <v>200</v>
      </c>
      <c r="D508" s="275">
        <v>200</v>
      </c>
      <c r="E508" s="275">
        <v>50</v>
      </c>
      <c r="F508" s="276">
        <v>10</v>
      </c>
      <c r="G508" s="94" t="s">
        <v>1124</v>
      </c>
      <c r="H508" s="367">
        <v>0</v>
      </c>
      <c r="I508" s="367"/>
      <c r="J508" s="64"/>
      <c r="L508" s="367"/>
    </row>
    <row r="509" spans="1:12" s="86" customFormat="1" ht="12.75">
      <c r="A509" s="277">
        <v>320</v>
      </c>
      <c r="B509" s="275">
        <v>100</v>
      </c>
      <c r="C509" s="275">
        <v>200</v>
      </c>
      <c r="D509" s="275">
        <v>200</v>
      </c>
      <c r="E509" s="275">
        <v>50</v>
      </c>
      <c r="F509" s="276">
        <v>15</v>
      </c>
      <c r="G509" s="94" t="s">
        <v>1141</v>
      </c>
      <c r="H509" s="367">
        <v>0</v>
      </c>
      <c r="I509" s="367"/>
      <c r="J509" s="64"/>
      <c r="L509" s="367"/>
    </row>
    <row r="510" spans="1:12" s="86" customFormat="1" ht="12.75">
      <c r="A510" s="277">
        <v>320</v>
      </c>
      <c r="B510" s="275">
        <v>100</v>
      </c>
      <c r="C510" s="275">
        <v>200</v>
      </c>
      <c r="D510" s="275">
        <v>200</v>
      </c>
      <c r="E510" s="276">
        <v>90</v>
      </c>
      <c r="F510" s="276"/>
      <c r="G510" s="94" t="s">
        <v>1142</v>
      </c>
      <c r="H510" s="367">
        <v>107283.08</v>
      </c>
      <c r="I510" s="367"/>
      <c r="J510" s="64"/>
      <c r="L510" s="367">
        <v>14307.714032478629</v>
      </c>
    </row>
    <row r="511" spans="1:12">
      <c r="A511" s="277">
        <v>320</v>
      </c>
      <c r="B511" s="275">
        <v>100</v>
      </c>
      <c r="C511" s="275">
        <v>200</v>
      </c>
      <c r="D511" s="276">
        <v>300</v>
      </c>
      <c r="E511" s="276"/>
      <c r="F511" s="276"/>
      <c r="G511" s="66" t="s">
        <v>1132</v>
      </c>
      <c r="H511" s="367">
        <v>0</v>
      </c>
      <c r="I511" s="367"/>
      <c r="J511" s="64" t="s">
        <v>1145</v>
      </c>
      <c r="L511" s="367"/>
    </row>
    <row r="512" spans="1:12">
      <c r="A512" s="277">
        <v>320</v>
      </c>
      <c r="B512" s="275">
        <v>200</v>
      </c>
      <c r="C512" s="275"/>
      <c r="D512" s="275"/>
      <c r="E512" s="275"/>
      <c r="F512" s="275"/>
      <c r="G512" s="84" t="s">
        <v>1146</v>
      </c>
      <c r="H512" s="366"/>
      <c r="I512" s="366"/>
      <c r="J512" s="64" t="s">
        <v>1147</v>
      </c>
      <c r="L512" s="366"/>
    </row>
    <row r="513" spans="1:12" s="86" customFormat="1" ht="12.75">
      <c r="A513" s="277">
        <v>320</v>
      </c>
      <c r="B513" s="275">
        <v>200</v>
      </c>
      <c r="C513" s="275">
        <v>100</v>
      </c>
      <c r="D513" s="275"/>
      <c r="E513" s="275"/>
      <c r="F513" s="275"/>
      <c r="G513" s="63" t="s">
        <v>1148</v>
      </c>
      <c r="H513" s="366"/>
      <c r="I513" s="366"/>
      <c r="J513" s="64" t="s">
        <v>1149</v>
      </c>
      <c r="L513" s="366"/>
    </row>
    <row r="514" spans="1:12" s="86" customFormat="1" ht="12.75">
      <c r="A514" s="277">
        <v>320</v>
      </c>
      <c r="B514" s="275">
        <v>200</v>
      </c>
      <c r="C514" s="275">
        <v>100</v>
      </c>
      <c r="D514" s="276">
        <v>100</v>
      </c>
      <c r="E514" s="276"/>
      <c r="F514" s="276"/>
      <c r="G514" s="94" t="s">
        <v>1114</v>
      </c>
      <c r="H514" s="367">
        <v>73570754.489999995</v>
      </c>
      <c r="I514" s="367"/>
      <c r="J514" s="64"/>
      <c r="L514" s="367">
        <v>50375268.021529257</v>
      </c>
    </row>
    <row r="515" spans="1:12" s="86" customFormat="1" ht="12.75">
      <c r="A515" s="277">
        <v>320</v>
      </c>
      <c r="B515" s="275">
        <v>200</v>
      </c>
      <c r="C515" s="275">
        <v>100</v>
      </c>
      <c r="D515" s="276">
        <v>200</v>
      </c>
      <c r="E515" s="276"/>
      <c r="F515" s="276"/>
      <c r="G515" s="94" t="s">
        <v>1150</v>
      </c>
      <c r="H515" s="367">
        <v>926495.91</v>
      </c>
      <c r="I515" s="367"/>
      <c r="J515" s="64"/>
      <c r="L515" s="367">
        <v>582669.79602788016</v>
      </c>
    </row>
    <row r="516" spans="1:12" s="86" customFormat="1" ht="12.75">
      <c r="A516" s="277">
        <v>320</v>
      </c>
      <c r="B516" s="275">
        <v>200</v>
      </c>
      <c r="C516" s="275">
        <v>100</v>
      </c>
      <c r="D516" s="276">
        <v>300</v>
      </c>
      <c r="E516" s="276"/>
      <c r="F516" s="276"/>
      <c r="G516" s="94" t="s">
        <v>1151</v>
      </c>
      <c r="H516" s="367">
        <v>13934245.92</v>
      </c>
      <c r="I516" s="367"/>
      <c r="J516" s="64"/>
      <c r="L516" s="367">
        <v>7416739.4094249494</v>
      </c>
    </row>
    <row r="517" spans="1:12" s="86" customFormat="1" ht="12.75">
      <c r="A517" s="277">
        <v>320</v>
      </c>
      <c r="B517" s="275">
        <v>200</v>
      </c>
      <c r="C517" s="275">
        <v>100</v>
      </c>
      <c r="D517" s="276">
        <v>400</v>
      </c>
      <c r="E517" s="276"/>
      <c r="F517" s="276"/>
      <c r="G517" s="94" t="s">
        <v>1152</v>
      </c>
      <c r="H517" s="367">
        <v>8145266.5700000003</v>
      </c>
      <c r="I517" s="367"/>
      <c r="J517" s="64"/>
      <c r="L517" s="367">
        <v>3959770.2393223066</v>
      </c>
    </row>
    <row r="518" spans="1:12" s="86" customFormat="1" ht="12.75">
      <c r="A518" s="277">
        <v>320</v>
      </c>
      <c r="B518" s="275">
        <v>200</v>
      </c>
      <c r="C518" s="275">
        <v>100</v>
      </c>
      <c r="D518" s="276">
        <v>500</v>
      </c>
      <c r="E518" s="276"/>
      <c r="F518" s="276"/>
      <c r="G518" s="94" t="s">
        <v>1139</v>
      </c>
      <c r="H518" s="367">
        <v>5412042.6500000004</v>
      </c>
      <c r="I518" s="367"/>
      <c r="J518" s="64"/>
      <c r="L518" s="367">
        <v>3062656.3786312011</v>
      </c>
    </row>
    <row r="519" spans="1:12" s="86" customFormat="1" ht="12.75">
      <c r="A519" s="277">
        <v>320</v>
      </c>
      <c r="B519" s="275">
        <v>200</v>
      </c>
      <c r="C519" s="275">
        <v>100</v>
      </c>
      <c r="D519" s="275">
        <v>600</v>
      </c>
      <c r="E519" s="275"/>
      <c r="F519" s="275"/>
      <c r="G519" s="95" t="s">
        <v>1122</v>
      </c>
      <c r="H519" s="367">
        <v>0</v>
      </c>
      <c r="I519" s="367"/>
      <c r="J519" s="64"/>
      <c r="L519" s="367"/>
    </row>
    <row r="520" spans="1:12" s="86" customFormat="1" ht="12.75">
      <c r="A520" s="277">
        <v>320</v>
      </c>
      <c r="B520" s="275">
        <v>200</v>
      </c>
      <c r="C520" s="275">
        <v>100</v>
      </c>
      <c r="D520" s="275">
        <v>600</v>
      </c>
      <c r="E520" s="276">
        <v>5</v>
      </c>
      <c r="F520" s="276"/>
      <c r="G520" s="94" t="s">
        <v>1123</v>
      </c>
      <c r="H520" s="367">
        <v>0</v>
      </c>
      <c r="I520" s="367"/>
      <c r="J520" s="64"/>
      <c r="L520" s="367"/>
    </row>
    <row r="521" spans="1:12" s="86" customFormat="1" ht="12.75">
      <c r="A521" s="277">
        <v>320</v>
      </c>
      <c r="B521" s="275">
        <v>200</v>
      </c>
      <c r="C521" s="275">
        <v>100</v>
      </c>
      <c r="D521" s="275">
        <v>600</v>
      </c>
      <c r="E521" s="276">
        <v>10</v>
      </c>
      <c r="F521" s="276"/>
      <c r="G521" s="94" t="s">
        <v>1124</v>
      </c>
      <c r="H521" s="367">
        <v>0</v>
      </c>
      <c r="I521" s="367"/>
      <c r="J521" s="64"/>
      <c r="L521" s="367"/>
    </row>
    <row r="522" spans="1:12" s="86" customFormat="1" ht="12.75">
      <c r="A522" s="277">
        <v>320</v>
      </c>
      <c r="B522" s="275">
        <v>200</v>
      </c>
      <c r="C522" s="275">
        <v>100</v>
      </c>
      <c r="D522" s="275">
        <v>600</v>
      </c>
      <c r="E522" s="276">
        <v>15</v>
      </c>
      <c r="F522" s="276"/>
      <c r="G522" s="94" t="s">
        <v>1153</v>
      </c>
      <c r="H522" s="367">
        <v>188677.87</v>
      </c>
      <c r="I522" s="367"/>
      <c r="J522" s="64"/>
      <c r="L522" s="367">
        <v>61128.593040847205</v>
      </c>
    </row>
    <row r="523" spans="1:12">
      <c r="A523" s="277">
        <v>320</v>
      </c>
      <c r="B523" s="275">
        <v>200</v>
      </c>
      <c r="C523" s="275">
        <v>100</v>
      </c>
      <c r="D523" s="276">
        <v>700</v>
      </c>
      <c r="E523" s="276"/>
      <c r="F523" s="276"/>
      <c r="G523" s="94" t="s">
        <v>1142</v>
      </c>
      <c r="H523" s="367">
        <v>28842277.550000001</v>
      </c>
      <c r="I523" s="367"/>
      <c r="J523" s="64"/>
      <c r="L523" s="367">
        <v>19166170.457839496</v>
      </c>
    </row>
    <row r="524" spans="1:12" s="86" customFormat="1" ht="12.75">
      <c r="A524" s="277">
        <v>320</v>
      </c>
      <c r="B524" s="275">
        <v>200</v>
      </c>
      <c r="C524" s="275">
        <v>200</v>
      </c>
      <c r="D524" s="275"/>
      <c r="E524" s="275"/>
      <c r="F524" s="275"/>
      <c r="G524" s="63" t="s">
        <v>1154</v>
      </c>
      <c r="H524" s="366"/>
      <c r="I524" s="366"/>
      <c r="J524" s="64" t="s">
        <v>1155</v>
      </c>
      <c r="L524" s="366"/>
    </row>
    <row r="525" spans="1:12" s="86" customFormat="1" ht="12.75">
      <c r="A525" s="277">
        <v>320</v>
      </c>
      <c r="B525" s="275">
        <v>200</v>
      </c>
      <c r="C525" s="275">
        <v>200</v>
      </c>
      <c r="D525" s="276">
        <v>100</v>
      </c>
      <c r="E525" s="276"/>
      <c r="F525" s="276"/>
      <c r="G525" s="94" t="s">
        <v>1114</v>
      </c>
      <c r="H525" s="367">
        <v>4471805.87</v>
      </c>
      <c r="I525" s="367"/>
      <c r="J525" s="64"/>
      <c r="L525" s="367">
        <v>3332479.8717829669</v>
      </c>
    </row>
    <row r="526" spans="1:12" s="86" customFormat="1" ht="12.75">
      <c r="A526" s="277">
        <v>320</v>
      </c>
      <c r="B526" s="275">
        <v>200</v>
      </c>
      <c r="C526" s="275">
        <v>200</v>
      </c>
      <c r="D526" s="276">
        <v>200</v>
      </c>
      <c r="E526" s="276"/>
      <c r="F526" s="276"/>
      <c r="G526" s="94" t="s">
        <v>1150</v>
      </c>
      <c r="H526" s="367">
        <v>71127.48</v>
      </c>
      <c r="I526" s="367"/>
      <c r="J526" s="64"/>
      <c r="L526" s="367">
        <v>38545.410147077389</v>
      </c>
    </row>
    <row r="527" spans="1:12" s="86" customFormat="1" ht="12.75">
      <c r="A527" s="277">
        <v>320</v>
      </c>
      <c r="B527" s="275">
        <v>200</v>
      </c>
      <c r="C527" s="275">
        <v>200</v>
      </c>
      <c r="D527" s="276">
        <v>300</v>
      </c>
      <c r="E527" s="276"/>
      <c r="F527" s="276"/>
      <c r="G527" s="94" t="s">
        <v>1151</v>
      </c>
      <c r="H527" s="367">
        <v>702840.68</v>
      </c>
      <c r="I527" s="367"/>
      <c r="J527" s="64"/>
      <c r="L527" s="367">
        <v>490640.26390102808</v>
      </c>
    </row>
    <row r="528" spans="1:12" s="86" customFormat="1" ht="12.75">
      <c r="A528" s="277">
        <v>320</v>
      </c>
      <c r="B528" s="275">
        <v>200</v>
      </c>
      <c r="C528" s="275">
        <v>200</v>
      </c>
      <c r="D528" s="276">
        <v>400</v>
      </c>
      <c r="E528" s="276"/>
      <c r="F528" s="276"/>
      <c r="G528" s="94" t="s">
        <v>1152</v>
      </c>
      <c r="H528" s="367">
        <v>282295.17</v>
      </c>
      <c r="I528" s="367"/>
      <c r="J528" s="64"/>
      <c r="L528" s="367">
        <v>261951.05530331266</v>
      </c>
    </row>
    <row r="529" spans="1:12" s="86" customFormat="1" ht="12.75">
      <c r="A529" s="277">
        <v>320</v>
      </c>
      <c r="B529" s="275">
        <v>200</v>
      </c>
      <c r="C529" s="275">
        <v>200</v>
      </c>
      <c r="D529" s="276">
        <v>500</v>
      </c>
      <c r="E529" s="276"/>
      <c r="F529" s="276"/>
      <c r="G529" s="94" t="s">
        <v>1139</v>
      </c>
      <c r="H529" s="367">
        <v>433791.47</v>
      </c>
      <c r="I529" s="367"/>
      <c r="J529" s="64"/>
      <c r="L529" s="367">
        <v>202604.19719482728</v>
      </c>
    </row>
    <row r="530" spans="1:12" s="86" customFormat="1" ht="12.75">
      <c r="A530" s="277">
        <v>320</v>
      </c>
      <c r="B530" s="275">
        <v>200</v>
      </c>
      <c r="C530" s="275">
        <v>200</v>
      </c>
      <c r="D530" s="275">
        <v>600</v>
      </c>
      <c r="E530" s="275"/>
      <c r="F530" s="275"/>
      <c r="G530" s="95" t="s">
        <v>1122</v>
      </c>
      <c r="H530" s="366"/>
      <c r="I530" s="366"/>
      <c r="J530" s="64"/>
      <c r="L530" s="366"/>
    </row>
    <row r="531" spans="1:12" s="86" customFormat="1" ht="12.75">
      <c r="A531" s="277">
        <v>320</v>
      </c>
      <c r="B531" s="275">
        <v>200</v>
      </c>
      <c r="C531" s="275">
        <v>200</v>
      </c>
      <c r="D531" s="276"/>
      <c r="E531" s="276">
        <v>5</v>
      </c>
      <c r="F531" s="276"/>
      <c r="G531" s="94" t="s">
        <v>1123</v>
      </c>
      <c r="H531" s="367">
        <v>0</v>
      </c>
      <c r="I531" s="367"/>
      <c r="J531" s="64"/>
      <c r="L531" s="367"/>
    </row>
    <row r="532" spans="1:12" s="86" customFormat="1" ht="12.75">
      <c r="A532" s="277">
        <v>320</v>
      </c>
      <c r="B532" s="275">
        <v>200</v>
      </c>
      <c r="C532" s="275">
        <v>200</v>
      </c>
      <c r="D532" s="276"/>
      <c r="E532" s="276">
        <v>10</v>
      </c>
      <c r="F532" s="276"/>
      <c r="G532" s="94" t="s">
        <v>1124</v>
      </c>
      <c r="H532" s="367">
        <v>0</v>
      </c>
      <c r="I532" s="367"/>
      <c r="J532" s="64"/>
      <c r="L532" s="367"/>
    </row>
    <row r="533" spans="1:12" s="86" customFormat="1" ht="12.75">
      <c r="A533" s="277">
        <v>320</v>
      </c>
      <c r="B533" s="275">
        <v>200</v>
      </c>
      <c r="C533" s="275">
        <v>200</v>
      </c>
      <c r="D533" s="276"/>
      <c r="E533" s="276">
        <v>15</v>
      </c>
      <c r="F533" s="276"/>
      <c r="G533" s="94" t="s">
        <v>1153</v>
      </c>
      <c r="H533" s="367">
        <v>3884.88</v>
      </c>
      <c r="I533" s="367"/>
      <c r="J533" s="64"/>
      <c r="L533" s="367"/>
    </row>
    <row r="534" spans="1:12">
      <c r="A534" s="277">
        <v>320</v>
      </c>
      <c r="B534" s="275">
        <v>200</v>
      </c>
      <c r="C534" s="275">
        <v>200</v>
      </c>
      <c r="D534" s="276">
        <v>700</v>
      </c>
      <c r="E534" s="276"/>
      <c r="F534" s="276"/>
      <c r="G534" s="94" t="s">
        <v>1142</v>
      </c>
      <c r="H534" s="367">
        <v>1831153.52</v>
      </c>
      <c r="I534" s="367"/>
      <c r="J534" s="64"/>
      <c r="L534" s="367">
        <v>1341128.4474820558</v>
      </c>
    </row>
    <row r="535" spans="1:12" s="79" customFormat="1" ht="15.75">
      <c r="A535" s="277">
        <v>320</v>
      </c>
      <c r="B535" s="275">
        <v>200</v>
      </c>
      <c r="C535" s="276">
        <v>300</v>
      </c>
      <c r="D535" s="276"/>
      <c r="E535" s="276"/>
      <c r="F535" s="276"/>
      <c r="G535" s="66" t="s">
        <v>1156</v>
      </c>
      <c r="H535" s="367">
        <v>0</v>
      </c>
      <c r="I535" s="367"/>
      <c r="J535" s="64" t="s">
        <v>1157</v>
      </c>
      <c r="L535" s="367"/>
    </row>
    <row r="536" spans="1:12">
      <c r="A536" s="272">
        <v>325</v>
      </c>
      <c r="B536" s="93">
        <v>0</v>
      </c>
      <c r="C536" s="93">
        <v>0</v>
      </c>
      <c r="D536" s="93">
        <v>0</v>
      </c>
      <c r="E536" s="93">
        <v>0</v>
      </c>
      <c r="F536" s="93">
        <v>0</v>
      </c>
      <c r="G536" s="81" t="s">
        <v>1158</v>
      </c>
      <c r="H536" s="366"/>
      <c r="I536" s="366"/>
      <c r="J536" s="61" t="s">
        <v>1159</v>
      </c>
      <c r="L536" s="366"/>
    </row>
    <row r="537" spans="1:12">
      <c r="A537" s="277">
        <v>325</v>
      </c>
      <c r="B537" s="275">
        <v>100</v>
      </c>
      <c r="C537" s="275"/>
      <c r="D537" s="275"/>
      <c r="E537" s="275"/>
      <c r="F537" s="275"/>
      <c r="G537" s="63" t="s">
        <v>1160</v>
      </c>
      <c r="H537" s="366"/>
      <c r="I537" s="366"/>
      <c r="J537" s="64" t="s">
        <v>1161</v>
      </c>
      <c r="L537" s="366"/>
    </row>
    <row r="538" spans="1:12" s="86" customFormat="1" ht="12.75">
      <c r="A538" s="277">
        <v>325</v>
      </c>
      <c r="B538" s="275">
        <v>100</v>
      </c>
      <c r="C538" s="275">
        <v>100</v>
      </c>
      <c r="D538" s="275"/>
      <c r="E538" s="275"/>
      <c r="F538" s="275"/>
      <c r="G538" s="63" t="s">
        <v>1162</v>
      </c>
      <c r="H538" s="366"/>
      <c r="I538" s="366"/>
      <c r="J538" s="64" t="s">
        <v>1163</v>
      </c>
      <c r="L538" s="366"/>
    </row>
    <row r="539" spans="1:12" s="86" customFormat="1" ht="12.75">
      <c r="A539" s="277">
        <v>325</v>
      </c>
      <c r="B539" s="275">
        <v>100</v>
      </c>
      <c r="C539" s="275">
        <v>100</v>
      </c>
      <c r="D539" s="276">
        <v>100</v>
      </c>
      <c r="E539" s="276"/>
      <c r="F539" s="276"/>
      <c r="G539" s="94" t="s">
        <v>1114</v>
      </c>
      <c r="H539" s="367">
        <v>591881.18999999994</v>
      </c>
      <c r="I539" s="367"/>
      <c r="J539" s="64"/>
      <c r="L539" s="367"/>
    </row>
    <row r="540" spans="1:12" s="86" customFormat="1" ht="12.75">
      <c r="A540" s="277">
        <v>325</v>
      </c>
      <c r="B540" s="275">
        <v>100</v>
      </c>
      <c r="C540" s="275">
        <v>100</v>
      </c>
      <c r="D540" s="276">
        <v>200</v>
      </c>
      <c r="E540" s="276"/>
      <c r="F540" s="276"/>
      <c r="G540" s="94" t="s">
        <v>1115</v>
      </c>
      <c r="H540" s="367">
        <v>187549</v>
      </c>
      <c r="I540" s="367"/>
      <c r="J540" s="64"/>
      <c r="L540" s="367"/>
    </row>
    <row r="541" spans="1:12" s="86" customFormat="1" ht="12.75">
      <c r="A541" s="277">
        <v>325</v>
      </c>
      <c r="B541" s="275">
        <v>100</v>
      </c>
      <c r="C541" s="275">
        <v>100</v>
      </c>
      <c r="D541" s="276">
        <v>300</v>
      </c>
      <c r="E541" s="276"/>
      <c r="F541" s="276"/>
      <c r="G541" s="94" t="s">
        <v>1138</v>
      </c>
      <c r="H541" s="367">
        <v>104906.31</v>
      </c>
      <c r="I541" s="367"/>
      <c r="J541" s="64"/>
      <c r="L541" s="367"/>
    </row>
    <row r="542" spans="1:12" s="86" customFormat="1" ht="12.75">
      <c r="A542" s="277">
        <v>325</v>
      </c>
      <c r="B542" s="275">
        <v>100</v>
      </c>
      <c r="C542" s="275">
        <v>100</v>
      </c>
      <c r="D542" s="276">
        <v>400</v>
      </c>
      <c r="E542" s="276"/>
      <c r="F542" s="276"/>
      <c r="G542" s="94" t="s">
        <v>1139</v>
      </c>
      <c r="H542" s="367">
        <v>9815.57</v>
      </c>
      <c r="I542" s="367"/>
      <c r="J542" s="64"/>
      <c r="L542" s="367"/>
    </row>
    <row r="543" spans="1:12" s="86" customFormat="1" ht="12.75">
      <c r="A543" s="277">
        <v>325</v>
      </c>
      <c r="B543" s="275">
        <v>100</v>
      </c>
      <c r="C543" s="275">
        <v>100</v>
      </c>
      <c r="D543" s="275">
        <v>500</v>
      </c>
      <c r="E543" s="275"/>
      <c r="F543" s="275"/>
      <c r="G543" s="95" t="s">
        <v>1122</v>
      </c>
      <c r="H543" s="366"/>
      <c r="I543" s="366"/>
      <c r="J543" s="64"/>
      <c r="L543" s="366"/>
    </row>
    <row r="544" spans="1:12" s="86" customFormat="1" ht="12.75">
      <c r="A544" s="277">
        <v>325</v>
      </c>
      <c r="B544" s="275">
        <v>100</v>
      </c>
      <c r="C544" s="275">
        <v>100</v>
      </c>
      <c r="D544" s="275">
        <v>500</v>
      </c>
      <c r="E544" s="276">
        <v>5</v>
      </c>
      <c r="F544" s="276"/>
      <c r="G544" s="94" t="s">
        <v>1123</v>
      </c>
      <c r="H544" s="367">
        <v>0</v>
      </c>
      <c r="I544" s="367"/>
      <c r="J544" s="64"/>
      <c r="L544" s="367"/>
    </row>
    <row r="545" spans="1:12" s="86" customFormat="1" ht="12.75">
      <c r="A545" s="277">
        <v>325</v>
      </c>
      <c r="B545" s="275">
        <v>100</v>
      </c>
      <c r="C545" s="275">
        <v>100</v>
      </c>
      <c r="D545" s="275">
        <v>500</v>
      </c>
      <c r="E545" s="276">
        <v>10</v>
      </c>
      <c r="F545" s="276"/>
      <c r="G545" s="94" t="s">
        <v>1124</v>
      </c>
      <c r="H545" s="367">
        <v>0</v>
      </c>
      <c r="I545" s="367"/>
      <c r="J545" s="64"/>
      <c r="L545" s="367"/>
    </row>
    <row r="546" spans="1:12" s="86" customFormat="1" ht="12.75">
      <c r="A546" s="277">
        <v>325</v>
      </c>
      <c r="B546" s="275">
        <v>100</v>
      </c>
      <c r="C546" s="275">
        <v>100</v>
      </c>
      <c r="D546" s="275">
        <v>500</v>
      </c>
      <c r="E546" s="276">
        <v>15</v>
      </c>
      <c r="F546" s="276"/>
      <c r="G546" s="94" t="s">
        <v>1164</v>
      </c>
      <c r="H546" s="367">
        <v>38104.78</v>
      </c>
      <c r="I546" s="367"/>
      <c r="J546" s="64"/>
      <c r="L546" s="367"/>
    </row>
    <row r="547" spans="1:12">
      <c r="A547" s="277">
        <v>325</v>
      </c>
      <c r="B547" s="275">
        <v>100</v>
      </c>
      <c r="C547" s="275">
        <v>100</v>
      </c>
      <c r="D547" s="276">
        <v>900</v>
      </c>
      <c r="E547" s="276"/>
      <c r="F547" s="276"/>
      <c r="G547" s="94" t="s">
        <v>1142</v>
      </c>
      <c r="H547" s="367">
        <v>261491.61</v>
      </c>
      <c r="I547" s="367"/>
      <c r="J547" s="64"/>
      <c r="L547" s="367"/>
    </row>
    <row r="548" spans="1:12" s="86" customFormat="1" ht="12.75">
      <c r="A548" s="277">
        <v>325</v>
      </c>
      <c r="B548" s="275">
        <v>100</v>
      </c>
      <c r="C548" s="275">
        <v>200</v>
      </c>
      <c r="D548" s="275"/>
      <c r="E548" s="275"/>
      <c r="F548" s="275"/>
      <c r="G548" s="63" t="s">
        <v>1165</v>
      </c>
      <c r="H548" s="366"/>
      <c r="I548" s="366"/>
      <c r="J548" s="64" t="s">
        <v>1166</v>
      </c>
      <c r="L548" s="366"/>
    </row>
    <row r="549" spans="1:12" s="86" customFormat="1" ht="12.75">
      <c r="A549" s="277">
        <v>325</v>
      </c>
      <c r="B549" s="275">
        <v>100</v>
      </c>
      <c r="C549" s="275">
        <v>200</v>
      </c>
      <c r="D549" s="276">
        <v>100</v>
      </c>
      <c r="E549" s="276"/>
      <c r="F549" s="276"/>
      <c r="G549" s="94" t="s">
        <v>1114</v>
      </c>
      <c r="H549" s="367">
        <v>81634.460000000006</v>
      </c>
      <c r="I549" s="367"/>
      <c r="J549" s="64"/>
      <c r="L549" s="367"/>
    </row>
    <row r="550" spans="1:12" s="86" customFormat="1" ht="12.75">
      <c r="A550" s="277">
        <v>325</v>
      </c>
      <c r="B550" s="275">
        <v>100</v>
      </c>
      <c r="C550" s="275">
        <v>200</v>
      </c>
      <c r="D550" s="276">
        <v>200</v>
      </c>
      <c r="E550" s="276"/>
      <c r="F550" s="276"/>
      <c r="G550" s="94" t="s">
        <v>1115</v>
      </c>
      <c r="H550" s="367">
        <v>30034.16</v>
      </c>
      <c r="I550" s="367"/>
      <c r="J550" s="64"/>
      <c r="L550" s="367"/>
    </row>
    <row r="551" spans="1:12" s="86" customFormat="1" ht="12.75">
      <c r="A551" s="277">
        <v>325</v>
      </c>
      <c r="B551" s="275">
        <v>100</v>
      </c>
      <c r="C551" s="275">
        <v>200</v>
      </c>
      <c r="D551" s="276">
        <v>300</v>
      </c>
      <c r="E551" s="276"/>
      <c r="F551" s="276"/>
      <c r="G551" s="94" t="s">
        <v>1138</v>
      </c>
      <c r="H551" s="367">
        <v>20092.240000000002</v>
      </c>
      <c r="I551" s="367"/>
      <c r="J551" s="64"/>
      <c r="L551" s="367"/>
    </row>
    <row r="552" spans="1:12" s="86" customFormat="1" ht="12.75">
      <c r="A552" s="277">
        <v>325</v>
      </c>
      <c r="B552" s="275">
        <v>100</v>
      </c>
      <c r="C552" s="275">
        <v>200</v>
      </c>
      <c r="D552" s="276">
        <v>400</v>
      </c>
      <c r="E552" s="276"/>
      <c r="F552" s="276"/>
      <c r="G552" s="94" t="s">
        <v>1139</v>
      </c>
      <c r="H552" s="367"/>
      <c r="I552" s="367"/>
      <c r="J552" s="64"/>
      <c r="L552" s="367"/>
    </row>
    <row r="553" spans="1:12" s="86" customFormat="1" ht="12.75">
      <c r="A553" s="277">
        <v>325</v>
      </c>
      <c r="B553" s="275">
        <v>100</v>
      </c>
      <c r="C553" s="275">
        <v>200</v>
      </c>
      <c r="D553" s="275">
        <v>500</v>
      </c>
      <c r="E553" s="275"/>
      <c r="F553" s="275"/>
      <c r="G553" s="95" t="s">
        <v>1122</v>
      </c>
      <c r="H553" s="366"/>
      <c r="I553" s="366"/>
      <c r="J553" s="64"/>
      <c r="L553" s="366"/>
    </row>
    <row r="554" spans="1:12" s="86" customFormat="1" ht="12.75">
      <c r="A554" s="277">
        <v>325</v>
      </c>
      <c r="B554" s="275">
        <v>100</v>
      </c>
      <c r="C554" s="275">
        <v>200</v>
      </c>
      <c r="D554" s="275">
        <v>500</v>
      </c>
      <c r="E554" s="276">
        <v>5</v>
      </c>
      <c r="F554" s="276"/>
      <c r="G554" s="94" t="s">
        <v>1123</v>
      </c>
      <c r="H554" s="367">
        <v>0</v>
      </c>
      <c r="I554" s="367"/>
      <c r="J554" s="64"/>
      <c r="L554" s="367"/>
    </row>
    <row r="555" spans="1:12" s="86" customFormat="1" ht="12.75">
      <c r="A555" s="277">
        <v>325</v>
      </c>
      <c r="B555" s="275">
        <v>100</v>
      </c>
      <c r="C555" s="275">
        <v>200</v>
      </c>
      <c r="D555" s="275">
        <v>500</v>
      </c>
      <c r="E555" s="276">
        <v>10</v>
      </c>
      <c r="F555" s="276"/>
      <c r="G555" s="94" t="s">
        <v>1124</v>
      </c>
      <c r="H555" s="367">
        <v>0</v>
      </c>
      <c r="I555" s="367"/>
      <c r="J555" s="64"/>
      <c r="L555" s="367"/>
    </row>
    <row r="556" spans="1:12" s="86" customFormat="1" ht="12.75">
      <c r="A556" s="277">
        <v>325</v>
      </c>
      <c r="B556" s="275">
        <v>100</v>
      </c>
      <c r="C556" s="275">
        <v>200</v>
      </c>
      <c r="D556" s="275">
        <v>500</v>
      </c>
      <c r="E556" s="276">
        <v>15</v>
      </c>
      <c r="F556" s="276"/>
      <c r="G556" s="94" t="s">
        <v>1164</v>
      </c>
      <c r="H556" s="367">
        <v>0</v>
      </c>
      <c r="I556" s="367"/>
      <c r="J556" s="64"/>
      <c r="L556" s="367"/>
    </row>
    <row r="557" spans="1:12">
      <c r="A557" s="277">
        <v>325</v>
      </c>
      <c r="B557" s="275">
        <v>100</v>
      </c>
      <c r="C557" s="275">
        <v>200</v>
      </c>
      <c r="D557" s="276">
        <v>900</v>
      </c>
      <c r="E557" s="276"/>
      <c r="F557" s="276"/>
      <c r="G557" s="94" t="s">
        <v>1142</v>
      </c>
      <c r="H557" s="367">
        <v>40162.46</v>
      </c>
      <c r="I557" s="367"/>
      <c r="J557" s="64"/>
      <c r="L557" s="367"/>
    </row>
    <row r="558" spans="1:12">
      <c r="A558" s="277">
        <v>325</v>
      </c>
      <c r="B558" s="275">
        <v>100</v>
      </c>
      <c r="C558" s="276">
        <v>300</v>
      </c>
      <c r="D558" s="276"/>
      <c r="E558" s="276"/>
      <c r="F558" s="276"/>
      <c r="G558" s="63" t="s">
        <v>1167</v>
      </c>
      <c r="H558" s="367">
        <v>0</v>
      </c>
      <c r="I558" s="367"/>
      <c r="J558" s="64" t="s">
        <v>1168</v>
      </c>
      <c r="L558" s="367"/>
    </row>
    <row r="559" spans="1:12">
      <c r="A559" s="277">
        <v>325</v>
      </c>
      <c r="B559" s="275">
        <v>200</v>
      </c>
      <c r="C559" s="275"/>
      <c r="D559" s="275"/>
      <c r="E559" s="275"/>
      <c r="F559" s="275"/>
      <c r="G559" s="63" t="s">
        <v>1169</v>
      </c>
      <c r="H559" s="366"/>
      <c r="I559" s="366"/>
      <c r="J559" s="64" t="s">
        <v>1170</v>
      </c>
      <c r="L559" s="366"/>
    </row>
    <row r="560" spans="1:12" s="86" customFormat="1" ht="12.75">
      <c r="A560" s="277">
        <v>325</v>
      </c>
      <c r="B560" s="275">
        <v>200</v>
      </c>
      <c r="C560" s="275">
        <v>100</v>
      </c>
      <c r="D560" s="275"/>
      <c r="E560" s="275"/>
      <c r="F560" s="275"/>
      <c r="G560" s="63" t="s">
        <v>1171</v>
      </c>
      <c r="H560" s="366"/>
      <c r="I560" s="366"/>
      <c r="J560" s="64" t="s">
        <v>1172</v>
      </c>
      <c r="L560" s="366"/>
    </row>
    <row r="561" spans="1:12" s="86" customFormat="1" ht="12.75">
      <c r="A561" s="277">
        <v>325</v>
      </c>
      <c r="B561" s="275">
        <v>200</v>
      </c>
      <c r="C561" s="275">
        <v>100</v>
      </c>
      <c r="D561" s="276">
        <v>100</v>
      </c>
      <c r="E561" s="276"/>
      <c r="F561" s="276"/>
      <c r="G561" s="94" t="s">
        <v>1114</v>
      </c>
      <c r="H561" s="367">
        <v>0</v>
      </c>
      <c r="I561" s="367"/>
      <c r="J561" s="64"/>
      <c r="L561" s="367"/>
    </row>
    <row r="562" spans="1:12" s="86" customFormat="1" ht="12.75">
      <c r="A562" s="277">
        <v>325</v>
      </c>
      <c r="B562" s="275">
        <v>200</v>
      </c>
      <c r="C562" s="275">
        <v>100</v>
      </c>
      <c r="D562" s="276">
        <v>200</v>
      </c>
      <c r="E562" s="276"/>
      <c r="F562" s="276"/>
      <c r="G562" s="94" t="s">
        <v>1150</v>
      </c>
      <c r="H562" s="367">
        <v>0</v>
      </c>
      <c r="I562" s="367"/>
      <c r="J562" s="64"/>
      <c r="L562" s="367"/>
    </row>
    <row r="563" spans="1:12" s="86" customFormat="1" ht="12.75">
      <c r="A563" s="277">
        <v>325</v>
      </c>
      <c r="B563" s="275">
        <v>200</v>
      </c>
      <c r="C563" s="275">
        <v>100</v>
      </c>
      <c r="D563" s="276">
        <v>300</v>
      </c>
      <c r="E563" s="276"/>
      <c r="F563" s="276"/>
      <c r="G563" s="94" t="s">
        <v>1151</v>
      </c>
      <c r="H563" s="367">
        <v>0</v>
      </c>
      <c r="I563" s="367"/>
      <c r="J563" s="64"/>
      <c r="L563" s="367"/>
    </row>
    <row r="564" spans="1:12" s="86" customFormat="1" ht="12.75">
      <c r="A564" s="277">
        <v>325</v>
      </c>
      <c r="B564" s="275">
        <v>200</v>
      </c>
      <c r="C564" s="275">
        <v>100</v>
      </c>
      <c r="D564" s="276">
        <v>400</v>
      </c>
      <c r="E564" s="276"/>
      <c r="F564" s="276"/>
      <c r="G564" s="94" t="s">
        <v>1152</v>
      </c>
      <c r="H564" s="367">
        <v>0</v>
      </c>
      <c r="I564" s="367"/>
      <c r="J564" s="64"/>
      <c r="L564" s="367"/>
    </row>
    <row r="565" spans="1:12" s="86" customFormat="1" ht="12.75">
      <c r="A565" s="277">
        <v>325</v>
      </c>
      <c r="B565" s="275">
        <v>200</v>
      </c>
      <c r="C565" s="275">
        <v>100</v>
      </c>
      <c r="D565" s="276">
        <v>500</v>
      </c>
      <c r="E565" s="276"/>
      <c r="F565" s="276"/>
      <c r="G565" s="94" t="s">
        <v>1139</v>
      </c>
      <c r="H565" s="367">
        <v>0</v>
      </c>
      <c r="I565" s="367"/>
      <c r="J565" s="64"/>
      <c r="L565" s="367"/>
    </row>
    <row r="566" spans="1:12" s="86" customFormat="1" ht="12.75">
      <c r="A566" s="277">
        <v>325</v>
      </c>
      <c r="B566" s="275">
        <v>200</v>
      </c>
      <c r="C566" s="275">
        <v>100</v>
      </c>
      <c r="D566" s="275">
        <v>600</v>
      </c>
      <c r="E566" s="275"/>
      <c r="F566" s="275"/>
      <c r="G566" s="95" t="s">
        <v>1122</v>
      </c>
      <c r="H566" s="366"/>
      <c r="I566" s="366"/>
      <c r="J566" s="64"/>
      <c r="L566" s="366"/>
    </row>
    <row r="567" spans="1:12" s="86" customFormat="1" ht="12.75">
      <c r="A567" s="277">
        <v>325</v>
      </c>
      <c r="B567" s="275">
        <v>200</v>
      </c>
      <c r="C567" s="275">
        <v>100</v>
      </c>
      <c r="D567" s="275">
        <v>600</v>
      </c>
      <c r="E567" s="276">
        <v>5</v>
      </c>
      <c r="F567" s="276"/>
      <c r="G567" s="94" t="s">
        <v>1123</v>
      </c>
      <c r="H567" s="367">
        <v>0</v>
      </c>
      <c r="I567" s="367"/>
      <c r="J567" s="64"/>
      <c r="L567" s="367"/>
    </row>
    <row r="568" spans="1:12" s="86" customFormat="1" ht="12.75">
      <c r="A568" s="277">
        <v>325</v>
      </c>
      <c r="B568" s="275">
        <v>200</v>
      </c>
      <c r="C568" s="275">
        <v>100</v>
      </c>
      <c r="D568" s="275">
        <v>600</v>
      </c>
      <c r="E568" s="276">
        <v>10</v>
      </c>
      <c r="F568" s="276"/>
      <c r="G568" s="94" t="s">
        <v>1124</v>
      </c>
      <c r="H568" s="367">
        <v>0</v>
      </c>
      <c r="I568" s="367"/>
      <c r="J568" s="64"/>
      <c r="L568" s="367"/>
    </row>
    <row r="569" spans="1:12" s="86" customFormat="1" ht="12.75">
      <c r="A569" s="277">
        <v>325</v>
      </c>
      <c r="B569" s="275">
        <v>200</v>
      </c>
      <c r="C569" s="275">
        <v>100</v>
      </c>
      <c r="D569" s="275">
        <v>600</v>
      </c>
      <c r="E569" s="276">
        <v>15</v>
      </c>
      <c r="F569" s="276"/>
      <c r="G569" s="94" t="s">
        <v>1153</v>
      </c>
      <c r="H569" s="367">
        <v>0</v>
      </c>
      <c r="I569" s="367"/>
      <c r="J569" s="64"/>
      <c r="L569" s="367"/>
    </row>
    <row r="570" spans="1:12">
      <c r="A570" s="277">
        <v>325</v>
      </c>
      <c r="B570" s="275">
        <v>200</v>
      </c>
      <c r="C570" s="275">
        <v>100</v>
      </c>
      <c r="D570" s="276">
        <v>900</v>
      </c>
      <c r="E570" s="276"/>
      <c r="F570" s="276"/>
      <c r="G570" s="94" t="s">
        <v>1142</v>
      </c>
      <c r="H570" s="367">
        <v>0</v>
      </c>
      <c r="I570" s="367"/>
      <c r="J570" s="64"/>
      <c r="L570" s="367"/>
    </row>
    <row r="571" spans="1:12" s="86" customFormat="1" ht="12.75">
      <c r="A571" s="277">
        <v>325</v>
      </c>
      <c r="B571" s="275">
        <v>200</v>
      </c>
      <c r="C571" s="275">
        <v>200</v>
      </c>
      <c r="D571" s="275"/>
      <c r="E571" s="275"/>
      <c r="F571" s="275"/>
      <c r="G571" s="84" t="s">
        <v>1173</v>
      </c>
      <c r="H571" s="366"/>
      <c r="I571" s="366"/>
      <c r="J571" s="64" t="s">
        <v>1174</v>
      </c>
      <c r="L571" s="366"/>
    </row>
    <row r="572" spans="1:12" s="86" customFormat="1" ht="12.75">
      <c r="A572" s="277">
        <v>325</v>
      </c>
      <c r="B572" s="275">
        <v>200</v>
      </c>
      <c r="C572" s="275">
        <v>200</v>
      </c>
      <c r="D572" s="276">
        <v>100</v>
      </c>
      <c r="E572" s="276"/>
      <c r="F572" s="276"/>
      <c r="G572" s="94" t="s">
        <v>1114</v>
      </c>
      <c r="H572" s="367">
        <v>0</v>
      </c>
      <c r="I572" s="367"/>
      <c r="J572" s="64"/>
      <c r="L572" s="367"/>
    </row>
    <row r="573" spans="1:12" s="86" customFormat="1" ht="12.75">
      <c r="A573" s="277">
        <v>325</v>
      </c>
      <c r="B573" s="275">
        <v>200</v>
      </c>
      <c r="C573" s="275">
        <v>200</v>
      </c>
      <c r="D573" s="276">
        <v>200</v>
      </c>
      <c r="E573" s="276"/>
      <c r="F573" s="276"/>
      <c r="G573" s="94" t="s">
        <v>1150</v>
      </c>
      <c r="H573" s="367">
        <v>0</v>
      </c>
      <c r="I573" s="367"/>
      <c r="J573" s="64"/>
      <c r="L573" s="367"/>
    </row>
    <row r="574" spans="1:12" s="86" customFormat="1" ht="12.75">
      <c r="A574" s="277">
        <v>325</v>
      </c>
      <c r="B574" s="275">
        <v>200</v>
      </c>
      <c r="C574" s="275">
        <v>200</v>
      </c>
      <c r="D574" s="276">
        <v>300</v>
      </c>
      <c r="E574" s="276"/>
      <c r="F574" s="276"/>
      <c r="G574" s="94" t="s">
        <v>1151</v>
      </c>
      <c r="H574" s="367">
        <v>0</v>
      </c>
      <c r="I574" s="367"/>
      <c r="J574" s="64"/>
      <c r="L574" s="367"/>
    </row>
    <row r="575" spans="1:12" s="86" customFormat="1" ht="12.75">
      <c r="A575" s="277">
        <v>325</v>
      </c>
      <c r="B575" s="275">
        <v>200</v>
      </c>
      <c r="C575" s="275">
        <v>200</v>
      </c>
      <c r="D575" s="276">
        <v>400</v>
      </c>
      <c r="E575" s="276"/>
      <c r="F575" s="276"/>
      <c r="G575" s="94" t="s">
        <v>1152</v>
      </c>
      <c r="H575" s="367">
        <v>0</v>
      </c>
      <c r="I575" s="367"/>
      <c r="J575" s="64"/>
      <c r="L575" s="367"/>
    </row>
    <row r="576" spans="1:12" s="86" customFormat="1" ht="12.75">
      <c r="A576" s="277">
        <v>325</v>
      </c>
      <c r="B576" s="275">
        <v>200</v>
      </c>
      <c r="C576" s="275">
        <v>200</v>
      </c>
      <c r="D576" s="276">
        <v>500</v>
      </c>
      <c r="E576" s="276"/>
      <c r="F576" s="276"/>
      <c r="G576" s="94" t="s">
        <v>1139</v>
      </c>
      <c r="H576" s="367">
        <v>0</v>
      </c>
      <c r="I576" s="367"/>
      <c r="J576" s="64"/>
      <c r="L576" s="367"/>
    </row>
    <row r="577" spans="1:12" s="86" customFormat="1" ht="12.75">
      <c r="A577" s="277">
        <v>325</v>
      </c>
      <c r="B577" s="275">
        <v>200</v>
      </c>
      <c r="C577" s="275">
        <v>200</v>
      </c>
      <c r="D577" s="275">
        <v>600</v>
      </c>
      <c r="E577" s="275"/>
      <c r="F577" s="275"/>
      <c r="G577" s="95" t="s">
        <v>1122</v>
      </c>
      <c r="H577" s="366"/>
      <c r="I577" s="366"/>
      <c r="J577" s="64"/>
      <c r="L577" s="366"/>
    </row>
    <row r="578" spans="1:12" s="86" customFormat="1" ht="12.75">
      <c r="A578" s="277">
        <v>325</v>
      </c>
      <c r="B578" s="275">
        <v>200</v>
      </c>
      <c r="C578" s="275">
        <v>200</v>
      </c>
      <c r="D578" s="275">
        <v>600</v>
      </c>
      <c r="E578" s="276">
        <v>5</v>
      </c>
      <c r="F578" s="276"/>
      <c r="G578" s="94" t="s">
        <v>1123</v>
      </c>
      <c r="H578" s="367">
        <v>0</v>
      </c>
      <c r="I578" s="367"/>
      <c r="J578" s="64"/>
      <c r="L578" s="367"/>
    </row>
    <row r="579" spans="1:12" s="86" customFormat="1" ht="12.75">
      <c r="A579" s="277">
        <v>325</v>
      </c>
      <c r="B579" s="275">
        <v>200</v>
      </c>
      <c r="C579" s="275">
        <v>200</v>
      </c>
      <c r="D579" s="275">
        <v>600</v>
      </c>
      <c r="E579" s="276">
        <v>10</v>
      </c>
      <c r="F579" s="276"/>
      <c r="G579" s="94" t="s">
        <v>1124</v>
      </c>
      <c r="H579" s="367">
        <v>0</v>
      </c>
      <c r="I579" s="367"/>
      <c r="J579" s="64"/>
      <c r="L579" s="367"/>
    </row>
    <row r="580" spans="1:12" s="86" customFormat="1" ht="12.75">
      <c r="A580" s="277">
        <v>325</v>
      </c>
      <c r="B580" s="275">
        <v>200</v>
      </c>
      <c r="C580" s="275">
        <v>200</v>
      </c>
      <c r="D580" s="275">
        <v>600</v>
      </c>
      <c r="E580" s="276">
        <v>15</v>
      </c>
      <c r="F580" s="276"/>
      <c r="G580" s="94" t="s">
        <v>1153</v>
      </c>
      <c r="H580" s="367">
        <v>0</v>
      </c>
      <c r="I580" s="367"/>
      <c r="J580" s="64"/>
      <c r="L580" s="367"/>
    </row>
    <row r="581" spans="1:12">
      <c r="A581" s="277">
        <v>325</v>
      </c>
      <c r="B581" s="275">
        <v>200</v>
      </c>
      <c r="C581" s="275">
        <v>200</v>
      </c>
      <c r="D581" s="276">
        <v>900</v>
      </c>
      <c r="E581" s="276"/>
      <c r="F581" s="276"/>
      <c r="G581" s="94" t="s">
        <v>1142</v>
      </c>
      <c r="H581" s="367">
        <v>0</v>
      </c>
      <c r="I581" s="367"/>
      <c r="J581" s="64"/>
      <c r="L581" s="367"/>
    </row>
    <row r="582" spans="1:12" s="79" customFormat="1" ht="15.75">
      <c r="A582" s="277">
        <v>325</v>
      </c>
      <c r="B582" s="275">
        <v>200</v>
      </c>
      <c r="C582" s="276">
        <v>300</v>
      </c>
      <c r="D582" s="276"/>
      <c r="E582" s="276"/>
      <c r="F582" s="276"/>
      <c r="G582" s="63" t="s">
        <v>1175</v>
      </c>
      <c r="H582" s="367">
        <v>0</v>
      </c>
      <c r="I582" s="367"/>
      <c r="J582" s="64" t="s">
        <v>1176</v>
      </c>
      <c r="L582" s="367"/>
    </row>
    <row r="583" spans="1:12">
      <c r="A583" s="272">
        <v>330</v>
      </c>
      <c r="B583" s="93">
        <v>0</v>
      </c>
      <c r="C583" s="93">
        <v>0</v>
      </c>
      <c r="D583" s="93">
        <v>0</v>
      </c>
      <c r="E583" s="93">
        <v>0</v>
      </c>
      <c r="F583" s="93">
        <v>0</v>
      </c>
      <c r="G583" s="81" t="s">
        <v>1177</v>
      </c>
      <c r="H583" s="366"/>
      <c r="I583" s="366"/>
      <c r="J583" s="61" t="s">
        <v>1178</v>
      </c>
      <c r="L583" s="366"/>
    </row>
    <row r="584" spans="1:12">
      <c r="A584" s="277">
        <v>330</v>
      </c>
      <c r="B584" s="275">
        <v>100</v>
      </c>
      <c r="C584" s="275"/>
      <c r="D584" s="275"/>
      <c r="E584" s="275"/>
      <c r="F584" s="275"/>
      <c r="G584" s="63" t="s">
        <v>1179</v>
      </c>
      <c r="H584" s="366"/>
      <c r="I584" s="366"/>
      <c r="J584" s="64" t="s">
        <v>1180</v>
      </c>
      <c r="L584" s="366"/>
    </row>
    <row r="585" spans="1:12" s="86" customFormat="1" ht="12.75">
      <c r="A585" s="277">
        <v>330</v>
      </c>
      <c r="B585" s="275">
        <v>100</v>
      </c>
      <c r="C585" s="275">
        <v>100</v>
      </c>
      <c r="D585" s="275"/>
      <c r="E585" s="275"/>
      <c r="F585" s="275"/>
      <c r="G585" s="63" t="s">
        <v>1181</v>
      </c>
      <c r="H585" s="366"/>
      <c r="I585" s="366"/>
      <c r="J585" s="64" t="s">
        <v>1182</v>
      </c>
      <c r="L585" s="366"/>
    </row>
    <row r="586" spans="1:12" s="86" customFormat="1" ht="12.75">
      <c r="A586" s="277">
        <v>330</v>
      </c>
      <c r="B586" s="275">
        <v>100</v>
      </c>
      <c r="C586" s="275">
        <v>100</v>
      </c>
      <c r="D586" s="276">
        <v>100</v>
      </c>
      <c r="E586" s="276"/>
      <c r="F586" s="276"/>
      <c r="G586" s="94" t="s">
        <v>1114</v>
      </c>
      <c r="H586" s="367">
        <v>63011.62</v>
      </c>
      <c r="I586" s="367"/>
      <c r="J586" s="64"/>
      <c r="L586" s="367"/>
    </row>
    <row r="587" spans="1:12" s="86" customFormat="1" ht="12.75">
      <c r="A587" s="277">
        <v>330</v>
      </c>
      <c r="B587" s="275">
        <v>100</v>
      </c>
      <c r="C587" s="275">
        <v>100</v>
      </c>
      <c r="D587" s="276">
        <v>200</v>
      </c>
      <c r="E587" s="276"/>
      <c r="F587" s="276"/>
      <c r="G587" s="94" t="s">
        <v>1115</v>
      </c>
      <c r="H587" s="367">
        <v>12912.41</v>
      </c>
      <c r="I587" s="367"/>
      <c r="J587" s="64"/>
      <c r="L587" s="367"/>
    </row>
    <row r="588" spans="1:12" s="86" customFormat="1" ht="12.75">
      <c r="A588" s="277">
        <v>330</v>
      </c>
      <c r="B588" s="275">
        <v>100</v>
      </c>
      <c r="C588" s="275">
        <v>100</v>
      </c>
      <c r="D588" s="276">
        <v>300</v>
      </c>
      <c r="E588" s="276"/>
      <c r="F588" s="276"/>
      <c r="G588" s="94" t="s">
        <v>1138</v>
      </c>
      <c r="H588" s="367">
        <v>20767.919999999998</v>
      </c>
      <c r="I588" s="367"/>
      <c r="J588" s="64"/>
      <c r="L588" s="367"/>
    </row>
    <row r="589" spans="1:12" s="86" customFormat="1" ht="12.75">
      <c r="A589" s="277">
        <v>330</v>
      </c>
      <c r="B589" s="275">
        <v>100</v>
      </c>
      <c r="C589" s="275">
        <v>100</v>
      </c>
      <c r="D589" s="276">
        <v>400</v>
      </c>
      <c r="E589" s="276"/>
      <c r="F589" s="276"/>
      <c r="G589" s="94" t="s">
        <v>1139</v>
      </c>
      <c r="H589" s="367">
        <v>32.46</v>
      </c>
      <c r="I589" s="367"/>
      <c r="J589" s="64"/>
      <c r="L589" s="367"/>
    </row>
    <row r="590" spans="1:12" s="86" customFormat="1" ht="12.75">
      <c r="A590" s="277">
        <v>330</v>
      </c>
      <c r="B590" s="275">
        <v>100</v>
      </c>
      <c r="C590" s="275">
        <v>100</v>
      </c>
      <c r="D590" s="275">
        <v>500</v>
      </c>
      <c r="E590" s="275"/>
      <c r="F590" s="275"/>
      <c r="G590" s="95" t="s">
        <v>1122</v>
      </c>
      <c r="H590" s="366"/>
      <c r="I590" s="366"/>
      <c r="J590" s="64"/>
      <c r="L590" s="366"/>
    </row>
    <row r="591" spans="1:12" s="86" customFormat="1" ht="12.75">
      <c r="A591" s="277">
        <v>330</v>
      </c>
      <c r="B591" s="275">
        <v>100</v>
      </c>
      <c r="C591" s="275">
        <v>100</v>
      </c>
      <c r="D591" s="275">
        <v>500</v>
      </c>
      <c r="E591" s="276">
        <v>5</v>
      </c>
      <c r="F591" s="276"/>
      <c r="G591" s="94" t="s">
        <v>1123</v>
      </c>
      <c r="H591" s="367">
        <v>0</v>
      </c>
      <c r="I591" s="367"/>
      <c r="J591" s="64"/>
      <c r="L591" s="367"/>
    </row>
    <row r="592" spans="1:12" s="86" customFormat="1" ht="12.75">
      <c r="A592" s="277">
        <v>330</v>
      </c>
      <c r="B592" s="275">
        <v>100</v>
      </c>
      <c r="C592" s="275">
        <v>100</v>
      </c>
      <c r="D592" s="275">
        <v>500</v>
      </c>
      <c r="E592" s="276">
        <v>10</v>
      </c>
      <c r="F592" s="276"/>
      <c r="G592" s="94" t="s">
        <v>1124</v>
      </c>
      <c r="H592" s="367">
        <v>0</v>
      </c>
      <c r="I592" s="367"/>
      <c r="J592" s="64"/>
      <c r="L592" s="367"/>
    </row>
    <row r="593" spans="1:12" s="86" customFormat="1" ht="12.75">
      <c r="A593" s="277">
        <v>330</v>
      </c>
      <c r="B593" s="275">
        <v>100</v>
      </c>
      <c r="C593" s="275">
        <v>100</v>
      </c>
      <c r="D593" s="275">
        <v>500</v>
      </c>
      <c r="E593" s="276">
        <v>15</v>
      </c>
      <c r="F593" s="276"/>
      <c r="G593" s="94" t="s">
        <v>1183</v>
      </c>
      <c r="H593" s="367">
        <v>0</v>
      </c>
      <c r="I593" s="367"/>
      <c r="J593" s="64"/>
      <c r="L593" s="367"/>
    </row>
    <row r="594" spans="1:12">
      <c r="A594" s="277">
        <v>330</v>
      </c>
      <c r="B594" s="275">
        <v>100</v>
      </c>
      <c r="C594" s="275">
        <v>100</v>
      </c>
      <c r="D594" s="276">
        <v>900</v>
      </c>
      <c r="E594" s="276"/>
      <c r="F594" s="276"/>
      <c r="G594" s="94" t="s">
        <v>1142</v>
      </c>
      <c r="H594" s="367">
        <v>26322.1</v>
      </c>
      <c r="I594" s="367"/>
      <c r="J594" s="64"/>
      <c r="L594" s="367"/>
    </row>
    <row r="595" spans="1:12" s="86" customFormat="1" ht="12.75">
      <c r="A595" s="277">
        <v>330</v>
      </c>
      <c r="B595" s="275">
        <v>100</v>
      </c>
      <c r="C595" s="275">
        <v>200</v>
      </c>
      <c r="D595" s="275"/>
      <c r="E595" s="275"/>
      <c r="F595" s="275"/>
      <c r="G595" s="63" t="s">
        <v>1184</v>
      </c>
      <c r="H595" s="366"/>
      <c r="I595" s="366"/>
      <c r="J595" s="64" t="s">
        <v>1185</v>
      </c>
      <c r="L595" s="366"/>
    </row>
    <row r="596" spans="1:12" s="86" customFormat="1" ht="12.75">
      <c r="A596" s="277">
        <v>330</v>
      </c>
      <c r="B596" s="275">
        <v>100</v>
      </c>
      <c r="C596" s="275">
        <v>200</v>
      </c>
      <c r="D596" s="276">
        <v>100</v>
      </c>
      <c r="E596" s="276"/>
      <c r="F596" s="276"/>
      <c r="G596" s="94" t="s">
        <v>1114</v>
      </c>
      <c r="H596" s="367">
        <v>26041.46</v>
      </c>
      <c r="I596" s="367"/>
      <c r="J596" s="64"/>
      <c r="L596" s="367"/>
    </row>
    <row r="597" spans="1:12" s="86" customFormat="1" ht="12.75">
      <c r="A597" s="277">
        <v>330</v>
      </c>
      <c r="B597" s="275">
        <v>100</v>
      </c>
      <c r="C597" s="275">
        <v>200</v>
      </c>
      <c r="D597" s="276">
        <v>200</v>
      </c>
      <c r="E597" s="276"/>
      <c r="F597" s="276"/>
      <c r="G597" s="94" t="s">
        <v>1115</v>
      </c>
      <c r="H597" s="367">
        <v>398.35</v>
      </c>
      <c r="I597" s="367"/>
      <c r="J597" s="64"/>
      <c r="L597" s="367"/>
    </row>
    <row r="598" spans="1:12" s="86" customFormat="1" ht="12.75">
      <c r="A598" s="277">
        <v>330</v>
      </c>
      <c r="B598" s="275">
        <v>100</v>
      </c>
      <c r="C598" s="275">
        <v>200</v>
      </c>
      <c r="D598" s="276">
        <v>300</v>
      </c>
      <c r="E598" s="276"/>
      <c r="F598" s="276"/>
      <c r="G598" s="94" t="s">
        <v>1138</v>
      </c>
      <c r="H598" s="367">
        <v>7147.87</v>
      </c>
      <c r="I598" s="367"/>
      <c r="J598" s="64"/>
      <c r="L598" s="367"/>
    </row>
    <row r="599" spans="1:12" s="86" customFormat="1" ht="12.75">
      <c r="A599" s="277">
        <v>330</v>
      </c>
      <c r="B599" s="275">
        <v>100</v>
      </c>
      <c r="C599" s="275">
        <v>200</v>
      </c>
      <c r="D599" s="276">
        <v>400</v>
      </c>
      <c r="E599" s="276"/>
      <c r="F599" s="276"/>
      <c r="G599" s="94" t="s">
        <v>1139</v>
      </c>
      <c r="H599" s="367"/>
      <c r="I599" s="367"/>
      <c r="J599" s="64"/>
      <c r="L599" s="367"/>
    </row>
    <row r="600" spans="1:12" s="86" customFormat="1" ht="12.75">
      <c r="A600" s="277">
        <v>330</v>
      </c>
      <c r="B600" s="275">
        <v>100</v>
      </c>
      <c r="C600" s="275">
        <v>200</v>
      </c>
      <c r="D600" s="275">
        <v>500</v>
      </c>
      <c r="E600" s="275"/>
      <c r="F600" s="275"/>
      <c r="G600" s="95" t="s">
        <v>1122</v>
      </c>
      <c r="H600" s="366"/>
      <c r="I600" s="366"/>
      <c r="J600" s="64"/>
      <c r="L600" s="366"/>
    </row>
    <row r="601" spans="1:12" s="86" customFormat="1" ht="12.75">
      <c r="A601" s="277">
        <v>330</v>
      </c>
      <c r="B601" s="275">
        <v>100</v>
      </c>
      <c r="C601" s="275">
        <v>200</v>
      </c>
      <c r="D601" s="275">
        <v>500</v>
      </c>
      <c r="E601" s="276">
        <v>5</v>
      </c>
      <c r="F601" s="276"/>
      <c r="G601" s="94" t="s">
        <v>1123</v>
      </c>
      <c r="H601" s="367">
        <v>0</v>
      </c>
      <c r="I601" s="367"/>
      <c r="J601" s="64"/>
      <c r="L601" s="367"/>
    </row>
    <row r="602" spans="1:12" s="86" customFormat="1" ht="12.75">
      <c r="A602" s="277">
        <v>330</v>
      </c>
      <c r="B602" s="275">
        <v>100</v>
      </c>
      <c r="C602" s="275">
        <v>200</v>
      </c>
      <c r="D602" s="275">
        <v>500</v>
      </c>
      <c r="E602" s="276">
        <v>10</v>
      </c>
      <c r="F602" s="276"/>
      <c r="G602" s="94" t="s">
        <v>1124</v>
      </c>
      <c r="H602" s="367">
        <v>0</v>
      </c>
      <c r="I602" s="367"/>
      <c r="J602" s="64"/>
      <c r="L602" s="367"/>
    </row>
    <row r="603" spans="1:12" s="86" customFormat="1" ht="12.75">
      <c r="A603" s="277">
        <v>330</v>
      </c>
      <c r="B603" s="275">
        <v>100</v>
      </c>
      <c r="C603" s="275">
        <v>200</v>
      </c>
      <c r="D603" s="275">
        <v>500</v>
      </c>
      <c r="E603" s="276">
        <v>15</v>
      </c>
      <c r="F603" s="276"/>
      <c r="G603" s="94" t="s">
        <v>1183</v>
      </c>
      <c r="H603" s="367">
        <v>51.92</v>
      </c>
      <c r="I603" s="367"/>
      <c r="J603" s="64"/>
      <c r="L603" s="367"/>
    </row>
    <row r="604" spans="1:12">
      <c r="A604" s="277">
        <v>330</v>
      </c>
      <c r="B604" s="275">
        <v>100</v>
      </c>
      <c r="C604" s="275">
        <v>200</v>
      </c>
      <c r="D604" s="276">
        <v>900</v>
      </c>
      <c r="E604" s="276"/>
      <c r="F604" s="276"/>
      <c r="G604" s="94" t="s">
        <v>1142</v>
      </c>
      <c r="H604" s="367">
        <v>10020.549999999999</v>
      </c>
      <c r="I604" s="367"/>
      <c r="J604" s="64"/>
      <c r="L604" s="367"/>
    </row>
    <row r="605" spans="1:12">
      <c r="A605" s="277">
        <v>330</v>
      </c>
      <c r="B605" s="275">
        <v>100</v>
      </c>
      <c r="C605" s="276">
        <v>300</v>
      </c>
      <c r="D605" s="276"/>
      <c r="E605" s="276"/>
      <c r="F605" s="276"/>
      <c r="G605" s="63" t="s">
        <v>1186</v>
      </c>
      <c r="H605" s="367">
        <v>0</v>
      </c>
      <c r="I605" s="367"/>
      <c r="J605" s="64" t="s">
        <v>1187</v>
      </c>
      <c r="L605" s="367"/>
    </row>
    <row r="606" spans="1:12">
      <c r="A606" s="277">
        <v>330</v>
      </c>
      <c r="B606" s="275">
        <v>200</v>
      </c>
      <c r="C606" s="275"/>
      <c r="D606" s="275"/>
      <c r="E606" s="275"/>
      <c r="F606" s="275"/>
      <c r="G606" s="63" t="s">
        <v>1188</v>
      </c>
      <c r="H606" s="366"/>
      <c r="I606" s="366"/>
      <c r="J606" s="64" t="s">
        <v>1189</v>
      </c>
      <c r="L606" s="366"/>
    </row>
    <row r="607" spans="1:12" s="86" customFormat="1" ht="12.75">
      <c r="A607" s="277">
        <v>330</v>
      </c>
      <c r="B607" s="275">
        <v>200</v>
      </c>
      <c r="C607" s="275">
        <v>100</v>
      </c>
      <c r="D607" s="275"/>
      <c r="E607" s="275"/>
      <c r="F607" s="275"/>
      <c r="G607" s="63" t="s">
        <v>1190</v>
      </c>
      <c r="H607" s="366"/>
      <c r="I607" s="366"/>
      <c r="J607" s="64" t="s">
        <v>1191</v>
      </c>
      <c r="L607" s="366"/>
    </row>
    <row r="608" spans="1:12" s="86" customFormat="1" ht="12.75">
      <c r="A608" s="277">
        <v>330</v>
      </c>
      <c r="B608" s="275">
        <v>200</v>
      </c>
      <c r="C608" s="275">
        <v>100</v>
      </c>
      <c r="D608" s="276">
        <v>100</v>
      </c>
      <c r="E608" s="276"/>
      <c r="F608" s="276"/>
      <c r="G608" s="94" t="s">
        <v>1114</v>
      </c>
      <c r="H608" s="367">
        <v>27632088.66</v>
      </c>
      <c r="I608" s="367"/>
      <c r="J608" s="64"/>
      <c r="L608" s="367">
        <v>17834467.745474946</v>
      </c>
    </row>
    <row r="609" spans="1:12" s="86" customFormat="1" ht="12.75">
      <c r="A609" s="277">
        <v>330</v>
      </c>
      <c r="B609" s="275">
        <v>200</v>
      </c>
      <c r="C609" s="275">
        <v>100</v>
      </c>
      <c r="D609" s="276">
        <v>200</v>
      </c>
      <c r="E609" s="276"/>
      <c r="F609" s="276"/>
      <c r="G609" s="94" t="s">
        <v>1150</v>
      </c>
      <c r="H609" s="367">
        <v>401568.98</v>
      </c>
      <c r="I609" s="367"/>
      <c r="J609" s="64"/>
      <c r="L609" s="367">
        <v>206283.87880895351</v>
      </c>
    </row>
    <row r="610" spans="1:12" s="86" customFormat="1" ht="12.75">
      <c r="A610" s="277">
        <v>330</v>
      </c>
      <c r="B610" s="275">
        <v>200</v>
      </c>
      <c r="C610" s="275">
        <v>100</v>
      </c>
      <c r="D610" s="276">
        <v>300</v>
      </c>
      <c r="E610" s="276"/>
      <c r="F610" s="276"/>
      <c r="G610" s="94" t="s">
        <v>1151</v>
      </c>
      <c r="H610" s="367">
        <v>826480.92</v>
      </c>
      <c r="I610" s="367"/>
      <c r="J610" s="64"/>
      <c r="L610" s="367">
        <v>2625764.6851119762</v>
      </c>
    </row>
    <row r="611" spans="1:12" s="86" customFormat="1" ht="12.75">
      <c r="A611" s="277">
        <v>330</v>
      </c>
      <c r="B611" s="275">
        <v>200</v>
      </c>
      <c r="C611" s="275">
        <v>100</v>
      </c>
      <c r="D611" s="276">
        <v>400</v>
      </c>
      <c r="E611" s="276"/>
      <c r="F611" s="276"/>
      <c r="G611" s="94" t="s">
        <v>1152</v>
      </c>
      <c r="H611" s="367">
        <v>2633120.31</v>
      </c>
      <c r="I611" s="367"/>
      <c r="J611" s="64"/>
      <c r="L611" s="367">
        <v>1401886.230808811</v>
      </c>
    </row>
    <row r="612" spans="1:12" s="86" customFormat="1" ht="12.75">
      <c r="A612" s="277">
        <v>330</v>
      </c>
      <c r="B612" s="275">
        <v>200</v>
      </c>
      <c r="C612" s="275">
        <v>100</v>
      </c>
      <c r="D612" s="276">
        <v>500</v>
      </c>
      <c r="E612" s="276"/>
      <c r="F612" s="276"/>
      <c r="G612" s="94" t="s">
        <v>1139</v>
      </c>
      <c r="H612" s="367">
        <v>2172911.9900000002</v>
      </c>
      <c r="I612" s="367"/>
      <c r="J612" s="64"/>
      <c r="L612" s="367">
        <v>1084279.0231275302</v>
      </c>
    </row>
    <row r="613" spans="1:12" s="86" customFormat="1" ht="12.75">
      <c r="A613" s="277">
        <v>330</v>
      </c>
      <c r="B613" s="275">
        <v>200</v>
      </c>
      <c r="C613" s="275">
        <v>100</v>
      </c>
      <c r="D613" s="275">
        <v>600</v>
      </c>
      <c r="E613" s="275"/>
      <c r="F613" s="275"/>
      <c r="G613" s="95" t="s">
        <v>1122</v>
      </c>
      <c r="H613" s="366"/>
      <c r="I613" s="366"/>
      <c r="J613" s="64"/>
      <c r="L613" s="366"/>
    </row>
    <row r="614" spans="1:12" s="86" customFormat="1" ht="12.75">
      <c r="A614" s="277">
        <v>330</v>
      </c>
      <c r="B614" s="275">
        <v>200</v>
      </c>
      <c r="C614" s="275">
        <v>100</v>
      </c>
      <c r="D614" s="275">
        <v>600</v>
      </c>
      <c r="E614" s="276">
        <v>5</v>
      </c>
      <c r="F614" s="276"/>
      <c r="G614" s="94" t="s">
        <v>1123</v>
      </c>
      <c r="H614" s="367">
        <v>0</v>
      </c>
      <c r="I614" s="367"/>
      <c r="J614" s="64"/>
      <c r="L614" s="367"/>
    </row>
    <row r="615" spans="1:12" s="86" customFormat="1" ht="12.75">
      <c r="A615" s="277">
        <v>330</v>
      </c>
      <c r="B615" s="275">
        <v>200</v>
      </c>
      <c r="C615" s="275">
        <v>100</v>
      </c>
      <c r="D615" s="275">
        <v>600</v>
      </c>
      <c r="E615" s="276">
        <v>10</v>
      </c>
      <c r="F615" s="276"/>
      <c r="G615" s="94" t="s">
        <v>1124</v>
      </c>
      <c r="H615" s="367">
        <v>0</v>
      </c>
      <c r="I615" s="367"/>
      <c r="J615" s="64"/>
      <c r="L615" s="367"/>
    </row>
    <row r="616" spans="1:12" s="86" customFormat="1" ht="12.75">
      <c r="A616" s="277">
        <v>330</v>
      </c>
      <c r="B616" s="275">
        <v>200</v>
      </c>
      <c r="C616" s="275">
        <v>100</v>
      </c>
      <c r="D616" s="275">
        <v>600</v>
      </c>
      <c r="E616" s="276">
        <v>15</v>
      </c>
      <c r="F616" s="276"/>
      <c r="G616" s="94" t="s">
        <v>1153</v>
      </c>
      <c r="H616" s="367">
        <v>15013.55</v>
      </c>
      <c r="I616" s="367"/>
      <c r="J616" s="64"/>
      <c r="L616" s="367">
        <v>21341.744772891128</v>
      </c>
    </row>
    <row r="617" spans="1:12">
      <c r="A617" s="277">
        <v>330</v>
      </c>
      <c r="B617" s="275">
        <v>200</v>
      </c>
      <c r="C617" s="275">
        <v>100</v>
      </c>
      <c r="D617" s="276">
        <v>900</v>
      </c>
      <c r="E617" s="276"/>
      <c r="F617" s="276"/>
      <c r="G617" s="94" t="s">
        <v>1142</v>
      </c>
      <c r="H617" s="367">
        <v>9873733.4800000004</v>
      </c>
      <c r="I617" s="367"/>
      <c r="J617" s="64"/>
      <c r="L617" s="367">
        <v>6780719.2199515561</v>
      </c>
    </row>
    <row r="618" spans="1:12" s="86" customFormat="1" ht="12.75">
      <c r="A618" s="277">
        <v>330</v>
      </c>
      <c r="B618" s="275">
        <v>200</v>
      </c>
      <c r="C618" s="275">
        <v>200</v>
      </c>
      <c r="D618" s="275"/>
      <c r="E618" s="275"/>
      <c r="F618" s="275"/>
      <c r="G618" s="63" t="s">
        <v>1192</v>
      </c>
      <c r="H618" s="366"/>
      <c r="I618" s="366"/>
      <c r="J618" s="64" t="s">
        <v>1193</v>
      </c>
      <c r="L618" s="366"/>
    </row>
    <row r="619" spans="1:12" s="86" customFormat="1" ht="12.75">
      <c r="A619" s="277">
        <v>330</v>
      </c>
      <c r="B619" s="275">
        <v>200</v>
      </c>
      <c r="C619" s="275">
        <v>200</v>
      </c>
      <c r="D619" s="276">
        <v>100</v>
      </c>
      <c r="E619" s="276"/>
      <c r="F619" s="276"/>
      <c r="G619" s="94" t="s">
        <v>1114</v>
      </c>
      <c r="H619" s="367">
        <v>1185136.8400000001</v>
      </c>
      <c r="I619" s="367"/>
      <c r="J619" s="64"/>
      <c r="L619" s="367">
        <v>809359.74269473995</v>
      </c>
    </row>
    <row r="620" spans="1:12" s="86" customFormat="1" ht="12.75">
      <c r="A620" s="277">
        <v>330</v>
      </c>
      <c r="B620" s="275">
        <v>200</v>
      </c>
      <c r="C620" s="275">
        <v>200</v>
      </c>
      <c r="D620" s="276">
        <v>200</v>
      </c>
      <c r="E620" s="276"/>
      <c r="F620" s="276"/>
      <c r="G620" s="94" t="s">
        <v>1150</v>
      </c>
      <c r="H620" s="367">
        <v>25094.880000000001</v>
      </c>
      <c r="I620" s="367"/>
      <c r="J620" s="64"/>
      <c r="L620" s="367">
        <v>9361.5278828407409</v>
      </c>
    </row>
    <row r="621" spans="1:12" s="86" customFormat="1" ht="12.75">
      <c r="A621" s="277">
        <v>330</v>
      </c>
      <c r="B621" s="275">
        <v>200</v>
      </c>
      <c r="C621" s="275">
        <v>200</v>
      </c>
      <c r="D621" s="276">
        <v>300</v>
      </c>
      <c r="E621" s="276"/>
      <c r="F621" s="276"/>
      <c r="G621" s="94" t="s">
        <v>1151</v>
      </c>
      <c r="H621" s="367">
        <v>270635.06</v>
      </c>
      <c r="I621" s="367"/>
      <c r="J621" s="64"/>
      <c r="L621" s="367">
        <v>119161.85334201396</v>
      </c>
    </row>
    <row r="622" spans="1:12" s="86" customFormat="1" ht="12.75">
      <c r="A622" s="277">
        <v>330</v>
      </c>
      <c r="B622" s="275">
        <v>200</v>
      </c>
      <c r="C622" s="275">
        <v>200</v>
      </c>
      <c r="D622" s="276">
        <v>400</v>
      </c>
      <c r="E622" s="276"/>
      <c r="F622" s="276"/>
      <c r="G622" s="94" t="s">
        <v>1152</v>
      </c>
      <c r="H622" s="367">
        <v>88194.51</v>
      </c>
      <c r="I622" s="367"/>
      <c r="J622" s="64"/>
      <c r="L622" s="367">
        <v>63620.080803510522</v>
      </c>
    </row>
    <row r="623" spans="1:12" s="86" customFormat="1" ht="12.75">
      <c r="A623" s="277">
        <v>330</v>
      </c>
      <c r="B623" s="275">
        <v>200</v>
      </c>
      <c r="C623" s="275">
        <v>200</v>
      </c>
      <c r="D623" s="276">
        <v>500</v>
      </c>
      <c r="E623" s="276"/>
      <c r="F623" s="276"/>
      <c r="G623" s="94" t="s">
        <v>1139</v>
      </c>
      <c r="H623" s="367">
        <v>134564.38</v>
      </c>
      <c r="I623" s="367"/>
      <c r="J623" s="64"/>
      <c r="L623" s="367">
        <v>49206.503030653323</v>
      </c>
    </row>
    <row r="624" spans="1:12" s="86" customFormat="1" ht="12.75">
      <c r="A624" s="277">
        <v>330</v>
      </c>
      <c r="B624" s="275">
        <v>200</v>
      </c>
      <c r="C624" s="275">
        <v>200</v>
      </c>
      <c r="D624" s="275">
        <v>600</v>
      </c>
      <c r="E624" s="275"/>
      <c r="F624" s="275"/>
      <c r="G624" s="95" t="s">
        <v>1122</v>
      </c>
      <c r="H624" s="366"/>
      <c r="I624" s="366"/>
      <c r="J624" s="64"/>
      <c r="L624" s="366"/>
    </row>
    <row r="625" spans="1:12" s="86" customFormat="1" ht="12.75">
      <c r="A625" s="277">
        <v>330</v>
      </c>
      <c r="B625" s="275">
        <v>200</v>
      </c>
      <c r="C625" s="275">
        <v>200</v>
      </c>
      <c r="D625" s="275">
        <v>600</v>
      </c>
      <c r="E625" s="276">
        <v>5</v>
      </c>
      <c r="F625" s="276"/>
      <c r="G625" s="94" t="s">
        <v>1123</v>
      </c>
      <c r="H625" s="367">
        <v>0</v>
      </c>
      <c r="I625" s="367"/>
      <c r="J625" s="64"/>
      <c r="L625" s="367"/>
    </row>
    <row r="626" spans="1:12" s="86" customFormat="1" ht="12.75">
      <c r="A626" s="277">
        <v>330</v>
      </c>
      <c r="B626" s="275">
        <v>200</v>
      </c>
      <c r="C626" s="275">
        <v>200</v>
      </c>
      <c r="D626" s="275">
        <v>600</v>
      </c>
      <c r="E626" s="276">
        <v>10</v>
      </c>
      <c r="F626" s="276"/>
      <c r="G626" s="94" t="s">
        <v>1124</v>
      </c>
      <c r="H626" s="367">
        <v>0</v>
      </c>
      <c r="I626" s="367"/>
      <c r="J626" s="64"/>
      <c r="L626" s="367"/>
    </row>
    <row r="627" spans="1:12" s="86" customFormat="1" ht="12.75">
      <c r="A627" s="277">
        <v>330</v>
      </c>
      <c r="B627" s="275">
        <v>200</v>
      </c>
      <c r="C627" s="275">
        <v>200</v>
      </c>
      <c r="D627" s="275">
        <v>600</v>
      </c>
      <c r="E627" s="276">
        <v>15</v>
      </c>
      <c r="F627" s="276"/>
      <c r="G627" s="94" t="s">
        <v>1153</v>
      </c>
      <c r="H627" s="367">
        <v>28.05</v>
      </c>
      <c r="I627" s="367"/>
      <c r="J627" s="64"/>
      <c r="L627" s="367">
        <v>646.71953857245853</v>
      </c>
    </row>
    <row r="628" spans="1:12">
      <c r="A628" s="277">
        <v>330</v>
      </c>
      <c r="B628" s="275">
        <v>200</v>
      </c>
      <c r="C628" s="275">
        <v>200</v>
      </c>
      <c r="D628" s="276">
        <v>900</v>
      </c>
      <c r="E628" s="276"/>
      <c r="F628" s="276"/>
      <c r="G628" s="94" t="s">
        <v>1142</v>
      </c>
      <c r="H628" s="367">
        <v>448237.44</v>
      </c>
      <c r="I628" s="367"/>
      <c r="J628" s="64"/>
      <c r="L628" s="367">
        <v>325710.2211751641</v>
      </c>
    </row>
    <row r="629" spans="1:12" s="79" customFormat="1" ht="15.75">
      <c r="A629" s="277">
        <v>330</v>
      </c>
      <c r="B629" s="275">
        <v>200</v>
      </c>
      <c r="C629" s="276">
        <v>300</v>
      </c>
      <c r="D629" s="276"/>
      <c r="E629" s="276"/>
      <c r="F629" s="276"/>
      <c r="G629" s="63" t="s">
        <v>1194</v>
      </c>
      <c r="H629" s="367">
        <v>0</v>
      </c>
      <c r="I629" s="367"/>
      <c r="J629" s="64" t="s">
        <v>1195</v>
      </c>
      <c r="L629" s="367"/>
    </row>
    <row r="630" spans="1:12">
      <c r="A630" s="272">
        <v>335</v>
      </c>
      <c r="B630" s="93">
        <v>0</v>
      </c>
      <c r="C630" s="93">
        <v>0</v>
      </c>
      <c r="D630" s="93">
        <v>0</v>
      </c>
      <c r="E630" s="93">
        <v>0</v>
      </c>
      <c r="F630" s="93">
        <v>0</v>
      </c>
      <c r="G630" s="81" t="s">
        <v>1196</v>
      </c>
      <c r="H630" s="366"/>
      <c r="I630" s="366"/>
      <c r="J630" s="61" t="s">
        <v>1197</v>
      </c>
      <c r="L630" s="366"/>
    </row>
    <row r="631" spans="1:12">
      <c r="A631" s="277">
        <v>335</v>
      </c>
      <c r="B631" s="275">
        <v>100</v>
      </c>
      <c r="C631" s="275"/>
      <c r="D631" s="275"/>
      <c r="E631" s="275"/>
      <c r="F631" s="275"/>
      <c r="G631" s="63" t="s">
        <v>1198</v>
      </c>
      <c r="H631" s="366"/>
      <c r="I631" s="366"/>
      <c r="J631" s="64" t="s">
        <v>1199</v>
      </c>
      <c r="L631" s="366"/>
    </row>
    <row r="632" spans="1:12" s="86" customFormat="1" ht="12.75">
      <c r="A632" s="277">
        <v>335</v>
      </c>
      <c r="B632" s="275">
        <v>100</v>
      </c>
      <c r="C632" s="275">
        <v>100</v>
      </c>
      <c r="D632" s="275"/>
      <c r="E632" s="275"/>
      <c r="F632" s="275"/>
      <c r="G632" s="63" t="s">
        <v>1200</v>
      </c>
      <c r="H632" s="366"/>
      <c r="I632" s="366"/>
      <c r="J632" s="64" t="s">
        <v>1201</v>
      </c>
      <c r="L632" s="366"/>
    </row>
    <row r="633" spans="1:12" s="86" customFormat="1" ht="12.75">
      <c r="A633" s="277">
        <v>335</v>
      </c>
      <c r="B633" s="275">
        <v>100</v>
      </c>
      <c r="C633" s="275">
        <v>100</v>
      </c>
      <c r="D633" s="276">
        <v>100</v>
      </c>
      <c r="E633" s="276"/>
      <c r="F633" s="276"/>
      <c r="G633" s="94" t="s">
        <v>1114</v>
      </c>
      <c r="H633" s="367">
        <v>1033529.4</v>
      </c>
      <c r="I633" s="367"/>
      <c r="J633" s="64"/>
      <c r="L633" s="367"/>
    </row>
    <row r="634" spans="1:12" s="86" customFormat="1" ht="12.75">
      <c r="A634" s="277">
        <v>335</v>
      </c>
      <c r="B634" s="275">
        <v>100</v>
      </c>
      <c r="C634" s="275">
        <v>100</v>
      </c>
      <c r="D634" s="276">
        <v>200</v>
      </c>
      <c r="E634" s="276"/>
      <c r="F634" s="276"/>
      <c r="G634" s="94" t="s">
        <v>1115</v>
      </c>
      <c r="H634" s="367">
        <v>479720.29</v>
      </c>
      <c r="I634" s="367"/>
      <c r="J634" s="64"/>
      <c r="L634" s="367"/>
    </row>
    <row r="635" spans="1:12" s="86" customFormat="1" ht="12.75">
      <c r="A635" s="277">
        <v>335</v>
      </c>
      <c r="B635" s="275">
        <v>100</v>
      </c>
      <c r="C635" s="275">
        <v>100</v>
      </c>
      <c r="D635" s="276">
        <v>300</v>
      </c>
      <c r="E635" s="276"/>
      <c r="F635" s="276"/>
      <c r="G635" s="94" t="s">
        <v>1138</v>
      </c>
      <c r="H635" s="367">
        <v>166534.39999999999</v>
      </c>
      <c r="I635" s="367"/>
      <c r="J635" s="64"/>
      <c r="L635" s="367"/>
    </row>
    <row r="636" spans="1:12" s="86" customFormat="1" ht="12.75">
      <c r="A636" s="277">
        <v>335</v>
      </c>
      <c r="B636" s="275">
        <v>100</v>
      </c>
      <c r="C636" s="275">
        <v>100</v>
      </c>
      <c r="D636" s="276">
        <v>400</v>
      </c>
      <c r="E636" s="276"/>
      <c r="F636" s="276"/>
      <c r="G636" s="94" t="s">
        <v>1139</v>
      </c>
      <c r="H636" s="367"/>
      <c r="I636" s="367"/>
      <c r="J636" s="64"/>
      <c r="L636" s="367"/>
    </row>
    <row r="637" spans="1:12" s="86" customFormat="1" ht="12.75">
      <c r="A637" s="277">
        <v>335</v>
      </c>
      <c r="B637" s="275">
        <v>100</v>
      </c>
      <c r="C637" s="275">
        <v>100</v>
      </c>
      <c r="D637" s="275">
        <v>500</v>
      </c>
      <c r="E637" s="275"/>
      <c r="F637" s="275"/>
      <c r="G637" s="95" t="s">
        <v>1122</v>
      </c>
      <c r="H637" s="366"/>
      <c r="I637" s="366"/>
      <c r="J637" s="64"/>
      <c r="L637" s="366"/>
    </row>
    <row r="638" spans="1:12" s="86" customFormat="1" ht="12.75">
      <c r="A638" s="277">
        <v>335</v>
      </c>
      <c r="B638" s="275">
        <v>100</v>
      </c>
      <c r="C638" s="275">
        <v>100</v>
      </c>
      <c r="D638" s="275">
        <v>500</v>
      </c>
      <c r="E638" s="276">
        <v>5</v>
      </c>
      <c r="F638" s="276"/>
      <c r="G638" s="94" t="s">
        <v>1123</v>
      </c>
      <c r="H638" s="367">
        <v>0</v>
      </c>
      <c r="I638" s="367"/>
      <c r="J638" s="64"/>
      <c r="L638" s="367"/>
    </row>
    <row r="639" spans="1:12" s="86" customFormat="1" ht="12.75">
      <c r="A639" s="277">
        <v>335</v>
      </c>
      <c r="B639" s="275">
        <v>100</v>
      </c>
      <c r="C639" s="275">
        <v>100</v>
      </c>
      <c r="D639" s="275">
        <v>500</v>
      </c>
      <c r="E639" s="276">
        <v>10</v>
      </c>
      <c r="F639" s="276"/>
      <c r="G639" s="94" t="s">
        <v>1124</v>
      </c>
      <c r="H639" s="367">
        <v>0</v>
      </c>
      <c r="I639" s="367"/>
      <c r="J639" s="64"/>
      <c r="L639" s="367"/>
    </row>
    <row r="640" spans="1:12" s="86" customFormat="1" ht="12.75">
      <c r="A640" s="277">
        <v>335</v>
      </c>
      <c r="B640" s="275">
        <v>100</v>
      </c>
      <c r="C640" s="275">
        <v>100</v>
      </c>
      <c r="D640" s="275">
        <v>500</v>
      </c>
      <c r="E640" s="276">
        <v>15</v>
      </c>
      <c r="F640" s="276"/>
      <c r="G640" s="94" t="s">
        <v>1202</v>
      </c>
      <c r="H640" s="367">
        <v>19158.73</v>
      </c>
      <c r="I640" s="367"/>
      <c r="J640" s="64"/>
      <c r="L640" s="367"/>
    </row>
    <row r="641" spans="1:12">
      <c r="A641" s="277">
        <v>335</v>
      </c>
      <c r="B641" s="275">
        <v>100</v>
      </c>
      <c r="C641" s="275">
        <v>100</v>
      </c>
      <c r="D641" s="276">
        <v>900</v>
      </c>
      <c r="E641" s="276"/>
      <c r="F641" s="276"/>
      <c r="G641" s="94" t="s">
        <v>1142</v>
      </c>
      <c r="H641" s="367">
        <v>444207.06</v>
      </c>
      <c r="I641" s="367"/>
      <c r="J641" s="64"/>
      <c r="L641" s="367"/>
    </row>
    <row r="642" spans="1:12">
      <c r="A642" s="277">
        <v>335</v>
      </c>
      <c r="B642" s="275">
        <v>100</v>
      </c>
      <c r="C642" s="275">
        <v>200</v>
      </c>
      <c r="D642" s="275"/>
      <c r="E642" s="275"/>
      <c r="F642" s="275"/>
      <c r="G642" s="63" t="s">
        <v>1203</v>
      </c>
      <c r="H642" s="366"/>
      <c r="I642" s="366"/>
      <c r="J642" s="64" t="s">
        <v>1204</v>
      </c>
      <c r="L642" s="366"/>
    </row>
    <row r="643" spans="1:12">
      <c r="A643" s="277">
        <v>335</v>
      </c>
      <c r="B643" s="275">
        <v>100</v>
      </c>
      <c r="C643" s="275">
        <v>200</v>
      </c>
      <c r="D643" s="276">
        <v>100</v>
      </c>
      <c r="E643" s="276"/>
      <c r="F643" s="276"/>
      <c r="G643" s="94" t="s">
        <v>1114</v>
      </c>
      <c r="H643" s="367">
        <v>44641.07</v>
      </c>
      <c r="I643" s="367"/>
      <c r="J643" s="64"/>
      <c r="L643" s="367"/>
    </row>
    <row r="644" spans="1:12">
      <c r="A644" s="277">
        <v>335</v>
      </c>
      <c r="B644" s="275">
        <v>100</v>
      </c>
      <c r="C644" s="275">
        <v>200</v>
      </c>
      <c r="D644" s="276">
        <v>200</v>
      </c>
      <c r="E644" s="276"/>
      <c r="F644" s="276"/>
      <c r="G644" s="94" t="s">
        <v>1115</v>
      </c>
      <c r="H644" s="367">
        <v>757.25</v>
      </c>
      <c r="I644" s="367"/>
      <c r="J644" s="64"/>
      <c r="L644" s="367"/>
    </row>
    <row r="645" spans="1:12">
      <c r="A645" s="277">
        <v>335</v>
      </c>
      <c r="B645" s="275">
        <v>100</v>
      </c>
      <c r="C645" s="275">
        <v>200</v>
      </c>
      <c r="D645" s="276">
        <v>300</v>
      </c>
      <c r="E645" s="276"/>
      <c r="F645" s="276"/>
      <c r="G645" s="94" t="s">
        <v>1138</v>
      </c>
      <c r="H645" s="367">
        <v>6606.47</v>
      </c>
      <c r="I645" s="367"/>
      <c r="J645" s="64"/>
      <c r="L645" s="367"/>
    </row>
    <row r="646" spans="1:12">
      <c r="A646" s="277">
        <v>335</v>
      </c>
      <c r="B646" s="275">
        <v>100</v>
      </c>
      <c r="C646" s="275">
        <v>200</v>
      </c>
      <c r="D646" s="276">
        <v>400</v>
      </c>
      <c r="E646" s="276"/>
      <c r="F646" s="276"/>
      <c r="G646" s="94" t="s">
        <v>1139</v>
      </c>
      <c r="H646" s="367"/>
      <c r="I646" s="367"/>
      <c r="J646" s="64"/>
      <c r="L646" s="367"/>
    </row>
    <row r="647" spans="1:12">
      <c r="A647" s="277">
        <v>335</v>
      </c>
      <c r="B647" s="275">
        <v>100</v>
      </c>
      <c r="C647" s="275">
        <v>200</v>
      </c>
      <c r="D647" s="275">
        <v>500</v>
      </c>
      <c r="E647" s="275"/>
      <c r="F647" s="275"/>
      <c r="G647" s="95" t="s">
        <v>1122</v>
      </c>
      <c r="H647" s="366"/>
      <c r="I647" s="366"/>
      <c r="J647" s="64"/>
      <c r="L647" s="366"/>
    </row>
    <row r="648" spans="1:12">
      <c r="A648" s="277">
        <v>335</v>
      </c>
      <c r="B648" s="275">
        <v>100</v>
      </c>
      <c r="C648" s="275">
        <v>200</v>
      </c>
      <c r="D648" s="275">
        <v>500</v>
      </c>
      <c r="E648" s="276">
        <v>5</v>
      </c>
      <c r="F648" s="276"/>
      <c r="G648" s="94" t="s">
        <v>1123</v>
      </c>
      <c r="H648" s="367">
        <v>0</v>
      </c>
      <c r="I648" s="367"/>
      <c r="J648" s="64"/>
      <c r="L648" s="367"/>
    </row>
    <row r="649" spans="1:12">
      <c r="A649" s="277">
        <v>335</v>
      </c>
      <c r="B649" s="275">
        <v>100</v>
      </c>
      <c r="C649" s="275">
        <v>200</v>
      </c>
      <c r="D649" s="275">
        <v>500</v>
      </c>
      <c r="E649" s="276">
        <v>10</v>
      </c>
      <c r="F649" s="276"/>
      <c r="G649" s="94" t="s">
        <v>1124</v>
      </c>
      <c r="H649" s="367">
        <v>0</v>
      </c>
      <c r="I649" s="367"/>
      <c r="J649" s="64"/>
      <c r="L649" s="367"/>
    </row>
    <row r="650" spans="1:12">
      <c r="A650" s="277">
        <v>335</v>
      </c>
      <c r="B650" s="275">
        <v>100</v>
      </c>
      <c r="C650" s="275">
        <v>200</v>
      </c>
      <c r="D650" s="275">
        <v>500</v>
      </c>
      <c r="E650" s="276">
        <v>15</v>
      </c>
      <c r="F650" s="276"/>
      <c r="G650" s="94" t="s">
        <v>1202</v>
      </c>
      <c r="H650" s="367">
        <v>214.4</v>
      </c>
      <c r="I650" s="367"/>
      <c r="J650" s="64"/>
      <c r="L650" s="367"/>
    </row>
    <row r="651" spans="1:12">
      <c r="A651" s="277">
        <v>335</v>
      </c>
      <c r="B651" s="275">
        <v>100</v>
      </c>
      <c r="C651" s="275">
        <v>200</v>
      </c>
      <c r="D651" s="276">
        <v>900</v>
      </c>
      <c r="E651" s="276"/>
      <c r="F651" s="276"/>
      <c r="G651" s="94" t="s">
        <v>1142</v>
      </c>
      <c r="H651" s="367">
        <v>76746.27</v>
      </c>
      <c r="I651" s="367"/>
      <c r="J651" s="64"/>
      <c r="L651" s="367"/>
    </row>
    <row r="652" spans="1:12">
      <c r="A652" s="277">
        <v>335</v>
      </c>
      <c r="B652" s="275">
        <v>100</v>
      </c>
      <c r="C652" s="276">
        <v>300</v>
      </c>
      <c r="D652" s="276"/>
      <c r="E652" s="276"/>
      <c r="F652" s="276"/>
      <c r="G652" s="63" t="s">
        <v>1205</v>
      </c>
      <c r="H652" s="367">
        <v>0</v>
      </c>
      <c r="I652" s="367"/>
      <c r="J652" s="64" t="s">
        <v>1206</v>
      </c>
      <c r="L652" s="367"/>
    </row>
    <row r="653" spans="1:12">
      <c r="A653" s="277">
        <v>335</v>
      </c>
      <c r="B653" s="275">
        <v>200</v>
      </c>
      <c r="C653" s="275"/>
      <c r="D653" s="275"/>
      <c r="E653" s="275"/>
      <c r="F653" s="275"/>
      <c r="G653" s="63" t="s">
        <v>1207</v>
      </c>
      <c r="H653" s="366"/>
      <c r="I653" s="366"/>
      <c r="J653" s="64" t="s">
        <v>1208</v>
      </c>
      <c r="L653" s="366"/>
    </row>
    <row r="654" spans="1:12">
      <c r="A654" s="277">
        <v>335</v>
      </c>
      <c r="B654" s="275">
        <v>200</v>
      </c>
      <c r="C654" s="275">
        <v>100</v>
      </c>
      <c r="D654" s="275"/>
      <c r="E654" s="275"/>
      <c r="F654" s="275"/>
      <c r="G654" s="63" t="s">
        <v>1209</v>
      </c>
      <c r="H654" s="366"/>
      <c r="I654" s="366"/>
      <c r="J654" s="64" t="s">
        <v>1210</v>
      </c>
      <c r="L654" s="366"/>
    </row>
    <row r="655" spans="1:12">
      <c r="A655" s="277">
        <v>335</v>
      </c>
      <c r="B655" s="275">
        <v>200</v>
      </c>
      <c r="C655" s="275">
        <v>100</v>
      </c>
      <c r="D655" s="276">
        <v>100</v>
      </c>
      <c r="E655" s="276"/>
      <c r="F655" s="276"/>
      <c r="G655" s="94" t="s">
        <v>1114</v>
      </c>
      <c r="H655" s="367">
        <v>9257713.8200000003</v>
      </c>
      <c r="I655" s="367"/>
      <c r="J655" s="64"/>
      <c r="L655" s="367">
        <v>1406083.2816485506</v>
      </c>
    </row>
    <row r="656" spans="1:12">
      <c r="A656" s="277">
        <v>335</v>
      </c>
      <c r="B656" s="275">
        <v>200</v>
      </c>
      <c r="C656" s="275">
        <v>100</v>
      </c>
      <c r="D656" s="276">
        <v>200</v>
      </c>
      <c r="E656" s="276"/>
      <c r="F656" s="276"/>
      <c r="G656" s="94" t="s">
        <v>1150</v>
      </c>
      <c r="H656" s="367">
        <v>11870.9</v>
      </c>
      <c r="I656" s="367"/>
      <c r="J656" s="64"/>
      <c r="L656" s="367">
        <v>16263.581139979851</v>
      </c>
    </row>
    <row r="657" spans="1:12">
      <c r="A657" s="277">
        <v>335</v>
      </c>
      <c r="B657" s="275">
        <v>200</v>
      </c>
      <c r="C657" s="275">
        <v>100</v>
      </c>
      <c r="D657" s="276">
        <v>300</v>
      </c>
      <c r="E657" s="276"/>
      <c r="F657" s="276"/>
      <c r="G657" s="94" t="s">
        <v>1151</v>
      </c>
      <c r="H657" s="367">
        <v>1353128.53</v>
      </c>
      <c r="I657" s="367"/>
      <c r="J657" s="64"/>
      <c r="L657" s="367">
        <v>207017.32611088915</v>
      </c>
    </row>
    <row r="658" spans="1:12">
      <c r="A658" s="277">
        <v>335</v>
      </c>
      <c r="B658" s="275">
        <v>200</v>
      </c>
      <c r="C658" s="275">
        <v>100</v>
      </c>
      <c r="D658" s="276">
        <v>400</v>
      </c>
      <c r="E658" s="276"/>
      <c r="F658" s="276"/>
      <c r="G658" s="94" t="s">
        <v>1152</v>
      </c>
      <c r="H658" s="367">
        <v>898413.58</v>
      </c>
      <c r="I658" s="367"/>
      <c r="J658" s="64"/>
      <c r="L658" s="367">
        <v>110525.79869750841</v>
      </c>
    </row>
    <row r="659" spans="1:12">
      <c r="A659" s="277">
        <v>335</v>
      </c>
      <c r="B659" s="275">
        <v>200</v>
      </c>
      <c r="C659" s="275">
        <v>100</v>
      </c>
      <c r="D659" s="276">
        <v>500</v>
      </c>
      <c r="E659" s="276"/>
      <c r="F659" s="276"/>
      <c r="G659" s="94" t="s">
        <v>1139</v>
      </c>
      <c r="H659" s="367">
        <v>8970.76</v>
      </c>
      <c r="I659" s="367"/>
      <c r="J659" s="64"/>
      <c r="L659" s="367">
        <v>85485.399890819186</v>
      </c>
    </row>
    <row r="660" spans="1:12">
      <c r="A660" s="277">
        <v>335</v>
      </c>
      <c r="B660" s="275">
        <v>200</v>
      </c>
      <c r="C660" s="275">
        <v>100</v>
      </c>
      <c r="D660" s="275">
        <v>600</v>
      </c>
      <c r="E660" s="275"/>
      <c r="F660" s="275"/>
      <c r="G660" s="95" t="s">
        <v>1122</v>
      </c>
      <c r="H660" s="366"/>
      <c r="I660" s="366"/>
      <c r="J660" s="64"/>
      <c r="L660" s="366"/>
    </row>
    <row r="661" spans="1:12">
      <c r="A661" s="277">
        <v>335</v>
      </c>
      <c r="B661" s="275">
        <v>200</v>
      </c>
      <c r="C661" s="275">
        <v>100</v>
      </c>
      <c r="D661" s="275">
        <v>600</v>
      </c>
      <c r="E661" s="276">
        <v>5</v>
      </c>
      <c r="F661" s="276"/>
      <c r="G661" s="94" t="s">
        <v>1123</v>
      </c>
      <c r="H661" s="367">
        <v>0</v>
      </c>
      <c r="I661" s="367"/>
      <c r="J661" s="64"/>
      <c r="L661" s="367"/>
    </row>
    <row r="662" spans="1:12">
      <c r="A662" s="277">
        <v>335</v>
      </c>
      <c r="B662" s="275">
        <v>200</v>
      </c>
      <c r="C662" s="275">
        <v>100</v>
      </c>
      <c r="D662" s="275">
        <v>600</v>
      </c>
      <c r="E662" s="276">
        <v>10</v>
      </c>
      <c r="F662" s="276"/>
      <c r="G662" s="94" t="s">
        <v>1124</v>
      </c>
      <c r="H662" s="367">
        <v>0</v>
      </c>
      <c r="I662" s="367"/>
      <c r="J662" s="64"/>
      <c r="L662" s="367"/>
    </row>
    <row r="663" spans="1:12">
      <c r="A663" s="277">
        <v>335</v>
      </c>
      <c r="B663" s="275">
        <v>200</v>
      </c>
      <c r="C663" s="275">
        <v>100</v>
      </c>
      <c r="D663" s="275">
        <v>600</v>
      </c>
      <c r="E663" s="276">
        <v>15</v>
      </c>
      <c r="F663" s="276"/>
      <c r="G663" s="94" t="s">
        <v>1153</v>
      </c>
      <c r="H663" s="367">
        <v>23922.34</v>
      </c>
      <c r="I663" s="367"/>
      <c r="J663" s="64"/>
      <c r="L663" s="367">
        <v>3500</v>
      </c>
    </row>
    <row r="664" spans="1:12">
      <c r="A664" s="277">
        <v>335</v>
      </c>
      <c r="B664" s="275">
        <v>200</v>
      </c>
      <c r="C664" s="275">
        <v>100</v>
      </c>
      <c r="D664" s="276">
        <v>900</v>
      </c>
      <c r="E664" s="276"/>
      <c r="F664" s="276"/>
      <c r="G664" s="94" t="s">
        <v>1142</v>
      </c>
      <c r="H664" s="367">
        <v>3292184.58</v>
      </c>
      <c r="I664" s="367"/>
      <c r="J664" s="64"/>
      <c r="L664" s="367">
        <v>518120.39727527881</v>
      </c>
    </row>
    <row r="665" spans="1:12">
      <c r="A665" s="277">
        <v>335</v>
      </c>
      <c r="B665" s="275">
        <v>200</v>
      </c>
      <c r="C665" s="275">
        <v>200</v>
      </c>
      <c r="D665" s="275"/>
      <c r="E665" s="275"/>
      <c r="F665" s="275"/>
      <c r="G665" s="63" t="s">
        <v>1211</v>
      </c>
      <c r="H665" s="366"/>
      <c r="I665" s="366"/>
      <c r="J665" s="64" t="s">
        <v>1212</v>
      </c>
      <c r="L665" s="366"/>
    </row>
    <row r="666" spans="1:12">
      <c r="A666" s="277">
        <v>335</v>
      </c>
      <c r="B666" s="275">
        <v>200</v>
      </c>
      <c r="C666" s="275">
        <v>200</v>
      </c>
      <c r="D666" s="276">
        <v>100</v>
      </c>
      <c r="E666" s="276"/>
      <c r="F666" s="276"/>
      <c r="G666" s="94" t="s">
        <v>1114</v>
      </c>
      <c r="H666" s="367">
        <v>435412.88</v>
      </c>
      <c r="I666" s="367"/>
      <c r="J666" s="64"/>
      <c r="L666" s="367">
        <v>63848.158170289855</v>
      </c>
    </row>
    <row r="667" spans="1:12">
      <c r="A667" s="277">
        <v>335</v>
      </c>
      <c r="B667" s="275">
        <v>200</v>
      </c>
      <c r="C667" s="275">
        <v>200</v>
      </c>
      <c r="D667" s="276">
        <v>200</v>
      </c>
      <c r="E667" s="276"/>
      <c r="F667" s="276"/>
      <c r="G667" s="94" t="s">
        <v>1150</v>
      </c>
      <c r="H667" s="367">
        <v>999.67</v>
      </c>
      <c r="I667" s="367"/>
      <c r="J667" s="64"/>
      <c r="L667" s="367">
        <v>738.5051188598967</v>
      </c>
    </row>
    <row r="668" spans="1:12">
      <c r="A668" s="277">
        <v>335</v>
      </c>
      <c r="B668" s="275">
        <v>200</v>
      </c>
      <c r="C668" s="275">
        <v>200</v>
      </c>
      <c r="D668" s="276">
        <v>300</v>
      </c>
      <c r="E668" s="276"/>
      <c r="F668" s="276"/>
      <c r="G668" s="94" t="s">
        <v>1151</v>
      </c>
      <c r="H668" s="367">
        <v>24745.040000000001</v>
      </c>
      <c r="I668" s="367"/>
      <c r="J668" s="64"/>
      <c r="L668" s="367">
        <v>9400.3500034660628</v>
      </c>
    </row>
    <row r="669" spans="1:12">
      <c r="A669" s="277">
        <v>335</v>
      </c>
      <c r="B669" s="275">
        <v>200</v>
      </c>
      <c r="C669" s="275">
        <v>200</v>
      </c>
      <c r="D669" s="276">
        <v>400</v>
      </c>
      <c r="E669" s="276"/>
      <c r="F669" s="276"/>
      <c r="G669" s="94" t="s">
        <v>1152</v>
      </c>
      <c r="H669" s="367"/>
      <c r="I669" s="367"/>
      <c r="J669" s="64"/>
      <c r="L669" s="367">
        <v>5018.8127326728236</v>
      </c>
    </row>
    <row r="670" spans="1:12">
      <c r="A670" s="277">
        <v>335</v>
      </c>
      <c r="B670" s="275">
        <v>200</v>
      </c>
      <c r="C670" s="275">
        <v>200</v>
      </c>
      <c r="D670" s="276">
        <v>500</v>
      </c>
      <c r="E670" s="276"/>
      <c r="F670" s="276"/>
      <c r="G670" s="94" t="s">
        <v>1139</v>
      </c>
      <c r="H670" s="367"/>
      <c r="I670" s="367"/>
      <c r="J670" s="64"/>
      <c r="L670" s="367">
        <v>3881.7653297749312</v>
      </c>
    </row>
    <row r="671" spans="1:12">
      <c r="A671" s="277">
        <v>335</v>
      </c>
      <c r="B671" s="275">
        <v>200</v>
      </c>
      <c r="C671" s="275">
        <v>200</v>
      </c>
      <c r="D671" s="275">
        <v>600</v>
      </c>
      <c r="E671" s="275"/>
      <c r="F671" s="275"/>
      <c r="G671" s="95" t="s">
        <v>1122</v>
      </c>
      <c r="H671" s="366"/>
      <c r="I671" s="366"/>
      <c r="J671" s="64"/>
      <c r="L671" s="366"/>
    </row>
    <row r="672" spans="1:12">
      <c r="A672" s="277">
        <v>335</v>
      </c>
      <c r="B672" s="275">
        <v>200</v>
      </c>
      <c r="C672" s="275">
        <v>200</v>
      </c>
      <c r="D672" s="275">
        <v>600</v>
      </c>
      <c r="E672" s="276">
        <v>5</v>
      </c>
      <c r="F672" s="276"/>
      <c r="G672" s="94" t="s">
        <v>1123</v>
      </c>
      <c r="H672" s="367">
        <v>0</v>
      </c>
      <c r="I672" s="367"/>
      <c r="J672" s="64"/>
      <c r="L672" s="367"/>
    </row>
    <row r="673" spans="1:12">
      <c r="A673" s="277">
        <v>335</v>
      </c>
      <c r="B673" s="275">
        <v>200</v>
      </c>
      <c r="C673" s="275">
        <v>200</v>
      </c>
      <c r="D673" s="275">
        <v>600</v>
      </c>
      <c r="E673" s="276">
        <v>10</v>
      </c>
      <c r="F673" s="276"/>
      <c r="G673" s="94" t="s">
        <v>1124</v>
      </c>
      <c r="H673" s="367">
        <v>0</v>
      </c>
      <c r="I673" s="367"/>
      <c r="J673" s="64"/>
      <c r="L673" s="367"/>
    </row>
    <row r="674" spans="1:12">
      <c r="A674" s="277">
        <v>335</v>
      </c>
      <c r="B674" s="275">
        <v>200</v>
      </c>
      <c r="C674" s="275">
        <v>200</v>
      </c>
      <c r="D674" s="275">
        <v>600</v>
      </c>
      <c r="E674" s="276">
        <v>15</v>
      </c>
      <c r="F674" s="276"/>
      <c r="G674" s="94" t="s">
        <v>1153</v>
      </c>
      <c r="H674" s="367">
        <v>240.05</v>
      </c>
      <c r="I674" s="367"/>
      <c r="J674" s="64"/>
      <c r="L674" s="367"/>
    </row>
    <row r="675" spans="1:12">
      <c r="A675" s="277">
        <v>335</v>
      </c>
      <c r="B675" s="275">
        <v>200</v>
      </c>
      <c r="C675" s="275">
        <v>200</v>
      </c>
      <c r="D675" s="276">
        <v>900</v>
      </c>
      <c r="E675" s="276"/>
      <c r="F675" s="276"/>
      <c r="G675" s="94" t="s">
        <v>1142</v>
      </c>
      <c r="H675" s="367">
        <v>145841.9</v>
      </c>
      <c r="I675" s="367"/>
      <c r="J675" s="64"/>
      <c r="L675" s="367">
        <v>23821.893755445271</v>
      </c>
    </row>
    <row r="676" spans="1:12" s="79" customFormat="1" ht="15.75">
      <c r="A676" s="277">
        <v>335</v>
      </c>
      <c r="B676" s="275">
        <v>200</v>
      </c>
      <c r="C676" s="276">
        <v>300</v>
      </c>
      <c r="D676" s="276"/>
      <c r="E676" s="276"/>
      <c r="F676" s="276"/>
      <c r="G676" s="63" t="s">
        <v>1213</v>
      </c>
      <c r="H676" s="367">
        <v>0</v>
      </c>
      <c r="I676" s="367"/>
      <c r="J676" s="64" t="s">
        <v>1214</v>
      </c>
      <c r="L676" s="367"/>
    </row>
    <row r="677" spans="1:12">
      <c r="A677" s="272">
        <v>340</v>
      </c>
      <c r="B677" s="93">
        <v>0</v>
      </c>
      <c r="C677" s="93">
        <v>0</v>
      </c>
      <c r="D677" s="93">
        <v>0</v>
      </c>
      <c r="E677" s="93">
        <v>0</v>
      </c>
      <c r="F677" s="93">
        <v>0</v>
      </c>
      <c r="G677" s="81" t="s">
        <v>68</v>
      </c>
      <c r="H677" s="366"/>
      <c r="I677" s="366"/>
      <c r="J677" s="61" t="s">
        <v>1215</v>
      </c>
      <c r="L677" s="366"/>
    </row>
    <row r="678" spans="1:12">
      <c r="A678" s="277">
        <v>340</v>
      </c>
      <c r="B678" s="275">
        <v>100</v>
      </c>
      <c r="C678" s="275"/>
      <c r="D678" s="275"/>
      <c r="E678" s="275"/>
      <c r="F678" s="275"/>
      <c r="G678" s="63" t="s">
        <v>1216</v>
      </c>
      <c r="H678" s="366"/>
      <c r="I678" s="366"/>
      <c r="J678" s="64" t="s">
        <v>1217</v>
      </c>
      <c r="L678" s="366"/>
    </row>
    <row r="679" spans="1:12">
      <c r="A679" s="277">
        <v>340</v>
      </c>
      <c r="B679" s="275">
        <v>100</v>
      </c>
      <c r="C679" s="276">
        <v>100</v>
      </c>
      <c r="D679" s="276"/>
      <c r="E679" s="276"/>
      <c r="F679" s="276"/>
      <c r="G679" s="66" t="s">
        <v>1218</v>
      </c>
      <c r="H679" s="363">
        <v>6152.4</v>
      </c>
      <c r="I679" s="363"/>
      <c r="J679" s="64"/>
      <c r="L679" s="363">
        <v>151</v>
      </c>
    </row>
    <row r="680" spans="1:12">
      <c r="A680" s="277">
        <v>340</v>
      </c>
      <c r="B680" s="275">
        <v>100</v>
      </c>
      <c r="C680" s="276">
        <v>200</v>
      </c>
      <c r="D680" s="276"/>
      <c r="E680" s="276"/>
      <c r="F680" s="276"/>
      <c r="G680" s="66" t="s">
        <v>1219</v>
      </c>
      <c r="H680" s="363">
        <v>104238</v>
      </c>
      <c r="I680" s="363"/>
      <c r="J680" s="64"/>
      <c r="L680" s="363">
        <v>922.01</v>
      </c>
    </row>
    <row r="681" spans="1:12">
      <c r="A681" s="277">
        <v>340</v>
      </c>
      <c r="B681" s="275">
        <v>100</v>
      </c>
      <c r="C681" s="276">
        <v>300</v>
      </c>
      <c r="D681" s="276"/>
      <c r="E681" s="276"/>
      <c r="F681" s="276"/>
      <c r="G681" s="66" t="s">
        <v>1220</v>
      </c>
      <c r="H681" s="363">
        <v>503.49</v>
      </c>
      <c r="I681" s="363"/>
      <c r="J681" s="64"/>
      <c r="L681" s="363">
        <v>0</v>
      </c>
    </row>
    <row r="682" spans="1:12">
      <c r="A682" s="277">
        <v>340</v>
      </c>
      <c r="B682" s="275">
        <v>100</v>
      </c>
      <c r="C682" s="276">
        <v>400</v>
      </c>
      <c r="D682" s="276"/>
      <c r="E682" s="276"/>
      <c r="F682" s="276"/>
      <c r="G682" s="66" t="s">
        <v>1221</v>
      </c>
      <c r="H682" s="363">
        <v>1053918.3999999999</v>
      </c>
      <c r="I682" s="363"/>
      <c r="J682" s="64"/>
      <c r="L682" s="363">
        <v>122.4</v>
      </c>
    </row>
    <row r="683" spans="1:12">
      <c r="A683" s="277">
        <v>340</v>
      </c>
      <c r="B683" s="275">
        <v>100</v>
      </c>
      <c r="C683" s="276">
        <v>500</v>
      </c>
      <c r="D683" s="276"/>
      <c r="E683" s="276"/>
      <c r="F683" s="276"/>
      <c r="G683" s="66" t="s">
        <v>1222</v>
      </c>
      <c r="H683" s="363">
        <v>11243.85</v>
      </c>
      <c r="I683" s="363"/>
      <c r="J683" s="64"/>
      <c r="L683" s="363">
        <v>0</v>
      </c>
    </row>
    <row r="684" spans="1:12">
      <c r="A684" s="277">
        <v>340</v>
      </c>
      <c r="B684" s="275">
        <v>100</v>
      </c>
      <c r="C684" s="276">
        <v>600</v>
      </c>
      <c r="D684" s="276"/>
      <c r="E684" s="276"/>
      <c r="F684" s="276"/>
      <c r="G684" s="66" t="s">
        <v>1223</v>
      </c>
      <c r="H684" s="363">
        <v>5393.22</v>
      </c>
      <c r="I684" s="363"/>
      <c r="J684" s="64"/>
      <c r="L684" s="363">
        <v>0</v>
      </c>
    </row>
    <row r="685" spans="1:12">
      <c r="A685" s="277">
        <v>340</v>
      </c>
      <c r="B685" s="275">
        <v>100</v>
      </c>
      <c r="C685" s="276">
        <v>900</v>
      </c>
      <c r="D685" s="276"/>
      <c r="E685" s="276"/>
      <c r="F685" s="276"/>
      <c r="G685" s="66" t="s">
        <v>1224</v>
      </c>
      <c r="H685" s="363">
        <v>17454.71</v>
      </c>
      <c r="I685" s="363"/>
      <c r="J685" s="64"/>
      <c r="L685" s="363">
        <v>1307.1400000000001</v>
      </c>
    </row>
    <row r="686" spans="1:12">
      <c r="A686" s="277">
        <v>340</v>
      </c>
      <c r="B686" s="276">
        <v>200</v>
      </c>
      <c r="C686" s="276"/>
      <c r="D686" s="276"/>
      <c r="E686" s="276"/>
      <c r="F686" s="276"/>
      <c r="G686" s="63" t="s">
        <v>1225</v>
      </c>
      <c r="H686" s="363">
        <v>0</v>
      </c>
      <c r="I686" s="363"/>
      <c r="J686" s="64" t="s">
        <v>1226</v>
      </c>
      <c r="L686" s="363"/>
    </row>
    <row r="687" spans="1:12">
      <c r="A687" s="277">
        <v>340</v>
      </c>
      <c r="B687" s="275">
        <v>300</v>
      </c>
      <c r="C687" s="275"/>
      <c r="D687" s="275"/>
      <c r="E687" s="275"/>
      <c r="F687" s="275"/>
      <c r="G687" s="63" t="s">
        <v>1227</v>
      </c>
      <c r="H687" s="366"/>
      <c r="I687" s="366"/>
      <c r="J687" s="64" t="s">
        <v>1228</v>
      </c>
      <c r="L687" s="366"/>
    </row>
    <row r="688" spans="1:12" s="86" customFormat="1" ht="25.5">
      <c r="A688" s="277">
        <v>340</v>
      </c>
      <c r="B688" s="275">
        <v>300</v>
      </c>
      <c r="C688" s="275">
        <v>100</v>
      </c>
      <c r="D688" s="275"/>
      <c r="E688" s="275"/>
      <c r="F688" s="275"/>
      <c r="G688" s="63" t="s">
        <v>1229</v>
      </c>
      <c r="H688" s="366"/>
      <c r="I688" s="366"/>
      <c r="J688" s="64" t="s">
        <v>1230</v>
      </c>
      <c r="L688" s="366"/>
    </row>
    <row r="689" spans="1:12" s="86" customFormat="1" ht="12.75">
      <c r="A689" s="277">
        <v>340</v>
      </c>
      <c r="B689" s="275">
        <v>300</v>
      </c>
      <c r="C689" s="275">
        <v>100</v>
      </c>
      <c r="D689" s="275">
        <v>100</v>
      </c>
      <c r="E689" s="275"/>
      <c r="F689" s="275"/>
      <c r="G689" s="63" t="s">
        <v>1231</v>
      </c>
      <c r="H689" s="366"/>
      <c r="I689" s="366"/>
      <c r="J689" s="64"/>
      <c r="L689" s="366"/>
    </row>
    <row r="690" spans="1:12" s="86" customFormat="1" ht="12.75">
      <c r="A690" s="277">
        <v>340</v>
      </c>
      <c r="B690" s="275">
        <v>300</v>
      </c>
      <c r="C690" s="275">
        <v>100</v>
      </c>
      <c r="D690" s="275">
        <v>100</v>
      </c>
      <c r="E690" s="276">
        <v>10</v>
      </c>
      <c r="F690" s="276"/>
      <c r="G690" s="66" t="s">
        <v>1232</v>
      </c>
      <c r="H690" s="363">
        <v>379423.68</v>
      </c>
      <c r="I690" s="363"/>
      <c r="J690" s="64"/>
      <c r="L690" s="363"/>
    </row>
    <row r="691" spans="1:12" s="86" customFormat="1" ht="12.75">
      <c r="A691" s="277">
        <v>340</v>
      </c>
      <c r="B691" s="275">
        <v>300</v>
      </c>
      <c r="C691" s="275">
        <v>100</v>
      </c>
      <c r="D691" s="275">
        <v>100</v>
      </c>
      <c r="E691" s="276">
        <v>30</v>
      </c>
      <c r="F691" s="276"/>
      <c r="G691" s="66" t="s">
        <v>639</v>
      </c>
      <c r="H691" s="363">
        <v>120818.96</v>
      </c>
      <c r="I691" s="363"/>
      <c r="J691" s="64"/>
      <c r="L691" s="363"/>
    </row>
    <row r="692" spans="1:12" s="86" customFormat="1" ht="12.75">
      <c r="A692" s="277">
        <v>340</v>
      </c>
      <c r="B692" s="275">
        <v>300</v>
      </c>
      <c r="C692" s="275">
        <v>100</v>
      </c>
      <c r="D692" s="275">
        <v>100</v>
      </c>
      <c r="E692" s="276">
        <v>90</v>
      </c>
      <c r="F692" s="276"/>
      <c r="G692" s="66" t="s">
        <v>1233</v>
      </c>
      <c r="H692" s="363">
        <v>75884.740000000005</v>
      </c>
      <c r="I692" s="363"/>
      <c r="J692" s="64"/>
      <c r="L692" s="363"/>
    </row>
    <row r="693" spans="1:12" s="86" customFormat="1" ht="12.75">
      <c r="A693" s="277">
        <v>340</v>
      </c>
      <c r="B693" s="275">
        <v>300</v>
      </c>
      <c r="C693" s="275">
        <v>100</v>
      </c>
      <c r="D693" s="275">
        <v>200</v>
      </c>
      <c r="E693" s="275"/>
      <c r="F693" s="275"/>
      <c r="G693" s="63" t="s">
        <v>1234</v>
      </c>
      <c r="H693" s="366"/>
      <c r="I693" s="366"/>
      <c r="J693" s="64"/>
      <c r="L693" s="366"/>
    </row>
    <row r="694" spans="1:12" s="86" customFormat="1" ht="12.75">
      <c r="A694" s="277">
        <v>340</v>
      </c>
      <c r="B694" s="275">
        <v>300</v>
      </c>
      <c r="C694" s="275">
        <v>100</v>
      </c>
      <c r="D694" s="275">
        <v>200</v>
      </c>
      <c r="E694" s="276">
        <v>10</v>
      </c>
      <c r="F694" s="276"/>
      <c r="G694" s="66" t="s">
        <v>1232</v>
      </c>
      <c r="H694" s="363">
        <v>31135.37</v>
      </c>
      <c r="I694" s="363"/>
      <c r="J694" s="64"/>
      <c r="L694" s="363"/>
    </row>
    <row r="695" spans="1:12" s="86" customFormat="1" ht="12.75">
      <c r="A695" s="277">
        <v>340</v>
      </c>
      <c r="B695" s="275">
        <v>300</v>
      </c>
      <c r="C695" s="275">
        <v>100</v>
      </c>
      <c r="D695" s="275">
        <v>200</v>
      </c>
      <c r="E695" s="276">
        <v>30</v>
      </c>
      <c r="F695" s="276"/>
      <c r="G695" s="66" t="s">
        <v>639</v>
      </c>
      <c r="H695" s="363">
        <v>1911.76</v>
      </c>
      <c r="I695" s="363"/>
      <c r="J695" s="64"/>
      <c r="L695" s="363"/>
    </row>
    <row r="696" spans="1:12" s="86" customFormat="1" ht="12.75">
      <c r="A696" s="277">
        <v>340</v>
      </c>
      <c r="B696" s="275">
        <v>300</v>
      </c>
      <c r="C696" s="275">
        <v>100</v>
      </c>
      <c r="D696" s="275">
        <v>200</v>
      </c>
      <c r="E696" s="276">
        <v>90</v>
      </c>
      <c r="F696" s="276"/>
      <c r="G696" s="66" t="s">
        <v>1235</v>
      </c>
      <c r="H696" s="363">
        <v>415.53</v>
      </c>
      <c r="I696" s="363"/>
      <c r="J696" s="64"/>
      <c r="L696" s="363"/>
    </row>
    <row r="697" spans="1:12" s="86" customFormat="1" ht="12.75">
      <c r="A697" s="277">
        <v>340</v>
      </c>
      <c r="B697" s="275">
        <v>300</v>
      </c>
      <c r="C697" s="275">
        <v>100</v>
      </c>
      <c r="D697" s="275">
        <v>300</v>
      </c>
      <c r="E697" s="275"/>
      <c r="F697" s="275"/>
      <c r="G697" s="63" t="s">
        <v>1236</v>
      </c>
      <c r="H697" s="366"/>
      <c r="I697" s="366"/>
      <c r="J697" s="64"/>
      <c r="L697" s="366"/>
    </row>
    <row r="698" spans="1:12" s="86" customFormat="1" ht="12.75">
      <c r="A698" s="277">
        <v>340</v>
      </c>
      <c r="B698" s="275">
        <v>300</v>
      </c>
      <c r="C698" s="275">
        <v>100</v>
      </c>
      <c r="D698" s="275">
        <v>300</v>
      </c>
      <c r="E698" s="276">
        <v>10</v>
      </c>
      <c r="F698" s="276"/>
      <c r="G698" s="66" t="s">
        <v>1232</v>
      </c>
      <c r="H698" s="363">
        <v>16419.169999999998</v>
      </c>
      <c r="I698" s="363"/>
      <c r="J698" s="64"/>
      <c r="L698" s="363"/>
    </row>
    <row r="699" spans="1:12" s="86" customFormat="1" ht="12.75">
      <c r="A699" s="277">
        <v>340</v>
      </c>
      <c r="B699" s="275">
        <v>300</v>
      </c>
      <c r="C699" s="275">
        <v>100</v>
      </c>
      <c r="D699" s="275">
        <v>300</v>
      </c>
      <c r="E699" s="276">
        <v>30</v>
      </c>
      <c r="F699" s="276"/>
      <c r="G699" s="66" t="s">
        <v>639</v>
      </c>
      <c r="H699" s="363">
        <v>2670.45</v>
      </c>
      <c r="I699" s="363"/>
      <c r="J699" s="64"/>
      <c r="L699" s="363"/>
    </row>
    <row r="700" spans="1:12">
      <c r="A700" s="277">
        <v>340</v>
      </c>
      <c r="B700" s="275">
        <v>300</v>
      </c>
      <c r="C700" s="275">
        <v>100</v>
      </c>
      <c r="D700" s="275">
        <v>300</v>
      </c>
      <c r="E700" s="276">
        <v>90</v>
      </c>
      <c r="F700" s="276"/>
      <c r="G700" s="66" t="s">
        <v>1237</v>
      </c>
      <c r="H700" s="363">
        <v>3409.37</v>
      </c>
      <c r="I700" s="363"/>
      <c r="J700" s="64"/>
      <c r="L700" s="363"/>
    </row>
    <row r="701" spans="1:12" s="86" customFormat="1" ht="12.75">
      <c r="A701" s="277">
        <v>340</v>
      </c>
      <c r="B701" s="275">
        <v>300</v>
      </c>
      <c r="C701" s="275">
        <v>200</v>
      </c>
      <c r="D701" s="275"/>
      <c r="E701" s="275"/>
      <c r="F701" s="275"/>
      <c r="G701" s="63" t="s">
        <v>1227</v>
      </c>
      <c r="H701" s="366"/>
      <c r="I701" s="366"/>
      <c r="J701" s="64" t="s">
        <v>1238</v>
      </c>
      <c r="L701" s="366"/>
    </row>
    <row r="702" spans="1:12" s="86" customFormat="1" ht="12.75">
      <c r="A702" s="277">
        <v>340</v>
      </c>
      <c r="B702" s="275">
        <v>300</v>
      </c>
      <c r="C702" s="275">
        <v>200</v>
      </c>
      <c r="D702" s="276">
        <v>100</v>
      </c>
      <c r="E702" s="276"/>
      <c r="F702" s="276"/>
      <c r="G702" s="66" t="s">
        <v>1239</v>
      </c>
      <c r="H702" s="363">
        <v>102809.60000000001</v>
      </c>
      <c r="I702" s="363"/>
      <c r="J702" s="64"/>
      <c r="L702" s="363"/>
    </row>
    <row r="703" spans="1:12" s="86" customFormat="1" ht="12.75">
      <c r="A703" s="277">
        <v>340</v>
      </c>
      <c r="B703" s="275">
        <v>300</v>
      </c>
      <c r="C703" s="275">
        <v>200</v>
      </c>
      <c r="D703" s="276">
        <v>200</v>
      </c>
      <c r="E703" s="276"/>
      <c r="F703" s="276"/>
      <c r="G703" s="66" t="s">
        <v>1240</v>
      </c>
      <c r="H703" s="363">
        <v>10587.34</v>
      </c>
      <c r="I703" s="363"/>
      <c r="J703" s="64"/>
      <c r="L703" s="363"/>
    </row>
    <row r="704" spans="1:12" s="86" customFormat="1" ht="12.75">
      <c r="A704" s="277">
        <v>340</v>
      </c>
      <c r="B704" s="275">
        <v>300</v>
      </c>
      <c r="C704" s="275">
        <v>200</v>
      </c>
      <c r="D704" s="276">
        <v>900</v>
      </c>
      <c r="E704" s="276"/>
      <c r="F704" s="276"/>
      <c r="G704" s="66" t="s">
        <v>1227</v>
      </c>
      <c r="H704" s="363">
        <v>15848.58</v>
      </c>
      <c r="I704" s="363"/>
      <c r="J704" s="64"/>
      <c r="L704" s="363">
        <v>3130.48</v>
      </c>
    </row>
    <row r="705" spans="1:12" s="86" customFormat="1" ht="25.5">
      <c r="A705" s="277">
        <v>340</v>
      </c>
      <c r="B705" s="275">
        <v>300</v>
      </c>
      <c r="C705" s="275">
        <v>300</v>
      </c>
      <c r="D705" s="276"/>
      <c r="E705" s="276"/>
      <c r="F705" s="276"/>
      <c r="G705" s="66" t="s">
        <v>1241</v>
      </c>
      <c r="H705" s="363">
        <v>0</v>
      </c>
      <c r="I705" s="363"/>
      <c r="J705" s="64" t="s">
        <v>1242</v>
      </c>
      <c r="L705" s="363"/>
    </row>
    <row r="706" spans="1:12" s="79" customFormat="1" ht="15.75">
      <c r="A706" s="277">
        <v>340</v>
      </c>
      <c r="B706" s="275">
        <v>300</v>
      </c>
      <c r="C706" s="275">
        <v>400</v>
      </c>
      <c r="D706" s="276"/>
      <c r="E706" s="276"/>
      <c r="F706" s="276"/>
      <c r="G706" s="66" t="s">
        <v>1243</v>
      </c>
      <c r="H706" s="363">
        <v>0</v>
      </c>
      <c r="I706" s="363"/>
      <c r="J706" s="64" t="s">
        <v>1244</v>
      </c>
      <c r="L706" s="363"/>
    </row>
    <row r="707" spans="1:12" s="86" customFormat="1" ht="12.75">
      <c r="A707" s="272">
        <v>345</v>
      </c>
      <c r="B707" s="93">
        <v>0</v>
      </c>
      <c r="C707" s="93">
        <v>0</v>
      </c>
      <c r="D707" s="93">
        <v>0</v>
      </c>
      <c r="E707" s="93">
        <v>0</v>
      </c>
      <c r="F707" s="93">
        <v>0</v>
      </c>
      <c r="G707" s="81" t="s">
        <v>1245</v>
      </c>
      <c r="H707" s="366"/>
      <c r="I707" s="366"/>
      <c r="J707" s="61" t="s">
        <v>1246</v>
      </c>
      <c r="L707" s="366"/>
    </row>
    <row r="708" spans="1:12" s="86" customFormat="1" ht="12.75">
      <c r="A708" s="277">
        <v>345</v>
      </c>
      <c r="B708" s="276">
        <v>100</v>
      </c>
      <c r="C708" s="276"/>
      <c r="D708" s="276"/>
      <c r="E708" s="276"/>
      <c r="F708" s="276"/>
      <c r="G708" s="66" t="s">
        <v>1247</v>
      </c>
      <c r="H708" s="363">
        <v>0</v>
      </c>
      <c r="I708" s="363"/>
      <c r="J708" s="64"/>
      <c r="L708" s="363"/>
    </row>
    <row r="709" spans="1:12" s="86" customFormat="1" ht="12.75">
      <c r="A709" s="277">
        <v>345</v>
      </c>
      <c r="B709" s="276">
        <v>200</v>
      </c>
      <c r="C709" s="276"/>
      <c r="D709" s="276"/>
      <c r="E709" s="276"/>
      <c r="F709" s="276"/>
      <c r="G709" s="66" t="s">
        <v>1248</v>
      </c>
      <c r="H709" s="363">
        <v>0</v>
      </c>
      <c r="I709" s="363"/>
      <c r="J709" s="64"/>
      <c r="L709" s="363"/>
    </row>
    <row r="710" spans="1:12" s="86" customFormat="1" ht="25.5">
      <c r="A710" s="277">
        <v>345</v>
      </c>
      <c r="B710" s="276">
        <v>300</v>
      </c>
      <c r="C710" s="276"/>
      <c r="D710" s="276"/>
      <c r="E710" s="276"/>
      <c r="F710" s="276"/>
      <c r="G710" s="66" t="s">
        <v>1249</v>
      </c>
      <c r="H710" s="363">
        <v>0</v>
      </c>
      <c r="I710" s="363"/>
      <c r="J710" s="64"/>
      <c r="L710" s="363"/>
    </row>
    <row r="711" spans="1:12" s="86" customFormat="1" ht="25.5">
      <c r="A711" s="277">
        <v>345</v>
      </c>
      <c r="B711" s="276">
        <v>400</v>
      </c>
      <c r="C711" s="276"/>
      <c r="D711" s="276"/>
      <c r="E711" s="276"/>
      <c r="F711" s="276"/>
      <c r="G711" s="66" t="s">
        <v>1250</v>
      </c>
      <c r="H711" s="363">
        <v>0</v>
      </c>
      <c r="I711" s="363"/>
      <c r="J711" s="64"/>
      <c r="L711" s="363"/>
    </row>
    <row r="712" spans="1:12" s="86" customFormat="1" ht="12.75">
      <c r="A712" s="277">
        <v>345</v>
      </c>
      <c r="B712" s="276">
        <v>500</v>
      </c>
      <c r="C712" s="276"/>
      <c r="D712" s="276"/>
      <c r="E712" s="276"/>
      <c r="F712" s="276"/>
      <c r="G712" s="66" t="s">
        <v>1251</v>
      </c>
      <c r="H712" s="363">
        <v>183978.88</v>
      </c>
      <c r="I712" s="363"/>
      <c r="J712" s="64"/>
      <c r="L712" s="363"/>
    </row>
    <row r="713" spans="1:12" s="86" customFormat="1" ht="12.75">
      <c r="A713" s="277">
        <v>345</v>
      </c>
      <c r="B713" s="276">
        <v>600</v>
      </c>
      <c r="C713" s="276"/>
      <c r="D713" s="276"/>
      <c r="E713" s="276"/>
      <c r="F713" s="276"/>
      <c r="G713" s="66" t="s">
        <v>1252</v>
      </c>
      <c r="H713" s="363">
        <v>42390.400000000001</v>
      </c>
      <c r="I713" s="363"/>
      <c r="J713" s="64"/>
      <c r="L713" s="363"/>
    </row>
    <row r="714" spans="1:12" s="86" customFormat="1" ht="12.75">
      <c r="A714" s="277">
        <v>345</v>
      </c>
      <c r="B714" s="276">
        <v>700</v>
      </c>
      <c r="C714" s="276"/>
      <c r="D714" s="276"/>
      <c r="E714" s="276"/>
      <c r="F714" s="276"/>
      <c r="G714" s="66" t="s">
        <v>1253</v>
      </c>
      <c r="H714" s="363">
        <v>0</v>
      </c>
      <c r="I714" s="363"/>
      <c r="J714" s="64"/>
      <c r="L714" s="363"/>
    </row>
    <row r="715" spans="1:12" s="86" customFormat="1" ht="12.75">
      <c r="A715" s="277">
        <v>345</v>
      </c>
      <c r="B715" s="276">
        <v>900</v>
      </c>
      <c r="C715" s="276"/>
      <c r="D715" s="276"/>
      <c r="E715" s="276"/>
      <c r="F715" s="276"/>
      <c r="G715" s="66" t="s">
        <v>1254</v>
      </c>
      <c r="H715" s="363">
        <v>0</v>
      </c>
      <c r="I715" s="363"/>
      <c r="J715" s="64"/>
      <c r="L715" s="363"/>
    </row>
    <row r="716" spans="1:12">
      <c r="A716" s="272">
        <v>350</v>
      </c>
      <c r="B716" s="93">
        <v>0</v>
      </c>
      <c r="C716" s="93">
        <v>0</v>
      </c>
      <c r="D716" s="93">
        <v>0</v>
      </c>
      <c r="E716" s="93">
        <v>0</v>
      </c>
      <c r="F716" s="93">
        <v>0</v>
      </c>
      <c r="G716" s="81" t="s">
        <v>1255</v>
      </c>
      <c r="H716" s="366"/>
      <c r="I716" s="366"/>
      <c r="J716" s="61" t="s">
        <v>1256</v>
      </c>
      <c r="L716" s="366"/>
    </row>
    <row r="717" spans="1:12">
      <c r="A717" s="277">
        <v>350</v>
      </c>
      <c r="B717" s="275">
        <v>100</v>
      </c>
      <c r="C717" s="275"/>
      <c r="D717" s="275"/>
      <c r="E717" s="275"/>
      <c r="F717" s="275"/>
      <c r="G717" s="63" t="s">
        <v>1257</v>
      </c>
      <c r="H717" s="366"/>
      <c r="I717" s="366"/>
      <c r="J717" s="64" t="s">
        <v>1258</v>
      </c>
      <c r="L717" s="366"/>
    </row>
    <row r="718" spans="1:12">
      <c r="A718" s="277">
        <v>350</v>
      </c>
      <c r="B718" s="275">
        <v>100</v>
      </c>
      <c r="C718" s="276">
        <v>100</v>
      </c>
      <c r="D718" s="276"/>
      <c r="E718" s="276"/>
      <c r="F718" s="276"/>
      <c r="G718" s="66" t="s">
        <v>1259</v>
      </c>
      <c r="H718" s="367">
        <v>81243.009999999995</v>
      </c>
      <c r="I718" s="367"/>
      <c r="J718" s="64" t="s">
        <v>1260</v>
      </c>
      <c r="L718" s="367"/>
    </row>
    <row r="719" spans="1:12">
      <c r="A719" s="277">
        <v>350</v>
      </c>
      <c r="B719" s="275">
        <v>100</v>
      </c>
      <c r="C719" s="276">
        <v>200</v>
      </c>
      <c r="D719" s="276"/>
      <c r="E719" s="276"/>
      <c r="F719" s="276"/>
      <c r="G719" s="66" t="s">
        <v>1261</v>
      </c>
      <c r="H719" s="367">
        <v>15846063.24</v>
      </c>
      <c r="I719" s="367"/>
      <c r="J719" s="64" t="s">
        <v>1262</v>
      </c>
      <c r="L719" s="367">
        <v>12205083.550000001</v>
      </c>
    </row>
    <row r="720" spans="1:12">
      <c r="A720" s="277">
        <v>350</v>
      </c>
      <c r="B720" s="275">
        <v>200</v>
      </c>
      <c r="C720" s="275"/>
      <c r="D720" s="275"/>
      <c r="E720" s="275"/>
      <c r="F720" s="275"/>
      <c r="G720" s="63" t="s">
        <v>1263</v>
      </c>
      <c r="H720" s="366"/>
      <c r="I720" s="366"/>
      <c r="J720" s="64" t="s">
        <v>1264</v>
      </c>
      <c r="L720" s="366">
        <v>0</v>
      </c>
    </row>
    <row r="721" spans="1:12">
      <c r="A721" s="277">
        <v>350</v>
      </c>
      <c r="B721" s="275">
        <v>200</v>
      </c>
      <c r="C721" s="276">
        <v>100</v>
      </c>
      <c r="D721" s="276"/>
      <c r="E721" s="276"/>
      <c r="F721" s="276"/>
      <c r="G721" s="66" t="s">
        <v>1265</v>
      </c>
      <c r="H721" s="363">
        <v>871773.05</v>
      </c>
      <c r="I721" s="363"/>
      <c r="J721" s="64"/>
      <c r="L721" s="363">
        <v>1829800.3900000001</v>
      </c>
    </row>
    <row r="722" spans="1:12">
      <c r="A722" s="277">
        <v>350</v>
      </c>
      <c r="B722" s="275">
        <v>200</v>
      </c>
      <c r="C722" s="276">
        <v>200</v>
      </c>
      <c r="D722" s="276"/>
      <c r="E722" s="276"/>
      <c r="F722" s="276"/>
      <c r="G722" s="66" t="s">
        <v>1266</v>
      </c>
      <c r="H722" s="363">
        <v>5826009.1600000001</v>
      </c>
      <c r="I722" s="363"/>
      <c r="J722" s="64"/>
      <c r="L722" s="363">
        <v>4473062.01</v>
      </c>
    </row>
    <row r="723" spans="1:12">
      <c r="A723" s="277">
        <v>350</v>
      </c>
      <c r="B723" s="275">
        <v>200</v>
      </c>
      <c r="C723" s="276">
        <v>300</v>
      </c>
      <c r="D723" s="276"/>
      <c r="E723" s="276"/>
      <c r="F723" s="276"/>
      <c r="G723" s="66" t="s">
        <v>1267</v>
      </c>
      <c r="H723" s="363">
        <v>783504.91</v>
      </c>
      <c r="I723" s="363"/>
      <c r="J723" s="64"/>
      <c r="L723" s="363">
        <v>474979.45000000007</v>
      </c>
    </row>
    <row r="724" spans="1:12">
      <c r="A724" s="277">
        <v>350</v>
      </c>
      <c r="B724" s="275">
        <v>200</v>
      </c>
      <c r="C724" s="276">
        <v>400</v>
      </c>
      <c r="D724" s="276"/>
      <c r="E724" s="276"/>
      <c r="F724" s="276"/>
      <c r="G724" s="66" t="s">
        <v>1268</v>
      </c>
      <c r="H724" s="363">
        <v>385650.4</v>
      </c>
      <c r="I724" s="363"/>
      <c r="J724" s="64"/>
      <c r="L724" s="363">
        <v>64282.29</v>
      </c>
    </row>
    <row r="725" spans="1:12" s="79" customFormat="1" ht="15.75">
      <c r="A725" s="277">
        <v>350</v>
      </c>
      <c r="B725" s="275">
        <v>200</v>
      </c>
      <c r="C725" s="276">
        <v>500</v>
      </c>
      <c r="D725" s="276"/>
      <c r="E725" s="276"/>
      <c r="F725" s="276"/>
      <c r="G725" s="66" t="s">
        <v>1269</v>
      </c>
      <c r="H725" s="363">
        <v>1336693.28</v>
      </c>
      <c r="I725" s="363"/>
      <c r="J725" s="64"/>
      <c r="L725" s="363">
        <v>1332696.02</v>
      </c>
    </row>
    <row r="726" spans="1:12">
      <c r="A726" s="272">
        <v>355</v>
      </c>
      <c r="B726" s="93">
        <v>0</v>
      </c>
      <c r="C726" s="93">
        <v>0</v>
      </c>
      <c r="D726" s="93">
        <v>0</v>
      </c>
      <c r="E726" s="93">
        <v>0</v>
      </c>
      <c r="F726" s="93">
        <v>0</v>
      </c>
      <c r="G726" s="81" t="s">
        <v>1270</v>
      </c>
      <c r="H726" s="366"/>
      <c r="I726" s="366"/>
      <c r="J726" s="61" t="s">
        <v>1271</v>
      </c>
      <c r="L726" s="366"/>
    </row>
    <row r="727" spans="1:12">
      <c r="A727" s="277">
        <v>355</v>
      </c>
      <c r="B727" s="275">
        <v>100</v>
      </c>
      <c r="C727" s="275"/>
      <c r="D727" s="275"/>
      <c r="E727" s="275"/>
      <c r="F727" s="275"/>
      <c r="G727" s="63" t="s">
        <v>1272</v>
      </c>
      <c r="H727" s="366"/>
      <c r="I727" s="366"/>
      <c r="J727" s="64" t="s">
        <v>1273</v>
      </c>
      <c r="L727" s="366"/>
    </row>
    <row r="728" spans="1:12">
      <c r="A728" s="277">
        <v>355</v>
      </c>
      <c r="B728" s="275">
        <v>100</v>
      </c>
      <c r="C728" s="275">
        <v>100</v>
      </c>
      <c r="D728" s="275"/>
      <c r="E728" s="275"/>
      <c r="F728" s="275"/>
      <c r="G728" s="95" t="s">
        <v>1274</v>
      </c>
      <c r="H728" s="366"/>
      <c r="I728" s="366"/>
      <c r="J728" s="64"/>
      <c r="L728" s="366"/>
    </row>
    <row r="729" spans="1:12">
      <c r="A729" s="277">
        <v>355</v>
      </c>
      <c r="B729" s="275">
        <v>100</v>
      </c>
      <c r="C729" s="275">
        <v>100</v>
      </c>
      <c r="D729" s="276">
        <v>100</v>
      </c>
      <c r="E729" s="276"/>
      <c r="F729" s="276"/>
      <c r="G729" s="94" t="s">
        <v>1275</v>
      </c>
      <c r="H729" s="363">
        <v>0</v>
      </c>
      <c r="I729" s="363"/>
      <c r="J729" s="64"/>
      <c r="L729" s="363"/>
    </row>
    <row r="730" spans="1:12">
      <c r="A730" s="277">
        <v>355</v>
      </c>
      <c r="B730" s="275">
        <v>100</v>
      </c>
      <c r="C730" s="275">
        <v>100</v>
      </c>
      <c r="D730" s="276">
        <v>200</v>
      </c>
      <c r="E730" s="276"/>
      <c r="F730" s="276"/>
      <c r="G730" s="94" t="s">
        <v>1276</v>
      </c>
      <c r="H730" s="363">
        <v>0</v>
      </c>
      <c r="I730" s="363"/>
      <c r="J730" s="64"/>
      <c r="L730" s="363"/>
    </row>
    <row r="731" spans="1:12">
      <c r="A731" s="277">
        <v>355</v>
      </c>
      <c r="B731" s="275">
        <v>100</v>
      </c>
      <c r="C731" s="275">
        <v>100</v>
      </c>
      <c r="D731" s="276">
        <v>300</v>
      </c>
      <c r="E731" s="276"/>
      <c r="F731" s="276"/>
      <c r="G731" s="94" t="s">
        <v>1277</v>
      </c>
      <c r="H731" s="363">
        <v>0</v>
      </c>
      <c r="I731" s="363"/>
      <c r="J731" s="64"/>
      <c r="L731" s="363"/>
    </row>
    <row r="732" spans="1:12">
      <c r="A732" s="277">
        <v>355</v>
      </c>
      <c r="B732" s="275">
        <v>100</v>
      </c>
      <c r="C732" s="275">
        <v>100</v>
      </c>
      <c r="D732" s="276">
        <v>400</v>
      </c>
      <c r="E732" s="276"/>
      <c r="F732" s="276"/>
      <c r="G732" s="94" t="s">
        <v>1278</v>
      </c>
      <c r="H732" s="363">
        <v>0</v>
      </c>
      <c r="I732" s="363"/>
      <c r="J732" s="64"/>
      <c r="L732" s="363"/>
    </row>
    <row r="733" spans="1:12">
      <c r="A733" s="277">
        <v>355</v>
      </c>
      <c r="B733" s="275">
        <v>100</v>
      </c>
      <c r="C733" s="275">
        <v>200</v>
      </c>
      <c r="D733" s="275"/>
      <c r="E733" s="275"/>
      <c r="F733" s="275"/>
      <c r="G733" s="95" t="s">
        <v>1279</v>
      </c>
      <c r="H733" s="366"/>
      <c r="I733" s="366"/>
      <c r="J733" s="64"/>
      <c r="L733" s="366"/>
    </row>
    <row r="734" spans="1:12">
      <c r="A734" s="277">
        <v>355</v>
      </c>
      <c r="B734" s="275">
        <v>100</v>
      </c>
      <c r="C734" s="275">
        <v>200</v>
      </c>
      <c r="D734" s="276">
        <v>50</v>
      </c>
      <c r="E734" s="276"/>
      <c r="F734" s="276"/>
      <c r="G734" s="94" t="s">
        <v>1280</v>
      </c>
      <c r="H734" s="363">
        <v>0</v>
      </c>
      <c r="I734" s="363"/>
      <c r="J734" s="64"/>
      <c r="L734" s="363"/>
    </row>
    <row r="735" spans="1:12">
      <c r="A735" s="277">
        <v>355</v>
      </c>
      <c r="B735" s="275">
        <v>100</v>
      </c>
      <c r="C735" s="275">
        <v>200</v>
      </c>
      <c r="D735" s="276">
        <v>100</v>
      </c>
      <c r="E735" s="276"/>
      <c r="F735" s="276"/>
      <c r="G735" s="94" t="s">
        <v>1281</v>
      </c>
      <c r="H735" s="363">
        <v>0</v>
      </c>
      <c r="I735" s="363"/>
      <c r="J735" s="64"/>
      <c r="L735" s="363"/>
    </row>
    <row r="736" spans="1:12">
      <c r="A736" s="277">
        <v>355</v>
      </c>
      <c r="B736" s="275">
        <v>100</v>
      </c>
      <c r="C736" s="275">
        <v>200</v>
      </c>
      <c r="D736" s="276">
        <v>150</v>
      </c>
      <c r="E736" s="276"/>
      <c r="F736" s="276"/>
      <c r="G736" s="94" t="s">
        <v>1282</v>
      </c>
      <c r="H736" s="363">
        <v>0</v>
      </c>
      <c r="I736" s="363"/>
      <c r="J736" s="64"/>
      <c r="L736" s="363"/>
    </row>
    <row r="737" spans="1:12">
      <c r="A737" s="277">
        <v>355</v>
      </c>
      <c r="B737" s="275">
        <v>100</v>
      </c>
      <c r="C737" s="275">
        <v>200</v>
      </c>
      <c r="D737" s="276">
        <v>200</v>
      </c>
      <c r="E737" s="276"/>
      <c r="F737" s="276"/>
      <c r="G737" s="94" t="s">
        <v>1283</v>
      </c>
      <c r="H737" s="363">
        <v>0</v>
      </c>
      <c r="I737" s="363"/>
      <c r="J737" s="64"/>
      <c r="L737" s="363"/>
    </row>
    <row r="738" spans="1:12">
      <c r="A738" s="277">
        <v>355</v>
      </c>
      <c r="B738" s="275">
        <v>100</v>
      </c>
      <c r="C738" s="275">
        <v>200</v>
      </c>
      <c r="D738" s="276">
        <v>250</v>
      </c>
      <c r="E738" s="276"/>
      <c r="F738" s="276"/>
      <c r="G738" s="94" t="s">
        <v>1284</v>
      </c>
      <c r="H738" s="363">
        <v>0</v>
      </c>
      <c r="I738" s="363"/>
      <c r="J738" s="64"/>
      <c r="L738" s="363"/>
    </row>
    <row r="739" spans="1:12">
      <c r="A739" s="277">
        <v>355</v>
      </c>
      <c r="B739" s="275">
        <v>100</v>
      </c>
      <c r="C739" s="275">
        <v>200</v>
      </c>
      <c r="D739" s="276">
        <v>300</v>
      </c>
      <c r="E739" s="276"/>
      <c r="F739" s="276"/>
      <c r="G739" s="94" t="s">
        <v>1285</v>
      </c>
      <c r="H739" s="363">
        <v>0</v>
      </c>
      <c r="I739" s="363"/>
      <c r="J739" s="64"/>
      <c r="L739" s="363"/>
    </row>
    <row r="740" spans="1:12">
      <c r="A740" s="277">
        <v>355</v>
      </c>
      <c r="B740" s="275">
        <v>100</v>
      </c>
      <c r="C740" s="275">
        <v>200</v>
      </c>
      <c r="D740" s="276">
        <v>350</v>
      </c>
      <c r="E740" s="276"/>
      <c r="F740" s="276"/>
      <c r="G740" s="94" t="s">
        <v>1286</v>
      </c>
      <c r="H740" s="363">
        <v>0</v>
      </c>
      <c r="I740" s="363"/>
      <c r="J740" s="64"/>
      <c r="L740" s="363"/>
    </row>
    <row r="741" spans="1:12">
      <c r="A741" s="277">
        <v>355</v>
      </c>
      <c r="B741" s="275">
        <v>100</v>
      </c>
      <c r="C741" s="275">
        <v>200</v>
      </c>
      <c r="D741" s="276">
        <v>400</v>
      </c>
      <c r="E741" s="276"/>
      <c r="F741" s="276"/>
      <c r="G741" s="94" t="s">
        <v>1287</v>
      </c>
      <c r="H741" s="363">
        <v>0</v>
      </c>
      <c r="I741" s="363"/>
      <c r="J741" s="64"/>
      <c r="L741" s="363"/>
    </row>
    <row r="742" spans="1:12">
      <c r="A742" s="277">
        <v>355</v>
      </c>
      <c r="B742" s="275">
        <v>100</v>
      </c>
      <c r="C742" s="275">
        <v>200</v>
      </c>
      <c r="D742" s="276">
        <v>450</v>
      </c>
      <c r="E742" s="276"/>
      <c r="F742" s="276"/>
      <c r="G742" s="94" t="s">
        <v>1288</v>
      </c>
      <c r="H742" s="363">
        <v>0</v>
      </c>
      <c r="I742" s="363"/>
      <c r="J742" s="64"/>
      <c r="L742" s="363"/>
    </row>
    <row r="743" spans="1:12">
      <c r="A743" s="277">
        <v>355</v>
      </c>
      <c r="B743" s="275">
        <v>100</v>
      </c>
      <c r="C743" s="275">
        <v>200</v>
      </c>
      <c r="D743" s="276">
        <v>500</v>
      </c>
      <c r="E743" s="276"/>
      <c r="F743" s="276"/>
      <c r="G743" s="94" t="s">
        <v>1289</v>
      </c>
      <c r="H743" s="363">
        <v>0</v>
      </c>
      <c r="I743" s="363"/>
      <c r="J743" s="64"/>
      <c r="L743" s="363"/>
    </row>
    <row r="744" spans="1:12">
      <c r="A744" s="277">
        <v>355</v>
      </c>
      <c r="B744" s="275">
        <v>200</v>
      </c>
      <c r="C744" s="275"/>
      <c r="D744" s="275"/>
      <c r="E744" s="275"/>
      <c r="F744" s="275"/>
      <c r="G744" s="63" t="s">
        <v>1290</v>
      </c>
      <c r="H744" s="366"/>
      <c r="I744" s="366"/>
      <c r="J744" s="64" t="s">
        <v>1291</v>
      </c>
      <c r="L744" s="366"/>
    </row>
    <row r="745" spans="1:12">
      <c r="A745" s="277">
        <v>355</v>
      </c>
      <c r="B745" s="275">
        <v>200</v>
      </c>
      <c r="C745" s="276">
        <v>100</v>
      </c>
      <c r="D745" s="276"/>
      <c r="E745" s="276"/>
      <c r="F745" s="276"/>
      <c r="G745" s="94" t="s">
        <v>1292</v>
      </c>
      <c r="H745" s="363">
        <v>0</v>
      </c>
      <c r="I745" s="363"/>
      <c r="J745" s="64"/>
      <c r="L745" s="363"/>
    </row>
    <row r="746" spans="1:12">
      <c r="A746" s="277">
        <v>355</v>
      </c>
      <c r="B746" s="275">
        <v>200</v>
      </c>
      <c r="C746" s="276">
        <v>101</v>
      </c>
      <c r="D746" s="276"/>
      <c r="E746" s="276"/>
      <c r="F746" s="276"/>
      <c r="G746" s="94" t="s">
        <v>1293</v>
      </c>
      <c r="H746" s="363">
        <v>0</v>
      </c>
      <c r="I746" s="363"/>
      <c r="J746" s="64"/>
      <c r="L746" s="363"/>
    </row>
    <row r="747" spans="1:12">
      <c r="A747" s="277">
        <v>355</v>
      </c>
      <c r="B747" s="275">
        <v>200</v>
      </c>
      <c r="C747" s="276">
        <v>102</v>
      </c>
      <c r="D747" s="276"/>
      <c r="E747" s="276"/>
      <c r="F747" s="276"/>
      <c r="G747" s="94" t="s">
        <v>1294</v>
      </c>
      <c r="H747" s="363">
        <v>0</v>
      </c>
      <c r="I747" s="363"/>
      <c r="J747" s="64"/>
      <c r="L747" s="363"/>
    </row>
    <row r="748" spans="1:12">
      <c r="A748" s="277">
        <v>355</v>
      </c>
      <c r="B748" s="275">
        <v>200</v>
      </c>
      <c r="C748" s="276">
        <v>103</v>
      </c>
      <c r="D748" s="276"/>
      <c r="E748" s="276"/>
      <c r="F748" s="276"/>
      <c r="G748" s="94" t="s">
        <v>1295</v>
      </c>
      <c r="H748" s="363">
        <v>0</v>
      </c>
      <c r="I748" s="363"/>
      <c r="J748" s="64"/>
      <c r="L748" s="363"/>
    </row>
    <row r="749" spans="1:12">
      <c r="A749" s="277">
        <v>355</v>
      </c>
      <c r="B749" s="275">
        <v>200</v>
      </c>
      <c r="C749" s="276">
        <v>200</v>
      </c>
      <c r="D749" s="276"/>
      <c r="E749" s="276"/>
      <c r="F749" s="276"/>
      <c r="G749" s="94" t="s">
        <v>1296</v>
      </c>
      <c r="H749" s="363">
        <v>0</v>
      </c>
      <c r="I749" s="363"/>
      <c r="J749" s="64"/>
      <c r="L749" s="363"/>
    </row>
    <row r="750" spans="1:12">
      <c r="A750" s="277">
        <v>355</v>
      </c>
      <c r="B750" s="275">
        <v>200</v>
      </c>
      <c r="C750" s="276">
        <v>201</v>
      </c>
      <c r="D750" s="276"/>
      <c r="E750" s="276"/>
      <c r="F750" s="276"/>
      <c r="G750" s="94" t="s">
        <v>1297</v>
      </c>
      <c r="H750" s="363">
        <v>0</v>
      </c>
      <c r="I750" s="363"/>
      <c r="J750" s="64"/>
      <c r="L750" s="363"/>
    </row>
    <row r="751" spans="1:12">
      <c r="A751" s="277">
        <v>355</v>
      </c>
      <c r="B751" s="275">
        <v>200</v>
      </c>
      <c r="C751" s="276">
        <v>202</v>
      </c>
      <c r="D751" s="276"/>
      <c r="E751" s="276"/>
      <c r="F751" s="276"/>
      <c r="G751" s="94" t="s">
        <v>1298</v>
      </c>
      <c r="H751" s="363">
        <v>0</v>
      </c>
      <c r="I751" s="363"/>
      <c r="J751" s="64"/>
      <c r="L751" s="363"/>
    </row>
    <row r="752" spans="1:12">
      <c r="A752" s="277">
        <v>355</v>
      </c>
      <c r="B752" s="275">
        <v>200</v>
      </c>
      <c r="C752" s="276">
        <v>203</v>
      </c>
      <c r="D752" s="276"/>
      <c r="E752" s="276"/>
      <c r="F752" s="276"/>
      <c r="G752" s="94" t="s">
        <v>1299</v>
      </c>
      <c r="H752" s="363">
        <v>0</v>
      </c>
      <c r="I752" s="363"/>
      <c r="J752" s="64"/>
      <c r="L752" s="363"/>
    </row>
    <row r="753" spans="1:12">
      <c r="A753" s="277">
        <v>355</v>
      </c>
      <c r="B753" s="275">
        <v>200</v>
      </c>
      <c r="C753" s="276">
        <v>204</v>
      </c>
      <c r="D753" s="276"/>
      <c r="E753" s="276"/>
      <c r="F753" s="276"/>
      <c r="G753" s="94" t="s">
        <v>1300</v>
      </c>
      <c r="H753" s="363">
        <v>0</v>
      </c>
      <c r="I753" s="363"/>
      <c r="J753" s="64"/>
      <c r="L753" s="363"/>
    </row>
    <row r="754" spans="1:12">
      <c r="A754" s="277">
        <v>355</v>
      </c>
      <c r="B754" s="275">
        <v>200</v>
      </c>
      <c r="C754" s="276">
        <v>205</v>
      </c>
      <c r="D754" s="276"/>
      <c r="E754" s="276"/>
      <c r="F754" s="276"/>
      <c r="G754" s="94" t="s">
        <v>1301</v>
      </c>
      <c r="H754" s="363">
        <v>0</v>
      </c>
      <c r="I754" s="363"/>
      <c r="J754" s="64"/>
      <c r="L754" s="363"/>
    </row>
    <row r="755" spans="1:12">
      <c r="A755" s="277">
        <v>355</v>
      </c>
      <c r="B755" s="275">
        <v>200</v>
      </c>
      <c r="C755" s="276">
        <v>206</v>
      </c>
      <c r="D755" s="276"/>
      <c r="E755" s="276"/>
      <c r="F755" s="276"/>
      <c r="G755" s="94" t="s">
        <v>1302</v>
      </c>
      <c r="H755" s="363">
        <v>153350.47</v>
      </c>
      <c r="I755" s="363"/>
      <c r="J755" s="64"/>
      <c r="L755" s="363">
        <v>153350.47</v>
      </c>
    </row>
    <row r="756" spans="1:12">
      <c r="A756" s="277">
        <v>355</v>
      </c>
      <c r="B756" s="275">
        <v>200</v>
      </c>
      <c r="C756" s="276">
        <v>207</v>
      </c>
      <c r="D756" s="276"/>
      <c r="E756" s="276"/>
      <c r="F756" s="276"/>
      <c r="G756" s="94" t="s">
        <v>1303</v>
      </c>
      <c r="H756" s="363">
        <v>0</v>
      </c>
      <c r="I756" s="363"/>
      <c r="J756" s="64"/>
      <c r="L756" s="363"/>
    </row>
    <row r="757" spans="1:12">
      <c r="A757" s="277">
        <v>355</v>
      </c>
      <c r="B757" s="275">
        <v>200</v>
      </c>
      <c r="C757" s="276">
        <v>208</v>
      </c>
      <c r="D757" s="276"/>
      <c r="E757" s="276"/>
      <c r="F757" s="276"/>
      <c r="G757" s="94" t="s">
        <v>1304</v>
      </c>
      <c r="H757" s="363">
        <v>7876.2</v>
      </c>
      <c r="I757" s="363"/>
      <c r="J757" s="64"/>
      <c r="L757" s="363">
        <v>7876.2</v>
      </c>
    </row>
    <row r="758" spans="1:12">
      <c r="A758" s="277">
        <v>355</v>
      </c>
      <c r="B758" s="275">
        <v>200</v>
      </c>
      <c r="C758" s="276">
        <v>209</v>
      </c>
      <c r="D758" s="276"/>
      <c r="E758" s="276"/>
      <c r="F758" s="276"/>
      <c r="G758" s="94" t="s">
        <v>1305</v>
      </c>
      <c r="H758" s="363">
        <v>0</v>
      </c>
      <c r="I758" s="363"/>
      <c r="J758" s="64"/>
      <c r="L758" s="363"/>
    </row>
    <row r="759" spans="1:12">
      <c r="A759" s="277">
        <v>355</v>
      </c>
      <c r="B759" s="275">
        <v>200</v>
      </c>
      <c r="C759" s="276">
        <v>210</v>
      </c>
      <c r="D759" s="276"/>
      <c r="E759" s="276"/>
      <c r="F759" s="276"/>
      <c r="G759" s="94" t="s">
        <v>1306</v>
      </c>
      <c r="H759" s="363">
        <v>0</v>
      </c>
      <c r="I759" s="363"/>
      <c r="J759" s="64"/>
      <c r="L759" s="363"/>
    </row>
    <row r="760" spans="1:12">
      <c r="A760" s="277">
        <v>355</v>
      </c>
      <c r="B760" s="275">
        <v>200</v>
      </c>
      <c r="C760" s="276">
        <v>211</v>
      </c>
      <c r="D760" s="276"/>
      <c r="E760" s="276"/>
      <c r="F760" s="276"/>
      <c r="G760" s="94" t="s">
        <v>1307</v>
      </c>
      <c r="H760" s="363">
        <v>0</v>
      </c>
      <c r="I760" s="363"/>
      <c r="J760" s="64"/>
      <c r="L760" s="363"/>
    </row>
    <row r="761" spans="1:12">
      <c r="A761" s="277">
        <v>355</v>
      </c>
      <c r="B761" s="275">
        <v>200</v>
      </c>
      <c r="C761" s="276">
        <v>300</v>
      </c>
      <c r="D761" s="276"/>
      <c r="E761" s="276"/>
      <c r="F761" s="276"/>
      <c r="G761" s="94" t="s">
        <v>1308</v>
      </c>
      <c r="H761" s="363">
        <v>0</v>
      </c>
      <c r="I761" s="363"/>
      <c r="J761" s="64"/>
      <c r="L761" s="363"/>
    </row>
    <row r="762" spans="1:12">
      <c r="A762" s="277">
        <v>355</v>
      </c>
      <c r="B762" s="275">
        <v>200</v>
      </c>
      <c r="C762" s="276">
        <v>400</v>
      </c>
      <c r="D762" s="276"/>
      <c r="E762" s="276"/>
      <c r="F762" s="276"/>
      <c r="G762" s="94" t="s">
        <v>1309</v>
      </c>
      <c r="H762" s="363">
        <v>0</v>
      </c>
      <c r="I762" s="363"/>
      <c r="J762" s="64"/>
      <c r="L762" s="363"/>
    </row>
    <row r="763" spans="1:12">
      <c r="A763" s="277">
        <v>355</v>
      </c>
      <c r="B763" s="275">
        <v>200</v>
      </c>
      <c r="C763" s="276">
        <v>401</v>
      </c>
      <c r="D763" s="276"/>
      <c r="E763" s="276"/>
      <c r="F763" s="276"/>
      <c r="G763" s="94" t="s">
        <v>1310</v>
      </c>
      <c r="H763" s="363">
        <v>0</v>
      </c>
      <c r="I763" s="363"/>
      <c r="J763" s="64"/>
      <c r="L763" s="363"/>
    </row>
    <row r="764" spans="1:12">
      <c r="A764" s="277">
        <v>355</v>
      </c>
      <c r="B764" s="275">
        <v>200</v>
      </c>
      <c r="C764" s="276">
        <v>402</v>
      </c>
      <c r="D764" s="276"/>
      <c r="E764" s="276"/>
      <c r="F764" s="276"/>
      <c r="G764" s="94" t="s">
        <v>1311</v>
      </c>
      <c r="H764" s="363">
        <v>0</v>
      </c>
      <c r="I764" s="363"/>
      <c r="J764" s="64"/>
      <c r="L764" s="363"/>
    </row>
    <row r="765" spans="1:12">
      <c r="A765" s="277">
        <v>355</v>
      </c>
      <c r="B765" s="275">
        <v>200</v>
      </c>
      <c r="C765" s="276">
        <v>403</v>
      </c>
      <c r="D765" s="276"/>
      <c r="E765" s="276"/>
      <c r="F765" s="276"/>
      <c r="G765" s="94" t="s">
        <v>1312</v>
      </c>
      <c r="H765" s="363">
        <v>0</v>
      </c>
      <c r="I765" s="363"/>
      <c r="J765" s="64"/>
      <c r="L765" s="363"/>
    </row>
    <row r="766" spans="1:12">
      <c r="A766" s="277">
        <v>355</v>
      </c>
      <c r="B766" s="275">
        <v>200</v>
      </c>
      <c r="C766" s="276">
        <v>404</v>
      </c>
      <c r="D766" s="276"/>
      <c r="E766" s="276"/>
      <c r="F766" s="276"/>
      <c r="G766" s="94" t="s">
        <v>1313</v>
      </c>
      <c r="H766" s="363">
        <v>0</v>
      </c>
      <c r="I766" s="363"/>
      <c r="J766" s="64"/>
      <c r="L766" s="363"/>
    </row>
    <row r="767" spans="1:12">
      <c r="A767" s="277">
        <v>355</v>
      </c>
      <c r="B767" s="275">
        <v>200</v>
      </c>
      <c r="C767" s="276">
        <v>405</v>
      </c>
      <c r="D767" s="276"/>
      <c r="E767" s="276"/>
      <c r="F767" s="276"/>
      <c r="G767" s="94" t="s">
        <v>1314</v>
      </c>
      <c r="H767" s="363">
        <v>0</v>
      </c>
      <c r="I767" s="363"/>
      <c r="J767" s="64"/>
      <c r="L767" s="363"/>
    </row>
    <row r="768" spans="1:12">
      <c r="A768" s="277">
        <v>355</v>
      </c>
      <c r="B768" s="275">
        <v>200</v>
      </c>
      <c r="C768" s="276">
        <v>406</v>
      </c>
      <c r="D768" s="276"/>
      <c r="E768" s="276"/>
      <c r="F768" s="276"/>
      <c r="G768" s="94" t="s">
        <v>1315</v>
      </c>
      <c r="H768" s="363">
        <v>0</v>
      </c>
      <c r="I768" s="363"/>
      <c r="J768" s="64"/>
      <c r="L768" s="363"/>
    </row>
    <row r="769" spans="1:12">
      <c r="A769" s="277">
        <v>355</v>
      </c>
      <c r="B769" s="275">
        <v>200</v>
      </c>
      <c r="C769" s="276">
        <v>407</v>
      </c>
      <c r="D769" s="276"/>
      <c r="E769" s="276"/>
      <c r="F769" s="276"/>
      <c r="G769" s="94" t="s">
        <v>1316</v>
      </c>
      <c r="H769" s="363">
        <v>0</v>
      </c>
      <c r="I769" s="363"/>
      <c r="J769" s="64"/>
      <c r="L769" s="363"/>
    </row>
    <row r="770" spans="1:12">
      <c r="A770" s="277">
        <v>355</v>
      </c>
      <c r="B770" s="275">
        <v>200</v>
      </c>
      <c r="C770" s="276">
        <v>408</v>
      </c>
      <c r="D770" s="276"/>
      <c r="E770" s="276"/>
      <c r="F770" s="276"/>
      <c r="G770" s="94" t="s">
        <v>1317</v>
      </c>
      <c r="H770" s="363">
        <v>18141.3</v>
      </c>
      <c r="I770" s="363"/>
      <c r="J770" s="64"/>
      <c r="L770" s="363">
        <v>18141.3</v>
      </c>
    </row>
    <row r="771" spans="1:12">
      <c r="A771" s="277">
        <v>355</v>
      </c>
      <c r="B771" s="275">
        <v>200</v>
      </c>
      <c r="C771" s="276">
        <v>409</v>
      </c>
      <c r="D771" s="276"/>
      <c r="E771" s="276"/>
      <c r="F771" s="276"/>
      <c r="G771" s="94" t="s">
        <v>1318</v>
      </c>
      <c r="H771" s="363">
        <v>0</v>
      </c>
      <c r="I771" s="363"/>
      <c r="J771" s="64"/>
      <c r="L771" s="363"/>
    </row>
    <row r="772" spans="1:12">
      <c r="A772" s="277">
        <v>355</v>
      </c>
      <c r="B772" s="275">
        <v>200</v>
      </c>
      <c r="C772" s="276">
        <v>410</v>
      </c>
      <c r="D772" s="276"/>
      <c r="E772" s="276"/>
      <c r="F772" s="276"/>
      <c r="G772" s="94" t="s">
        <v>1319</v>
      </c>
      <c r="H772" s="363">
        <v>0</v>
      </c>
      <c r="I772" s="363"/>
      <c r="J772" s="64"/>
      <c r="L772" s="363"/>
    </row>
    <row r="773" spans="1:12">
      <c r="A773" s="277">
        <v>355</v>
      </c>
      <c r="B773" s="275">
        <v>200</v>
      </c>
      <c r="C773" s="276">
        <v>411</v>
      </c>
      <c r="D773" s="276"/>
      <c r="E773" s="276"/>
      <c r="F773" s="276"/>
      <c r="G773" s="94" t="s">
        <v>1320</v>
      </c>
      <c r="H773" s="363">
        <v>0</v>
      </c>
      <c r="I773" s="363"/>
      <c r="J773" s="64"/>
      <c r="L773" s="363"/>
    </row>
    <row r="774" spans="1:12">
      <c r="A774" s="277">
        <v>355</v>
      </c>
      <c r="B774" s="275">
        <v>200</v>
      </c>
      <c r="C774" s="276">
        <v>412</v>
      </c>
      <c r="D774" s="276"/>
      <c r="E774" s="276"/>
      <c r="F774" s="276"/>
      <c r="G774" s="94" t="s">
        <v>1321</v>
      </c>
      <c r="H774" s="363">
        <v>0</v>
      </c>
      <c r="I774" s="363"/>
      <c r="J774" s="64"/>
      <c r="L774" s="363"/>
    </row>
    <row r="775" spans="1:12">
      <c r="A775" s="277">
        <v>355</v>
      </c>
      <c r="B775" s="275">
        <v>200</v>
      </c>
      <c r="C775" s="276">
        <v>413</v>
      </c>
      <c r="D775" s="276"/>
      <c r="E775" s="276"/>
      <c r="F775" s="276"/>
      <c r="G775" s="94" t="s">
        <v>1322</v>
      </c>
      <c r="H775" s="363">
        <v>0</v>
      </c>
      <c r="I775" s="363"/>
      <c r="J775" s="64"/>
      <c r="L775" s="363"/>
    </row>
    <row r="776" spans="1:12">
      <c r="A776" s="277">
        <v>355</v>
      </c>
      <c r="B776" s="275">
        <v>200</v>
      </c>
      <c r="C776" s="276">
        <v>414</v>
      </c>
      <c r="D776" s="276"/>
      <c r="E776" s="276"/>
      <c r="F776" s="276"/>
      <c r="G776" s="94" t="s">
        <v>1323</v>
      </c>
      <c r="H776" s="363">
        <v>0</v>
      </c>
      <c r="I776" s="363"/>
      <c r="J776" s="64"/>
      <c r="L776" s="363"/>
    </row>
    <row r="777" spans="1:12">
      <c r="A777" s="277">
        <v>355</v>
      </c>
      <c r="B777" s="275">
        <v>200</v>
      </c>
      <c r="C777" s="276">
        <v>415</v>
      </c>
      <c r="D777" s="276"/>
      <c r="E777" s="276"/>
      <c r="F777" s="276"/>
      <c r="G777" s="94" t="s">
        <v>1324</v>
      </c>
      <c r="H777" s="363">
        <v>0</v>
      </c>
      <c r="I777" s="363"/>
      <c r="J777" s="64"/>
      <c r="L777" s="363"/>
    </row>
    <row r="778" spans="1:12">
      <c r="A778" s="277">
        <v>355</v>
      </c>
      <c r="B778" s="275">
        <v>200</v>
      </c>
      <c r="C778" s="276">
        <v>416</v>
      </c>
      <c r="D778" s="276"/>
      <c r="E778" s="276"/>
      <c r="F778" s="276"/>
      <c r="G778" s="94" t="s">
        <v>1325</v>
      </c>
      <c r="H778" s="363">
        <v>0</v>
      </c>
      <c r="I778" s="363"/>
      <c r="J778" s="64"/>
      <c r="L778" s="363"/>
    </row>
    <row r="779" spans="1:12">
      <c r="A779" s="277">
        <v>355</v>
      </c>
      <c r="B779" s="275">
        <v>200</v>
      </c>
      <c r="C779" s="276">
        <v>500</v>
      </c>
      <c r="D779" s="276"/>
      <c r="E779" s="276"/>
      <c r="F779" s="276"/>
      <c r="G779" s="94" t="s">
        <v>1326</v>
      </c>
      <c r="H779" s="363">
        <v>0</v>
      </c>
      <c r="I779" s="363"/>
      <c r="J779" s="64"/>
      <c r="L779" s="363"/>
    </row>
    <row r="780" spans="1:12">
      <c r="A780" s="277">
        <v>355</v>
      </c>
      <c r="B780" s="275">
        <v>200</v>
      </c>
      <c r="C780" s="276">
        <v>600</v>
      </c>
      <c r="D780" s="276"/>
      <c r="E780" s="276"/>
      <c r="F780" s="276"/>
      <c r="G780" s="94" t="s">
        <v>1327</v>
      </c>
      <c r="H780" s="363">
        <v>0</v>
      </c>
      <c r="I780" s="363"/>
      <c r="J780" s="64"/>
      <c r="L780" s="363"/>
    </row>
    <row r="781" spans="1:12">
      <c r="A781" s="277">
        <v>355</v>
      </c>
      <c r="B781" s="275">
        <v>200</v>
      </c>
      <c r="C781" s="276">
        <v>601</v>
      </c>
      <c r="D781" s="276"/>
      <c r="E781" s="276"/>
      <c r="F781" s="276"/>
      <c r="G781" s="97" t="s">
        <v>1328</v>
      </c>
      <c r="H781" s="363">
        <v>0</v>
      </c>
      <c r="I781" s="363"/>
      <c r="J781" s="64"/>
      <c r="L781" s="363"/>
    </row>
    <row r="782" spans="1:12">
      <c r="A782" s="277">
        <v>355</v>
      </c>
      <c r="B782" s="275">
        <v>200</v>
      </c>
      <c r="C782" s="276">
        <v>602</v>
      </c>
      <c r="D782" s="276"/>
      <c r="E782" s="276"/>
      <c r="F782" s="276"/>
      <c r="G782" s="94" t="s">
        <v>1329</v>
      </c>
      <c r="H782" s="363">
        <v>47517.42</v>
      </c>
      <c r="I782" s="363"/>
      <c r="J782" s="64"/>
      <c r="L782" s="363">
        <v>47517.42</v>
      </c>
    </row>
    <row r="783" spans="1:12">
      <c r="A783" s="277">
        <v>355</v>
      </c>
      <c r="B783" s="275">
        <v>200</v>
      </c>
      <c r="C783" s="276">
        <v>603</v>
      </c>
      <c r="D783" s="276"/>
      <c r="E783" s="276"/>
      <c r="F783" s="276"/>
      <c r="G783" s="94" t="s">
        <v>1330</v>
      </c>
      <c r="H783" s="363">
        <v>0</v>
      </c>
      <c r="I783" s="363"/>
      <c r="J783" s="64"/>
      <c r="L783" s="363"/>
    </row>
    <row r="784" spans="1:12">
      <c r="A784" s="277">
        <v>355</v>
      </c>
      <c r="B784" s="275">
        <v>200</v>
      </c>
      <c r="C784" s="276">
        <v>700</v>
      </c>
      <c r="D784" s="276"/>
      <c r="E784" s="276"/>
      <c r="F784" s="276"/>
      <c r="G784" s="94" t="s">
        <v>1331</v>
      </c>
      <c r="H784" s="363">
        <v>0</v>
      </c>
      <c r="I784" s="363"/>
      <c r="J784" s="64"/>
      <c r="L784" s="363"/>
    </row>
    <row r="785" spans="1:12">
      <c r="A785" s="277">
        <v>355</v>
      </c>
      <c r="B785" s="275">
        <v>200</v>
      </c>
      <c r="C785" s="276">
        <v>701</v>
      </c>
      <c r="D785" s="276"/>
      <c r="E785" s="276"/>
      <c r="F785" s="276"/>
      <c r="G785" s="94" t="s">
        <v>1332</v>
      </c>
      <c r="H785" s="363">
        <v>0</v>
      </c>
      <c r="I785" s="363"/>
      <c r="J785" s="64"/>
      <c r="L785" s="363"/>
    </row>
    <row r="786" spans="1:12">
      <c r="A786" s="277">
        <v>355</v>
      </c>
      <c r="B786" s="275">
        <v>200</v>
      </c>
      <c r="C786" s="276">
        <v>702</v>
      </c>
      <c r="D786" s="276"/>
      <c r="E786" s="276"/>
      <c r="F786" s="276"/>
      <c r="G786" s="97" t="s">
        <v>1333</v>
      </c>
      <c r="H786" s="363">
        <v>0</v>
      </c>
      <c r="I786" s="363"/>
      <c r="J786" s="64"/>
      <c r="L786" s="363"/>
    </row>
    <row r="787" spans="1:12">
      <c r="A787" s="277">
        <v>355</v>
      </c>
      <c r="B787" s="275">
        <v>200</v>
      </c>
      <c r="C787" s="276">
        <v>900</v>
      </c>
      <c r="D787" s="276"/>
      <c r="E787" s="276"/>
      <c r="F787" s="276"/>
      <c r="G787" s="94" t="s">
        <v>1334</v>
      </c>
      <c r="H787" s="363">
        <v>109088.93</v>
      </c>
      <c r="I787" s="363"/>
      <c r="J787" s="64"/>
      <c r="L787" s="363">
        <v>109088.93</v>
      </c>
    </row>
    <row r="788" spans="1:12">
      <c r="A788" s="277">
        <v>355</v>
      </c>
      <c r="B788" s="275">
        <v>200</v>
      </c>
      <c r="C788" s="276">
        <v>901</v>
      </c>
      <c r="D788" s="276"/>
      <c r="E788" s="276"/>
      <c r="F788" s="276"/>
      <c r="G788" s="94" t="s">
        <v>1335</v>
      </c>
      <c r="H788" s="363">
        <v>0</v>
      </c>
      <c r="I788" s="363"/>
      <c r="J788" s="64"/>
      <c r="L788" s="363"/>
    </row>
    <row r="789" spans="1:12">
      <c r="A789" s="277">
        <v>355</v>
      </c>
      <c r="B789" s="275">
        <v>200</v>
      </c>
      <c r="C789" s="276">
        <v>902</v>
      </c>
      <c r="D789" s="276"/>
      <c r="E789" s="276"/>
      <c r="F789" s="276"/>
      <c r="G789" s="94" t="s">
        <v>1336</v>
      </c>
      <c r="H789" s="363">
        <v>5690.63</v>
      </c>
      <c r="I789" s="363"/>
      <c r="J789" s="64"/>
      <c r="L789" s="363">
        <v>5690.63</v>
      </c>
    </row>
    <row r="790" spans="1:12">
      <c r="A790" s="277">
        <v>355</v>
      </c>
      <c r="B790" s="275">
        <v>200</v>
      </c>
      <c r="C790" s="276">
        <v>903</v>
      </c>
      <c r="D790" s="276"/>
      <c r="E790" s="276"/>
      <c r="F790" s="276"/>
      <c r="G790" s="94" t="s">
        <v>1337</v>
      </c>
      <c r="H790" s="363">
        <v>0</v>
      </c>
      <c r="I790" s="363"/>
      <c r="J790" s="64"/>
      <c r="L790" s="363"/>
    </row>
    <row r="791" spans="1:12" s="79" customFormat="1" ht="15.75">
      <c r="A791" s="277">
        <v>355</v>
      </c>
      <c r="B791" s="275">
        <v>200</v>
      </c>
      <c r="C791" s="276">
        <v>990</v>
      </c>
      <c r="D791" s="276"/>
      <c r="E791" s="276"/>
      <c r="F791" s="276"/>
      <c r="G791" s="94" t="s">
        <v>1338</v>
      </c>
      <c r="H791" s="363">
        <v>155432.01999999999</v>
      </c>
      <c r="I791" s="363"/>
      <c r="J791" s="64"/>
      <c r="L791" s="363">
        <v>155432.01999999999</v>
      </c>
    </row>
    <row r="792" spans="1:12">
      <c r="A792" s="272">
        <v>360</v>
      </c>
      <c r="B792" s="93">
        <v>0</v>
      </c>
      <c r="C792" s="93">
        <v>0</v>
      </c>
      <c r="D792" s="93">
        <v>0</v>
      </c>
      <c r="E792" s="93">
        <v>0</v>
      </c>
      <c r="F792" s="93">
        <v>0</v>
      </c>
      <c r="G792" s="81" t="s">
        <v>74</v>
      </c>
      <c r="H792" s="366"/>
      <c r="I792" s="366"/>
      <c r="J792" s="61" t="s">
        <v>1339</v>
      </c>
      <c r="L792" s="366"/>
    </row>
    <row r="793" spans="1:12">
      <c r="A793" s="277">
        <v>360</v>
      </c>
      <c r="B793" s="276">
        <v>100</v>
      </c>
      <c r="C793" s="276"/>
      <c r="D793" s="276"/>
      <c r="E793" s="276"/>
      <c r="F793" s="276"/>
      <c r="G793" s="66" t="s">
        <v>1340</v>
      </c>
      <c r="H793" s="366"/>
      <c r="I793" s="366"/>
      <c r="J793" s="64" t="s">
        <v>1341</v>
      </c>
      <c r="L793" s="366"/>
    </row>
    <row r="794" spans="1:12">
      <c r="A794" s="277">
        <v>360</v>
      </c>
      <c r="B794" s="276">
        <v>100</v>
      </c>
      <c r="C794" s="276">
        <v>10</v>
      </c>
      <c r="D794" s="276"/>
      <c r="E794" s="276"/>
      <c r="F794" s="276"/>
      <c r="G794" s="66" t="s">
        <v>544</v>
      </c>
      <c r="H794" s="367">
        <v>581201.5</v>
      </c>
      <c r="I794" s="367"/>
      <c r="J794" s="64" t="s">
        <v>1342</v>
      </c>
      <c r="L794" s="367"/>
    </row>
    <row r="795" spans="1:12">
      <c r="A795" s="277">
        <v>360</v>
      </c>
      <c r="B795" s="276">
        <v>100</v>
      </c>
      <c r="C795" s="276">
        <v>20</v>
      </c>
      <c r="D795" s="276"/>
      <c r="E795" s="276"/>
      <c r="F795" s="276"/>
      <c r="G795" s="83" t="s">
        <v>561</v>
      </c>
      <c r="H795" s="367">
        <v>0</v>
      </c>
      <c r="I795" s="367"/>
      <c r="J795" s="64" t="s">
        <v>1343</v>
      </c>
      <c r="L795" s="367"/>
    </row>
    <row r="796" spans="1:12">
      <c r="A796" s="277">
        <v>360</v>
      </c>
      <c r="B796" s="276">
        <v>100</v>
      </c>
      <c r="C796" s="276">
        <v>30</v>
      </c>
      <c r="D796" s="276"/>
      <c r="E796" s="276"/>
      <c r="F796" s="276"/>
      <c r="G796" s="66" t="s">
        <v>569</v>
      </c>
      <c r="H796" s="367">
        <v>-1630038.07</v>
      </c>
      <c r="I796" s="367"/>
      <c r="J796" s="64" t="s">
        <v>1344</v>
      </c>
      <c r="L796" s="367"/>
    </row>
    <row r="797" spans="1:12">
      <c r="A797" s="277">
        <v>360</v>
      </c>
      <c r="B797" s="276">
        <v>100</v>
      </c>
      <c r="C797" s="276">
        <v>40</v>
      </c>
      <c r="D797" s="276"/>
      <c r="E797" s="276"/>
      <c r="F797" s="276"/>
      <c r="G797" s="83" t="s">
        <v>577</v>
      </c>
      <c r="H797" s="367">
        <v>-111.23</v>
      </c>
      <c r="I797" s="367"/>
      <c r="J797" s="64" t="s">
        <v>1345</v>
      </c>
      <c r="L797" s="367"/>
    </row>
    <row r="798" spans="1:12">
      <c r="A798" s="277">
        <v>360</v>
      </c>
      <c r="B798" s="276">
        <v>100</v>
      </c>
      <c r="C798" s="276">
        <v>50</v>
      </c>
      <c r="D798" s="276"/>
      <c r="E798" s="276"/>
      <c r="F798" s="276"/>
      <c r="G798" s="66" t="s">
        <v>579</v>
      </c>
      <c r="H798" s="367">
        <v>0</v>
      </c>
      <c r="I798" s="367"/>
      <c r="J798" s="64" t="s">
        <v>1346</v>
      </c>
      <c r="L798" s="367"/>
    </row>
    <row r="799" spans="1:12">
      <c r="A799" s="277">
        <v>360</v>
      </c>
      <c r="B799" s="276">
        <v>100</v>
      </c>
      <c r="C799" s="276">
        <v>60</v>
      </c>
      <c r="D799" s="276"/>
      <c r="E799" s="276"/>
      <c r="F799" s="276"/>
      <c r="G799" s="83" t="s">
        <v>581</v>
      </c>
      <c r="H799" s="367">
        <v>-813.64</v>
      </c>
      <c r="I799" s="367"/>
      <c r="J799" s="64" t="s">
        <v>1347</v>
      </c>
      <c r="L799" s="367"/>
    </row>
    <row r="800" spans="1:12">
      <c r="A800" s="277">
        <v>360</v>
      </c>
      <c r="B800" s="276">
        <v>100</v>
      </c>
      <c r="C800" s="276">
        <v>70</v>
      </c>
      <c r="D800" s="276"/>
      <c r="E800" s="276"/>
      <c r="F800" s="276"/>
      <c r="G800" s="66" t="s">
        <v>583</v>
      </c>
      <c r="H800" s="367">
        <v>0</v>
      </c>
      <c r="I800" s="367"/>
      <c r="J800" s="64" t="s">
        <v>1348</v>
      </c>
      <c r="L800" s="367"/>
    </row>
    <row r="801" spans="1:12">
      <c r="A801" s="277">
        <v>360</v>
      </c>
      <c r="B801" s="276">
        <v>100</v>
      </c>
      <c r="C801" s="276">
        <v>80</v>
      </c>
      <c r="D801" s="276"/>
      <c r="E801" s="276"/>
      <c r="F801" s="276"/>
      <c r="G801" s="83" t="s">
        <v>595</v>
      </c>
      <c r="H801" s="367">
        <v>-33122.61</v>
      </c>
      <c r="I801" s="367"/>
      <c r="J801" s="64" t="s">
        <v>1349</v>
      </c>
      <c r="L801" s="367"/>
    </row>
    <row r="802" spans="1:12">
      <c r="A802" s="277">
        <v>360</v>
      </c>
      <c r="B802" s="276">
        <v>200</v>
      </c>
      <c r="C802" s="276"/>
      <c r="D802" s="276"/>
      <c r="E802" s="276"/>
      <c r="F802" s="276"/>
      <c r="G802" s="66" t="s">
        <v>1350</v>
      </c>
      <c r="H802" s="366"/>
      <c r="I802" s="366"/>
      <c r="J802" s="64" t="s">
        <v>1351</v>
      </c>
      <c r="L802" s="366"/>
    </row>
    <row r="803" spans="1:12">
      <c r="A803" s="277">
        <v>360</v>
      </c>
      <c r="B803" s="276">
        <v>200</v>
      </c>
      <c r="C803" s="276">
        <v>10</v>
      </c>
      <c r="D803" s="282"/>
      <c r="E803" s="282"/>
      <c r="F803" s="282"/>
      <c r="G803" s="96" t="s">
        <v>599</v>
      </c>
      <c r="H803" s="371">
        <v>11.97</v>
      </c>
      <c r="I803" s="371"/>
      <c r="J803" s="64" t="s">
        <v>1352</v>
      </c>
      <c r="L803" s="371"/>
    </row>
    <row r="804" spans="1:12">
      <c r="A804" s="277">
        <v>360</v>
      </c>
      <c r="B804" s="276">
        <v>200</v>
      </c>
      <c r="C804" s="276">
        <v>20</v>
      </c>
      <c r="D804" s="282"/>
      <c r="E804" s="282"/>
      <c r="F804" s="282"/>
      <c r="G804" s="96" t="s">
        <v>601</v>
      </c>
      <c r="H804" s="371">
        <v>-442207.67</v>
      </c>
      <c r="I804" s="371"/>
      <c r="J804" s="64" t="s">
        <v>1353</v>
      </c>
      <c r="L804" s="371"/>
    </row>
    <row r="805" spans="1:12">
      <c r="A805" s="277">
        <v>360</v>
      </c>
      <c r="B805" s="276">
        <v>200</v>
      </c>
      <c r="C805" s="276">
        <v>30</v>
      </c>
      <c r="D805" s="282"/>
      <c r="E805" s="282"/>
      <c r="F805" s="282"/>
      <c r="G805" s="96" t="s">
        <v>603</v>
      </c>
      <c r="H805" s="371">
        <v>0</v>
      </c>
      <c r="I805" s="371"/>
      <c r="J805" s="64" t="s">
        <v>1354</v>
      </c>
      <c r="L805" s="371"/>
    </row>
    <row r="806" spans="1:12">
      <c r="A806" s="277">
        <v>360</v>
      </c>
      <c r="B806" s="276">
        <v>200</v>
      </c>
      <c r="C806" s="276">
        <v>40</v>
      </c>
      <c r="D806" s="282"/>
      <c r="E806" s="282"/>
      <c r="F806" s="282"/>
      <c r="G806" s="96" t="s">
        <v>605</v>
      </c>
      <c r="H806" s="371">
        <v>-10454.64</v>
      </c>
      <c r="I806" s="371"/>
      <c r="J806" s="64" t="s">
        <v>1355</v>
      </c>
      <c r="L806" s="371"/>
    </row>
    <row r="807" spans="1:12">
      <c r="A807" s="277">
        <v>360</v>
      </c>
      <c r="B807" s="276">
        <v>200</v>
      </c>
      <c r="C807" s="276">
        <v>50</v>
      </c>
      <c r="D807" s="282"/>
      <c r="E807" s="282"/>
      <c r="F807" s="282"/>
      <c r="G807" s="96" t="s">
        <v>610</v>
      </c>
      <c r="H807" s="371">
        <v>47569.85</v>
      </c>
      <c r="I807" s="371"/>
      <c r="J807" s="64" t="s">
        <v>1356</v>
      </c>
      <c r="L807" s="371"/>
    </row>
    <row r="808" spans="1:12" s="79" customFormat="1" ht="15.75">
      <c r="A808" s="277">
        <v>360</v>
      </c>
      <c r="B808" s="276">
        <v>200</v>
      </c>
      <c r="C808" s="276">
        <v>60</v>
      </c>
      <c r="D808" s="282"/>
      <c r="E808" s="282"/>
      <c r="F808" s="282"/>
      <c r="G808" s="96" t="s">
        <v>3470</v>
      </c>
      <c r="H808" s="371">
        <v>-5235.47</v>
      </c>
      <c r="I808" s="371"/>
      <c r="J808" s="64" t="s">
        <v>1357</v>
      </c>
      <c r="L808" s="371"/>
    </row>
    <row r="809" spans="1:12">
      <c r="A809" s="272">
        <v>365</v>
      </c>
      <c r="B809" s="93">
        <v>0</v>
      </c>
      <c r="C809" s="93">
        <v>0</v>
      </c>
      <c r="D809" s="93">
        <v>0</v>
      </c>
      <c r="E809" s="93">
        <v>0</v>
      </c>
      <c r="F809" s="93">
        <v>0</v>
      </c>
      <c r="G809" s="81" t="s">
        <v>1358</v>
      </c>
      <c r="H809" s="366"/>
      <c r="I809" s="366"/>
      <c r="J809" s="61" t="s">
        <v>1359</v>
      </c>
      <c r="L809" s="366"/>
    </row>
    <row r="810" spans="1:12">
      <c r="A810" s="277">
        <v>365</v>
      </c>
      <c r="B810" s="275">
        <v>100</v>
      </c>
      <c r="C810" s="275"/>
      <c r="D810" s="275"/>
      <c r="E810" s="275"/>
      <c r="F810" s="275"/>
      <c r="G810" s="63" t="s">
        <v>1360</v>
      </c>
      <c r="H810" s="366"/>
      <c r="I810" s="366"/>
      <c r="J810" s="64" t="s">
        <v>1361</v>
      </c>
      <c r="L810" s="366"/>
    </row>
    <row r="811" spans="1:12">
      <c r="A811" s="277">
        <v>365</v>
      </c>
      <c r="B811" s="275">
        <v>100</v>
      </c>
      <c r="C811" s="276">
        <v>100</v>
      </c>
      <c r="D811" s="276"/>
      <c r="E811" s="276"/>
      <c r="F811" s="276"/>
      <c r="G811" s="66" t="s">
        <v>1362</v>
      </c>
      <c r="H811" s="367">
        <v>3646292</v>
      </c>
      <c r="I811" s="367"/>
      <c r="J811" s="64" t="s">
        <v>1363</v>
      </c>
      <c r="L811" s="367">
        <v>1885837</v>
      </c>
    </row>
    <row r="812" spans="1:12">
      <c r="A812" s="277">
        <v>365</v>
      </c>
      <c r="B812" s="275">
        <v>100</v>
      </c>
      <c r="C812" s="276">
        <v>200</v>
      </c>
      <c r="D812" s="276"/>
      <c r="E812" s="276"/>
      <c r="F812" s="276"/>
      <c r="G812" s="66" t="s">
        <v>1364</v>
      </c>
      <c r="H812" s="367">
        <v>223800</v>
      </c>
      <c r="I812" s="367"/>
      <c r="J812" s="64" t="s">
        <v>1365</v>
      </c>
      <c r="L812" s="367">
        <v>150000</v>
      </c>
    </row>
    <row r="813" spans="1:12" ht="25.5">
      <c r="A813" s="277">
        <v>365</v>
      </c>
      <c r="B813" s="275">
        <v>100</v>
      </c>
      <c r="C813" s="276">
        <v>300</v>
      </c>
      <c r="D813" s="276"/>
      <c r="E813" s="276"/>
      <c r="F813" s="276"/>
      <c r="G813" s="66" t="s">
        <v>1366</v>
      </c>
      <c r="H813" s="367">
        <v>225335</v>
      </c>
      <c r="I813" s="367"/>
      <c r="J813" s="64" t="s">
        <v>1367</v>
      </c>
      <c r="L813" s="367"/>
    </row>
    <row r="814" spans="1:12">
      <c r="A814" s="277">
        <v>365</v>
      </c>
      <c r="B814" s="275">
        <v>100</v>
      </c>
      <c r="C814" s="276">
        <v>400</v>
      </c>
      <c r="D814" s="276"/>
      <c r="E814" s="276"/>
      <c r="F814" s="276"/>
      <c r="G814" s="66" t="s">
        <v>1368</v>
      </c>
      <c r="H814" s="367">
        <v>0</v>
      </c>
      <c r="I814" s="367"/>
      <c r="J814" s="64" t="s">
        <v>1369</v>
      </c>
      <c r="L814" s="367"/>
    </row>
    <row r="815" spans="1:12" ht="15.75" customHeight="1">
      <c r="A815" s="277">
        <v>365</v>
      </c>
      <c r="B815" s="275">
        <v>100</v>
      </c>
      <c r="C815" s="276">
        <v>450</v>
      </c>
      <c r="D815" s="276"/>
      <c r="E815" s="276"/>
      <c r="F815" s="276"/>
      <c r="G815" s="66" t="s">
        <v>1370</v>
      </c>
      <c r="H815" s="371">
        <v>0</v>
      </c>
      <c r="I815" s="371"/>
      <c r="J815" s="64" t="s">
        <v>1371</v>
      </c>
      <c r="L815" s="371"/>
    </row>
    <row r="816" spans="1:12" s="86" customFormat="1" ht="12.75">
      <c r="A816" s="277">
        <v>365</v>
      </c>
      <c r="B816" s="275">
        <v>100</v>
      </c>
      <c r="C816" s="275">
        <v>500</v>
      </c>
      <c r="D816" s="275"/>
      <c r="E816" s="275"/>
      <c r="F816" s="275"/>
      <c r="G816" s="63" t="s">
        <v>1372</v>
      </c>
      <c r="H816" s="366"/>
      <c r="I816" s="366"/>
      <c r="J816" s="64" t="s">
        <v>1373</v>
      </c>
      <c r="L816" s="366"/>
    </row>
    <row r="817" spans="1:12" s="86" customFormat="1" ht="12.75">
      <c r="A817" s="277">
        <v>365</v>
      </c>
      <c r="B817" s="275">
        <v>100</v>
      </c>
      <c r="C817" s="275">
        <v>500</v>
      </c>
      <c r="D817" s="276">
        <v>100</v>
      </c>
      <c r="E817" s="276"/>
      <c r="F817" s="276"/>
      <c r="G817" s="98" t="s">
        <v>1374</v>
      </c>
      <c r="H817" s="374">
        <v>0</v>
      </c>
      <c r="I817" s="374"/>
      <c r="J817" s="64"/>
      <c r="L817" s="374"/>
    </row>
    <row r="818" spans="1:12" s="86" customFormat="1" ht="12.75">
      <c r="A818" s="277">
        <v>365</v>
      </c>
      <c r="B818" s="275">
        <v>100</v>
      </c>
      <c r="C818" s="275">
        <v>500</v>
      </c>
      <c r="D818" s="276">
        <v>200</v>
      </c>
      <c r="E818" s="276"/>
      <c r="F818" s="276"/>
      <c r="G818" s="66" t="s">
        <v>1375</v>
      </c>
      <c r="H818" s="374">
        <v>0</v>
      </c>
      <c r="I818" s="374"/>
      <c r="J818" s="64"/>
      <c r="L818" s="374"/>
    </row>
    <row r="819" spans="1:12" s="86" customFormat="1" ht="12.75">
      <c r="A819" s="277">
        <v>365</v>
      </c>
      <c r="B819" s="275">
        <v>100</v>
      </c>
      <c r="C819" s="275">
        <v>500</v>
      </c>
      <c r="D819" s="276">
        <v>900</v>
      </c>
      <c r="E819" s="276"/>
      <c r="F819" s="276"/>
      <c r="G819" s="66" t="s">
        <v>1372</v>
      </c>
      <c r="H819" s="374">
        <v>386089.13</v>
      </c>
      <c r="I819" s="374"/>
      <c r="J819" s="64"/>
      <c r="L819" s="374">
        <v>30919.13</v>
      </c>
    </row>
    <row r="820" spans="1:12">
      <c r="A820" s="277">
        <v>365</v>
      </c>
      <c r="B820" s="275">
        <v>100</v>
      </c>
      <c r="C820" s="276">
        <v>600</v>
      </c>
      <c r="D820" s="276"/>
      <c r="E820" s="276"/>
      <c r="F820" s="276"/>
      <c r="G820" s="66" t="s">
        <v>1376</v>
      </c>
      <c r="H820" s="374">
        <v>0</v>
      </c>
      <c r="I820" s="374"/>
      <c r="J820" s="64" t="s">
        <v>1377</v>
      </c>
      <c r="L820" s="374"/>
    </row>
    <row r="821" spans="1:12" s="86" customFormat="1" ht="12.75">
      <c r="A821" s="277">
        <v>365</v>
      </c>
      <c r="B821" s="275">
        <v>200</v>
      </c>
      <c r="C821" s="275"/>
      <c r="D821" s="275"/>
      <c r="E821" s="275"/>
      <c r="F821" s="275"/>
      <c r="G821" s="63" t="s">
        <v>1378</v>
      </c>
      <c r="H821" s="366"/>
      <c r="I821" s="366"/>
      <c r="J821" s="64" t="s">
        <v>1379</v>
      </c>
      <c r="L821" s="366"/>
    </row>
    <row r="822" spans="1:12" s="86" customFormat="1" ht="12.75">
      <c r="A822" s="277">
        <v>365</v>
      </c>
      <c r="B822" s="275">
        <v>200</v>
      </c>
      <c r="C822" s="276">
        <v>100</v>
      </c>
      <c r="D822" s="276"/>
      <c r="E822" s="276"/>
      <c r="F822" s="276"/>
      <c r="G822" s="66" t="s">
        <v>1380</v>
      </c>
      <c r="H822" s="363">
        <v>165220.95000000001</v>
      </c>
      <c r="I822" s="363"/>
      <c r="J822" s="64"/>
      <c r="L822" s="363"/>
    </row>
    <row r="823" spans="1:12">
      <c r="A823" s="277">
        <v>365</v>
      </c>
      <c r="B823" s="275">
        <v>200</v>
      </c>
      <c r="C823" s="276">
        <v>200</v>
      </c>
      <c r="D823" s="276"/>
      <c r="E823" s="276"/>
      <c r="F823" s="276"/>
      <c r="G823" s="66" t="s">
        <v>1381</v>
      </c>
      <c r="H823" s="363">
        <v>38331.51</v>
      </c>
      <c r="I823" s="363"/>
      <c r="J823" s="64"/>
      <c r="L823" s="363"/>
    </row>
    <row r="824" spans="1:12">
      <c r="A824" s="277">
        <v>365</v>
      </c>
      <c r="B824" s="275">
        <v>300</v>
      </c>
      <c r="C824" s="275"/>
      <c r="D824" s="275"/>
      <c r="E824" s="275"/>
      <c r="F824" s="275"/>
      <c r="G824" s="63" t="s">
        <v>1382</v>
      </c>
      <c r="H824" s="366"/>
      <c r="I824" s="366"/>
      <c r="J824" s="64" t="s">
        <v>1383</v>
      </c>
      <c r="L824" s="366"/>
    </row>
    <row r="825" spans="1:12" ht="25.5">
      <c r="A825" s="277">
        <v>365</v>
      </c>
      <c r="B825" s="275">
        <v>300</v>
      </c>
      <c r="C825" s="276">
        <v>50</v>
      </c>
      <c r="D825" s="275"/>
      <c r="E825" s="275"/>
      <c r="F825" s="275"/>
      <c r="G825" s="66" t="s">
        <v>1384</v>
      </c>
      <c r="H825" s="367">
        <v>14055857.43</v>
      </c>
      <c r="I825" s="367"/>
      <c r="J825" s="64" t="s">
        <v>1385</v>
      </c>
      <c r="L825" s="367"/>
    </row>
    <row r="826" spans="1:12" ht="25.5">
      <c r="A826" s="277">
        <v>365</v>
      </c>
      <c r="B826" s="275">
        <v>300</v>
      </c>
      <c r="C826" s="276">
        <v>100</v>
      </c>
      <c r="D826" s="276"/>
      <c r="E826" s="276"/>
      <c r="F826" s="276"/>
      <c r="G826" s="66" t="s">
        <v>1386</v>
      </c>
      <c r="H826" s="367">
        <v>3517974.85</v>
      </c>
      <c r="I826" s="367"/>
      <c r="J826" s="64" t="s">
        <v>1387</v>
      </c>
      <c r="L826" s="367"/>
    </row>
    <row r="827" spans="1:12" ht="25.5">
      <c r="A827" s="277">
        <v>365</v>
      </c>
      <c r="B827" s="275">
        <v>300</v>
      </c>
      <c r="C827" s="276">
        <v>200</v>
      </c>
      <c r="D827" s="276"/>
      <c r="E827" s="276"/>
      <c r="F827" s="276"/>
      <c r="G827" s="66" t="s">
        <v>1388</v>
      </c>
      <c r="H827" s="367">
        <v>5263416.6399999997</v>
      </c>
      <c r="I827" s="367"/>
      <c r="J827" s="64" t="s">
        <v>1389</v>
      </c>
      <c r="L827" s="367">
        <v>8000</v>
      </c>
    </row>
    <row r="828" spans="1:12" ht="25.5">
      <c r="A828" s="277">
        <v>365</v>
      </c>
      <c r="B828" s="275">
        <v>300</v>
      </c>
      <c r="C828" s="276">
        <v>300</v>
      </c>
      <c r="D828" s="276"/>
      <c r="E828" s="276"/>
      <c r="F828" s="276"/>
      <c r="G828" s="66" t="s">
        <v>1390</v>
      </c>
      <c r="H828" s="367">
        <v>0</v>
      </c>
      <c r="I828" s="367"/>
      <c r="J828" s="64" t="s">
        <v>1391</v>
      </c>
      <c r="L828" s="367"/>
    </row>
    <row r="829" spans="1:12">
      <c r="A829" s="277">
        <v>365</v>
      </c>
      <c r="B829" s="275">
        <v>300</v>
      </c>
      <c r="C829" s="275">
        <v>400</v>
      </c>
      <c r="D829" s="275"/>
      <c r="E829" s="275"/>
      <c r="F829" s="275"/>
      <c r="G829" s="63" t="s">
        <v>1392</v>
      </c>
      <c r="H829" s="366"/>
      <c r="I829" s="366"/>
      <c r="J829" s="64" t="s">
        <v>1393</v>
      </c>
      <c r="L829" s="366"/>
    </row>
    <row r="830" spans="1:12" ht="25.5">
      <c r="A830" s="277">
        <v>365</v>
      </c>
      <c r="B830" s="275">
        <v>300</v>
      </c>
      <c r="C830" s="275">
        <v>400</v>
      </c>
      <c r="D830" s="276">
        <v>100</v>
      </c>
      <c r="E830" s="276"/>
      <c r="F830" s="276"/>
      <c r="G830" s="66" t="s">
        <v>1394</v>
      </c>
      <c r="H830" s="363">
        <v>51538.79</v>
      </c>
      <c r="I830" s="363"/>
      <c r="J830" s="64"/>
      <c r="L830" s="363">
        <v>51538.79</v>
      </c>
    </row>
    <row r="831" spans="1:12">
      <c r="A831" s="277">
        <v>365</v>
      </c>
      <c r="B831" s="275">
        <v>300</v>
      </c>
      <c r="C831" s="275">
        <v>400</v>
      </c>
      <c r="D831" s="276">
        <v>200</v>
      </c>
      <c r="E831" s="276"/>
      <c r="F831" s="276"/>
      <c r="G831" s="66" t="s">
        <v>1395</v>
      </c>
      <c r="H831" s="363">
        <v>976949.72</v>
      </c>
      <c r="I831" s="363"/>
      <c r="J831" s="64"/>
      <c r="L831" s="363">
        <v>358268.02</v>
      </c>
    </row>
    <row r="832" spans="1:12" ht="25.5">
      <c r="A832" s="277">
        <v>365</v>
      </c>
      <c r="B832" s="275">
        <v>300</v>
      </c>
      <c r="C832" s="275">
        <v>500</v>
      </c>
      <c r="D832" s="276"/>
      <c r="E832" s="276"/>
      <c r="F832" s="276"/>
      <c r="G832" s="66" t="s">
        <v>1396</v>
      </c>
      <c r="H832" s="363">
        <v>0</v>
      </c>
      <c r="I832" s="363"/>
      <c r="J832" s="64" t="s">
        <v>1397</v>
      </c>
      <c r="L832" s="363"/>
    </row>
    <row r="833" spans="1:12">
      <c r="A833" s="277">
        <v>365</v>
      </c>
      <c r="B833" s="275">
        <v>400</v>
      </c>
      <c r="C833" s="275"/>
      <c r="D833" s="276"/>
      <c r="E833" s="276"/>
      <c r="F833" s="276"/>
      <c r="G833" s="63" t="s">
        <v>1398</v>
      </c>
      <c r="H833" s="366"/>
      <c r="I833" s="366"/>
      <c r="J833" s="64" t="s">
        <v>1399</v>
      </c>
      <c r="L833" s="366"/>
    </row>
    <row r="834" spans="1:12">
      <c r="A834" s="277">
        <v>365</v>
      </c>
      <c r="B834" s="275">
        <v>400</v>
      </c>
      <c r="C834" s="276">
        <v>200</v>
      </c>
      <c r="D834" s="276"/>
      <c r="E834" s="276"/>
      <c r="F834" s="276"/>
      <c r="G834" s="66" t="s">
        <v>1400</v>
      </c>
      <c r="H834" s="367">
        <v>2128840.13</v>
      </c>
      <c r="I834" s="367"/>
      <c r="J834" s="64" t="s">
        <v>1401</v>
      </c>
      <c r="L834" s="367"/>
    </row>
    <row r="835" spans="1:12">
      <c r="A835" s="277">
        <v>365</v>
      </c>
      <c r="B835" s="275">
        <v>400</v>
      </c>
      <c r="C835" s="276">
        <v>300</v>
      </c>
      <c r="D835" s="276"/>
      <c r="E835" s="276"/>
      <c r="F835" s="276"/>
      <c r="G835" s="66" t="s">
        <v>1402</v>
      </c>
      <c r="H835" s="367">
        <v>180184.01</v>
      </c>
      <c r="I835" s="367"/>
      <c r="J835" s="64" t="s">
        <v>1403</v>
      </c>
      <c r="L835" s="367"/>
    </row>
    <row r="836" spans="1:12">
      <c r="A836" s="277">
        <v>365</v>
      </c>
      <c r="B836" s="275">
        <v>400</v>
      </c>
      <c r="C836" s="276">
        <v>400</v>
      </c>
      <c r="D836" s="276"/>
      <c r="E836" s="276"/>
      <c r="F836" s="276"/>
      <c r="G836" s="66" t="s">
        <v>1404</v>
      </c>
      <c r="H836" s="367">
        <v>1393771.73</v>
      </c>
      <c r="I836" s="367"/>
      <c r="J836" s="64" t="s">
        <v>1405</v>
      </c>
      <c r="L836" s="367">
        <v>1393771.73</v>
      </c>
    </row>
    <row r="837" spans="1:12">
      <c r="A837" s="277">
        <v>365</v>
      </c>
      <c r="B837" s="275">
        <v>400</v>
      </c>
      <c r="C837" s="276">
        <v>500</v>
      </c>
      <c r="D837" s="276"/>
      <c r="E837" s="276"/>
      <c r="F837" s="276"/>
      <c r="G837" s="66" t="s">
        <v>1406</v>
      </c>
      <c r="H837" s="367">
        <v>245335.74</v>
      </c>
      <c r="I837" s="367"/>
      <c r="J837" s="64" t="s">
        <v>1407</v>
      </c>
      <c r="L837" s="367">
        <v>245335.74</v>
      </c>
    </row>
    <row r="838" spans="1:12">
      <c r="A838" s="277">
        <v>365</v>
      </c>
      <c r="B838" s="275">
        <v>400</v>
      </c>
      <c r="C838" s="276">
        <v>600</v>
      </c>
      <c r="D838" s="276"/>
      <c r="E838" s="276"/>
      <c r="F838" s="276"/>
      <c r="G838" s="66" t="s">
        <v>1408</v>
      </c>
      <c r="H838" s="367">
        <v>1211034.6399999999</v>
      </c>
      <c r="I838" s="367"/>
      <c r="J838" s="64" t="s">
        <v>1409</v>
      </c>
      <c r="L838" s="367">
        <v>1211034.6399999999</v>
      </c>
    </row>
    <row r="839" spans="1:12">
      <c r="A839" s="277">
        <v>365</v>
      </c>
      <c r="B839" s="275">
        <v>400</v>
      </c>
      <c r="C839" s="276">
        <v>610</v>
      </c>
      <c r="D839" s="283"/>
      <c r="E839" s="283"/>
      <c r="F839" s="283"/>
      <c r="G839" s="66" t="s">
        <v>1410</v>
      </c>
      <c r="H839" s="367">
        <v>0</v>
      </c>
      <c r="I839" s="367"/>
      <c r="J839" s="64" t="s">
        <v>1411</v>
      </c>
      <c r="L839" s="367"/>
    </row>
    <row r="840" spans="1:12">
      <c r="A840" s="277">
        <v>365</v>
      </c>
      <c r="B840" s="275">
        <v>400</v>
      </c>
      <c r="C840" s="276">
        <v>620</v>
      </c>
      <c r="D840" s="283"/>
      <c r="E840" s="283"/>
      <c r="F840" s="283"/>
      <c r="G840" s="66" t="s">
        <v>1412</v>
      </c>
      <c r="H840" s="367">
        <v>0</v>
      </c>
      <c r="I840" s="367"/>
      <c r="J840" s="64" t="s">
        <v>1413</v>
      </c>
      <c r="L840" s="367"/>
    </row>
    <row r="841" spans="1:12">
      <c r="A841" s="277">
        <v>365</v>
      </c>
      <c r="B841" s="275">
        <v>400</v>
      </c>
      <c r="C841" s="276">
        <v>630</v>
      </c>
      <c r="D841" s="283"/>
      <c r="E841" s="283"/>
      <c r="F841" s="283"/>
      <c r="G841" s="66" t="s">
        <v>1414</v>
      </c>
      <c r="H841" s="367">
        <v>0</v>
      </c>
      <c r="I841" s="367"/>
      <c r="J841" s="64" t="s">
        <v>1415</v>
      </c>
      <c r="L841" s="367"/>
    </row>
    <row r="842" spans="1:12">
      <c r="A842" s="277">
        <v>365</v>
      </c>
      <c r="B842" s="275">
        <v>400</v>
      </c>
      <c r="C842" s="276">
        <v>640</v>
      </c>
      <c r="D842" s="283"/>
      <c r="E842" s="283"/>
      <c r="F842" s="283"/>
      <c r="G842" s="66" t="s">
        <v>1416</v>
      </c>
      <c r="H842" s="367">
        <v>100761.49</v>
      </c>
      <c r="I842" s="367"/>
      <c r="J842" s="64" t="s">
        <v>1417</v>
      </c>
      <c r="L842" s="367">
        <v>100761.49</v>
      </c>
    </row>
    <row r="843" spans="1:12">
      <c r="A843" s="277">
        <v>365</v>
      </c>
      <c r="B843" s="275">
        <v>400</v>
      </c>
      <c r="C843" s="284">
        <v>700</v>
      </c>
      <c r="D843" s="275"/>
      <c r="E843" s="275"/>
      <c r="F843" s="275"/>
      <c r="G843" s="269" t="s">
        <v>1398</v>
      </c>
      <c r="H843" s="371">
        <v>810682</v>
      </c>
      <c r="I843" s="371"/>
      <c r="J843" s="64" t="s">
        <v>1418</v>
      </c>
      <c r="L843" s="371">
        <v>574182</v>
      </c>
    </row>
    <row r="844" spans="1:12">
      <c r="A844" s="272">
        <v>370</v>
      </c>
      <c r="B844" s="93">
        <v>0</v>
      </c>
      <c r="C844" s="285">
        <v>0</v>
      </c>
      <c r="D844" s="93">
        <v>0</v>
      </c>
      <c r="E844" s="93">
        <v>0</v>
      </c>
      <c r="F844" s="93">
        <v>0</v>
      </c>
      <c r="G844" s="81" t="s">
        <v>1419</v>
      </c>
      <c r="H844" s="366"/>
      <c r="I844" s="366"/>
      <c r="J844" s="61" t="s">
        <v>1420</v>
      </c>
      <c r="L844" s="366"/>
    </row>
    <row r="845" spans="1:12">
      <c r="A845" s="286">
        <v>370</v>
      </c>
      <c r="B845" s="281">
        <v>100</v>
      </c>
      <c r="C845" s="281"/>
      <c r="D845" s="281"/>
      <c r="E845" s="281"/>
      <c r="F845" s="281"/>
      <c r="G845" s="66" t="s">
        <v>1421</v>
      </c>
      <c r="H845" s="367">
        <v>0</v>
      </c>
      <c r="I845" s="367"/>
      <c r="J845" s="68" t="s">
        <v>1422</v>
      </c>
      <c r="L845" s="367"/>
    </row>
    <row r="846" spans="1:12" s="79" customFormat="1" ht="15.75">
      <c r="A846" s="286">
        <v>370</v>
      </c>
      <c r="B846" s="281">
        <v>200</v>
      </c>
      <c r="C846" s="281"/>
      <c r="D846" s="281"/>
      <c r="E846" s="281"/>
      <c r="F846" s="281"/>
      <c r="G846" s="66" t="s">
        <v>1423</v>
      </c>
      <c r="H846" s="367">
        <v>0</v>
      </c>
      <c r="I846" s="367"/>
      <c r="J846" s="68" t="s">
        <v>1424</v>
      </c>
      <c r="L846" s="367"/>
    </row>
    <row r="847" spans="1:12">
      <c r="A847" s="286">
        <v>370</v>
      </c>
      <c r="B847" s="280">
        <v>300</v>
      </c>
      <c r="C847" s="280"/>
      <c r="D847" s="280"/>
      <c r="E847" s="280"/>
      <c r="F847" s="280"/>
      <c r="G847" s="63" t="s">
        <v>1425</v>
      </c>
      <c r="H847" s="366"/>
      <c r="I847" s="366"/>
      <c r="J847" s="68" t="s">
        <v>1426</v>
      </c>
      <c r="L847" s="366"/>
    </row>
    <row r="848" spans="1:12">
      <c r="A848" s="286">
        <v>370</v>
      </c>
      <c r="B848" s="280">
        <v>300</v>
      </c>
      <c r="C848" s="281">
        <v>100</v>
      </c>
      <c r="D848" s="281"/>
      <c r="E848" s="281"/>
      <c r="F848" s="281"/>
      <c r="G848" s="72" t="s">
        <v>474</v>
      </c>
      <c r="H848" s="373">
        <v>56607.199999999997</v>
      </c>
      <c r="I848" s="373"/>
      <c r="J848" s="68"/>
      <c r="L848" s="373">
        <v>27652.03</v>
      </c>
    </row>
    <row r="849" spans="1:12" s="58" customFormat="1" ht="12.75">
      <c r="A849" s="286">
        <v>370</v>
      </c>
      <c r="B849" s="280">
        <v>300</v>
      </c>
      <c r="C849" s="281">
        <v>900</v>
      </c>
      <c r="D849" s="281"/>
      <c r="E849" s="281"/>
      <c r="F849" s="281"/>
      <c r="G849" s="72" t="s">
        <v>1425</v>
      </c>
      <c r="H849" s="373">
        <v>0</v>
      </c>
      <c r="I849" s="373"/>
      <c r="J849" s="68"/>
      <c r="L849" s="373"/>
    </row>
    <row r="850" spans="1:12">
      <c r="A850" s="272">
        <v>375</v>
      </c>
      <c r="B850" s="93">
        <v>0</v>
      </c>
      <c r="C850" s="93">
        <v>0</v>
      </c>
      <c r="D850" s="93">
        <v>0</v>
      </c>
      <c r="E850" s="93">
        <v>0</v>
      </c>
      <c r="F850" s="93">
        <v>0</v>
      </c>
      <c r="G850" s="81" t="s">
        <v>1427</v>
      </c>
      <c r="H850" s="366"/>
      <c r="I850" s="366"/>
      <c r="J850" s="61"/>
      <c r="L850" s="366"/>
    </row>
    <row r="851" spans="1:12">
      <c r="A851" s="287">
        <v>375</v>
      </c>
      <c r="B851" s="288">
        <v>100</v>
      </c>
      <c r="C851" s="288"/>
      <c r="D851" s="288"/>
      <c r="E851" s="288"/>
      <c r="F851" s="288"/>
      <c r="G851" s="66" t="s">
        <v>1428</v>
      </c>
      <c r="H851" s="367">
        <v>0</v>
      </c>
      <c r="I851" s="367"/>
      <c r="J851" s="99" t="s">
        <v>1429</v>
      </c>
      <c r="L851" s="367"/>
    </row>
    <row r="852" spans="1:12" s="79" customFormat="1" ht="15.75">
      <c r="A852" s="280">
        <v>375</v>
      </c>
      <c r="B852" s="281">
        <v>200</v>
      </c>
      <c r="C852" s="281"/>
      <c r="D852" s="281"/>
      <c r="E852" s="281"/>
      <c r="F852" s="281"/>
      <c r="G852" s="83" t="s">
        <v>1430</v>
      </c>
      <c r="H852" s="367">
        <v>0</v>
      </c>
      <c r="I852" s="367"/>
      <c r="J852" s="99" t="s">
        <v>1431</v>
      </c>
      <c r="L852" s="367"/>
    </row>
    <row r="853" spans="1:12">
      <c r="A853" s="276">
        <v>380</v>
      </c>
      <c r="B853" s="276">
        <v>0</v>
      </c>
      <c r="C853" s="276">
        <v>0</v>
      </c>
      <c r="D853" s="276">
        <v>0</v>
      </c>
      <c r="E853" s="276">
        <v>0</v>
      </c>
      <c r="F853" s="276">
        <v>0</v>
      </c>
      <c r="G853" s="83" t="s">
        <v>1432</v>
      </c>
      <c r="H853" s="367">
        <v>0</v>
      </c>
      <c r="I853" s="367"/>
      <c r="J853" s="246" t="s">
        <v>1433</v>
      </c>
      <c r="L853" s="367"/>
    </row>
    <row r="854" spans="1:12">
      <c r="A854" s="272">
        <v>390</v>
      </c>
      <c r="B854" s="93">
        <v>0</v>
      </c>
      <c r="C854" s="93">
        <v>0</v>
      </c>
      <c r="D854" s="93">
        <v>0</v>
      </c>
      <c r="E854" s="93">
        <v>0</v>
      </c>
      <c r="F854" s="93">
        <v>0</v>
      </c>
      <c r="G854" s="81" t="s">
        <v>102</v>
      </c>
      <c r="H854" s="366"/>
      <c r="I854" s="366"/>
      <c r="J854" s="61" t="s">
        <v>1434</v>
      </c>
      <c r="L854" s="366"/>
    </row>
    <row r="855" spans="1:12" s="79" customFormat="1" ht="15.75">
      <c r="A855" s="289">
        <v>390</v>
      </c>
      <c r="B855" s="281">
        <v>100</v>
      </c>
      <c r="C855" s="281"/>
      <c r="D855" s="281"/>
      <c r="E855" s="281"/>
      <c r="F855" s="281"/>
      <c r="G855" s="66" t="s">
        <v>1435</v>
      </c>
      <c r="H855" s="367">
        <v>18998.45</v>
      </c>
      <c r="I855" s="367"/>
      <c r="J855" s="68" t="s">
        <v>1436</v>
      </c>
      <c r="L855" s="367"/>
    </row>
    <row r="856" spans="1:12" s="79" customFormat="1" ht="15.75">
      <c r="A856" s="286">
        <v>390</v>
      </c>
      <c r="B856" s="280">
        <v>200</v>
      </c>
      <c r="C856" s="280"/>
      <c r="D856" s="280"/>
      <c r="E856" s="280"/>
      <c r="F856" s="280"/>
      <c r="G856" s="63" t="s">
        <v>1437</v>
      </c>
      <c r="H856" s="366"/>
      <c r="I856" s="366"/>
      <c r="J856" s="68" t="s">
        <v>1438</v>
      </c>
      <c r="L856" s="366"/>
    </row>
    <row r="857" spans="1:12">
      <c r="A857" s="286">
        <v>390</v>
      </c>
      <c r="B857" s="280">
        <v>200</v>
      </c>
      <c r="C857" s="281">
        <v>100</v>
      </c>
      <c r="D857" s="281"/>
      <c r="E857" s="281"/>
      <c r="F857" s="281"/>
      <c r="G857" s="66" t="s">
        <v>1439</v>
      </c>
      <c r="H857" s="367">
        <v>0</v>
      </c>
      <c r="I857" s="367"/>
      <c r="J857" s="68" t="s">
        <v>1440</v>
      </c>
      <c r="L857" s="367"/>
    </row>
    <row r="858" spans="1:12">
      <c r="A858" s="286">
        <v>390</v>
      </c>
      <c r="B858" s="280">
        <v>200</v>
      </c>
      <c r="C858" s="281">
        <v>200</v>
      </c>
      <c r="D858" s="281"/>
      <c r="E858" s="281"/>
      <c r="F858" s="281"/>
      <c r="G858" s="66" t="s">
        <v>1441</v>
      </c>
      <c r="H858" s="367">
        <v>0</v>
      </c>
      <c r="I858" s="367"/>
      <c r="J858" s="68" t="s">
        <v>1442</v>
      </c>
      <c r="L858" s="367"/>
    </row>
    <row r="859" spans="1:12">
      <c r="A859" s="286">
        <v>390</v>
      </c>
      <c r="B859" s="280">
        <v>200</v>
      </c>
      <c r="C859" s="280">
        <v>300</v>
      </c>
      <c r="D859" s="280"/>
      <c r="E859" s="280"/>
      <c r="F859" s="280"/>
      <c r="G859" s="63" t="s">
        <v>1443</v>
      </c>
      <c r="H859" s="366"/>
      <c r="I859" s="366"/>
      <c r="J859" s="68" t="s">
        <v>1444</v>
      </c>
      <c r="L859" s="366"/>
    </row>
    <row r="860" spans="1:12">
      <c r="A860" s="286">
        <v>390</v>
      </c>
      <c r="B860" s="280">
        <v>200</v>
      </c>
      <c r="C860" s="280">
        <v>300</v>
      </c>
      <c r="D860" s="280">
        <v>100</v>
      </c>
      <c r="E860" s="280"/>
      <c r="F860" s="280"/>
      <c r="G860" s="63" t="s">
        <v>1445</v>
      </c>
      <c r="H860" s="366"/>
      <c r="I860" s="366"/>
      <c r="J860" s="68" t="s">
        <v>1446</v>
      </c>
      <c r="L860" s="366"/>
    </row>
    <row r="861" spans="1:12" ht="25.5">
      <c r="A861" s="286">
        <v>390</v>
      </c>
      <c r="B861" s="280">
        <v>200</v>
      </c>
      <c r="C861" s="280">
        <v>300</v>
      </c>
      <c r="D861" s="280">
        <v>100</v>
      </c>
      <c r="E861" s="281">
        <v>10</v>
      </c>
      <c r="F861" s="281"/>
      <c r="G861" s="66" t="s">
        <v>1447</v>
      </c>
      <c r="H861" s="367">
        <v>0</v>
      </c>
      <c r="I861" s="367"/>
      <c r="J861" s="68" t="s">
        <v>1448</v>
      </c>
      <c r="L861" s="367"/>
    </row>
    <row r="862" spans="1:12">
      <c r="A862" s="286">
        <v>390</v>
      </c>
      <c r="B862" s="280">
        <v>200</v>
      </c>
      <c r="C862" s="280">
        <v>300</v>
      </c>
      <c r="D862" s="280">
        <v>100</v>
      </c>
      <c r="E862" s="281">
        <v>20</v>
      </c>
      <c r="F862" s="281"/>
      <c r="G862" s="66" t="s">
        <v>1449</v>
      </c>
      <c r="H862" s="367">
        <v>4010.54</v>
      </c>
      <c r="I862" s="367"/>
      <c r="J862" s="68" t="s">
        <v>1450</v>
      </c>
      <c r="L862" s="367"/>
    </row>
    <row r="863" spans="1:12">
      <c r="A863" s="286">
        <v>390</v>
      </c>
      <c r="B863" s="280">
        <v>200</v>
      </c>
      <c r="C863" s="280">
        <v>300</v>
      </c>
      <c r="D863" s="280">
        <v>200</v>
      </c>
      <c r="E863" s="280"/>
      <c r="F863" s="280"/>
      <c r="G863" s="63" t="s">
        <v>1451</v>
      </c>
      <c r="H863" s="366"/>
      <c r="I863" s="366"/>
      <c r="J863" s="68" t="s">
        <v>1452</v>
      </c>
      <c r="L863" s="366"/>
    </row>
    <row r="864" spans="1:12">
      <c r="A864" s="286">
        <v>390</v>
      </c>
      <c r="B864" s="280">
        <v>200</v>
      </c>
      <c r="C864" s="280">
        <v>300</v>
      </c>
      <c r="D864" s="280">
        <v>200</v>
      </c>
      <c r="E864" s="281">
        <v>10</v>
      </c>
      <c r="F864" s="281"/>
      <c r="G864" s="66" t="s">
        <v>1453</v>
      </c>
      <c r="H864" s="367">
        <v>143866.68</v>
      </c>
      <c r="I864" s="367"/>
      <c r="J864" s="68" t="s">
        <v>1454</v>
      </c>
      <c r="L864" s="367">
        <v>32217.47</v>
      </c>
    </row>
    <row r="865" spans="1:12">
      <c r="A865" s="286">
        <v>390</v>
      </c>
      <c r="B865" s="280">
        <v>200</v>
      </c>
      <c r="C865" s="280">
        <v>300</v>
      </c>
      <c r="D865" s="280">
        <v>200</v>
      </c>
      <c r="E865" s="280">
        <v>20</v>
      </c>
      <c r="F865" s="280"/>
      <c r="G865" s="63" t="s">
        <v>1455</v>
      </c>
      <c r="H865" s="366"/>
      <c r="I865" s="366"/>
      <c r="J865" s="68" t="s">
        <v>1456</v>
      </c>
      <c r="L865" s="366"/>
    </row>
    <row r="866" spans="1:12">
      <c r="A866" s="286">
        <v>390</v>
      </c>
      <c r="B866" s="280">
        <v>200</v>
      </c>
      <c r="C866" s="280">
        <v>300</v>
      </c>
      <c r="D866" s="280">
        <v>200</v>
      </c>
      <c r="E866" s="280">
        <v>20</v>
      </c>
      <c r="F866" s="281">
        <v>5</v>
      </c>
      <c r="G866" s="66" t="s">
        <v>1457</v>
      </c>
      <c r="H866" s="367">
        <v>5158.6099999999997</v>
      </c>
      <c r="I866" s="367"/>
      <c r="J866" s="68" t="s">
        <v>1458</v>
      </c>
      <c r="L866" s="367">
        <v>1071.8699999999999</v>
      </c>
    </row>
    <row r="867" spans="1:12">
      <c r="A867" s="286">
        <v>390</v>
      </c>
      <c r="B867" s="280">
        <v>200</v>
      </c>
      <c r="C867" s="280">
        <v>300</v>
      </c>
      <c r="D867" s="280">
        <v>200</v>
      </c>
      <c r="E867" s="280">
        <v>20</v>
      </c>
      <c r="F867" s="281">
        <v>10</v>
      </c>
      <c r="G867" s="66" t="s">
        <v>1459</v>
      </c>
      <c r="H867" s="367">
        <v>17.95</v>
      </c>
      <c r="I867" s="367"/>
      <c r="J867" s="68" t="s">
        <v>1460</v>
      </c>
      <c r="L867" s="367">
        <v>17.95</v>
      </c>
    </row>
    <row r="868" spans="1:12">
      <c r="A868" s="286">
        <v>390</v>
      </c>
      <c r="B868" s="280">
        <v>200</v>
      </c>
      <c r="C868" s="280">
        <v>300</v>
      </c>
      <c r="D868" s="280">
        <v>200</v>
      </c>
      <c r="E868" s="280">
        <v>20</v>
      </c>
      <c r="F868" s="281">
        <v>15</v>
      </c>
      <c r="G868" s="66" t="s">
        <v>1461</v>
      </c>
      <c r="H868" s="367">
        <v>136272.56</v>
      </c>
      <c r="I868" s="367"/>
      <c r="J868" s="68" t="s">
        <v>1462</v>
      </c>
      <c r="L868" s="367">
        <v>31342.02</v>
      </c>
    </row>
    <row r="869" spans="1:12" ht="25.5">
      <c r="A869" s="286">
        <v>390</v>
      </c>
      <c r="B869" s="280">
        <v>200</v>
      </c>
      <c r="C869" s="280">
        <v>300</v>
      </c>
      <c r="D869" s="280">
        <v>200</v>
      </c>
      <c r="E869" s="281">
        <v>30</v>
      </c>
      <c r="F869" s="281"/>
      <c r="G869" s="66" t="s">
        <v>1463</v>
      </c>
      <c r="H869" s="367">
        <v>2274604.8199999998</v>
      </c>
      <c r="I869" s="367"/>
      <c r="J869" s="68" t="s">
        <v>1464</v>
      </c>
      <c r="L869" s="367"/>
    </row>
    <row r="870" spans="1:12" ht="25.5">
      <c r="A870" s="286">
        <v>390</v>
      </c>
      <c r="B870" s="280">
        <v>200</v>
      </c>
      <c r="C870" s="280">
        <v>300</v>
      </c>
      <c r="D870" s="280">
        <v>200</v>
      </c>
      <c r="E870" s="281">
        <v>40</v>
      </c>
      <c r="F870" s="281"/>
      <c r="G870" s="66" t="s">
        <v>1465</v>
      </c>
      <c r="H870" s="367">
        <v>38178.68</v>
      </c>
      <c r="I870" s="367"/>
      <c r="J870" s="68" t="s">
        <v>1466</v>
      </c>
      <c r="L870" s="367"/>
    </row>
    <row r="871" spans="1:12" ht="25.5">
      <c r="A871" s="286">
        <v>390</v>
      </c>
      <c r="B871" s="280">
        <v>200</v>
      </c>
      <c r="C871" s="280">
        <v>300</v>
      </c>
      <c r="D871" s="280">
        <v>200</v>
      </c>
      <c r="E871" s="281">
        <v>50</v>
      </c>
      <c r="F871" s="281"/>
      <c r="G871" s="66" t="s">
        <v>1467</v>
      </c>
      <c r="H871" s="367">
        <v>135.81</v>
      </c>
      <c r="I871" s="367"/>
      <c r="J871" s="68" t="s">
        <v>1468</v>
      </c>
      <c r="L871" s="367"/>
    </row>
    <row r="872" spans="1:12">
      <c r="A872" s="286">
        <v>390</v>
      </c>
      <c r="B872" s="280">
        <v>200</v>
      </c>
      <c r="C872" s="280">
        <v>300</v>
      </c>
      <c r="D872" s="280">
        <v>200</v>
      </c>
      <c r="E872" s="281">
        <v>60</v>
      </c>
      <c r="F872" s="281"/>
      <c r="G872" s="66" t="s">
        <v>1469</v>
      </c>
      <c r="H872" s="367">
        <v>235551.07</v>
      </c>
      <c r="I872" s="367"/>
      <c r="J872" s="68" t="s">
        <v>1470</v>
      </c>
      <c r="L872" s="367">
        <v>0</v>
      </c>
    </row>
    <row r="873" spans="1:12">
      <c r="A873" s="286">
        <v>390</v>
      </c>
      <c r="B873" s="280">
        <v>200</v>
      </c>
      <c r="C873" s="280">
        <v>300</v>
      </c>
      <c r="D873" s="280">
        <v>200</v>
      </c>
      <c r="E873" s="281">
        <v>90</v>
      </c>
      <c r="F873" s="281"/>
      <c r="G873" s="66" t="s">
        <v>1471</v>
      </c>
      <c r="H873" s="367">
        <v>101067.98</v>
      </c>
      <c r="I873" s="367"/>
      <c r="J873" s="68" t="s">
        <v>1472</v>
      </c>
      <c r="L873" s="367">
        <v>9334.44</v>
      </c>
    </row>
    <row r="874" spans="1:12">
      <c r="A874" s="286">
        <v>390</v>
      </c>
      <c r="B874" s="280">
        <v>200</v>
      </c>
      <c r="C874" s="280">
        <v>400</v>
      </c>
      <c r="D874" s="280"/>
      <c r="E874" s="280"/>
      <c r="F874" s="280"/>
      <c r="G874" s="63" t="s">
        <v>1473</v>
      </c>
      <c r="H874" s="366"/>
      <c r="I874" s="366"/>
      <c r="J874" s="68" t="s">
        <v>1474</v>
      </c>
      <c r="L874" s="366"/>
    </row>
    <row r="875" spans="1:12">
      <c r="A875" s="286">
        <v>390</v>
      </c>
      <c r="B875" s="280">
        <v>200</v>
      </c>
      <c r="C875" s="280">
        <v>400</v>
      </c>
      <c r="D875" s="281">
        <v>50</v>
      </c>
      <c r="E875" s="280"/>
      <c r="F875" s="280"/>
      <c r="G875" s="66" t="s">
        <v>1475</v>
      </c>
      <c r="H875" s="367">
        <v>0</v>
      </c>
      <c r="I875" s="367"/>
      <c r="J875" s="68" t="s">
        <v>1476</v>
      </c>
      <c r="L875" s="367"/>
    </row>
    <row r="876" spans="1:12">
      <c r="A876" s="286">
        <v>390</v>
      </c>
      <c r="B876" s="280">
        <v>200</v>
      </c>
      <c r="C876" s="280">
        <v>400</v>
      </c>
      <c r="D876" s="281">
        <v>100</v>
      </c>
      <c r="E876" s="281"/>
      <c r="F876" s="281"/>
      <c r="G876" s="66" t="s">
        <v>1477</v>
      </c>
      <c r="H876" s="367">
        <v>0</v>
      </c>
      <c r="I876" s="367"/>
      <c r="J876" s="68" t="s">
        <v>1478</v>
      </c>
      <c r="L876" s="367"/>
    </row>
    <row r="877" spans="1:12">
      <c r="A877" s="286">
        <v>390</v>
      </c>
      <c r="B877" s="280">
        <v>200</v>
      </c>
      <c r="C877" s="280">
        <v>400</v>
      </c>
      <c r="D877" s="280">
        <v>200</v>
      </c>
      <c r="E877" s="280"/>
      <c r="F877" s="280"/>
      <c r="G877" s="63" t="s">
        <v>1479</v>
      </c>
      <c r="H877" s="366"/>
      <c r="I877" s="366"/>
      <c r="J877" s="68" t="s">
        <v>1480</v>
      </c>
      <c r="L877" s="366"/>
    </row>
    <row r="878" spans="1:12">
      <c r="A878" s="286">
        <v>390</v>
      </c>
      <c r="B878" s="280">
        <v>200</v>
      </c>
      <c r="C878" s="280">
        <v>400</v>
      </c>
      <c r="D878" s="280">
        <v>200</v>
      </c>
      <c r="E878" s="281">
        <v>10</v>
      </c>
      <c r="F878" s="281"/>
      <c r="G878" s="66" t="s">
        <v>1481</v>
      </c>
      <c r="H878" s="367">
        <v>0</v>
      </c>
      <c r="I878" s="367"/>
      <c r="J878" s="68" t="s">
        <v>1482</v>
      </c>
      <c r="L878" s="367"/>
    </row>
    <row r="879" spans="1:12">
      <c r="A879" s="286">
        <v>390</v>
      </c>
      <c r="B879" s="280">
        <v>200</v>
      </c>
      <c r="C879" s="280">
        <v>400</v>
      </c>
      <c r="D879" s="280">
        <v>200</v>
      </c>
      <c r="E879" s="281">
        <v>20</v>
      </c>
      <c r="F879" s="281"/>
      <c r="G879" s="66" t="s">
        <v>1483</v>
      </c>
      <c r="H879" s="367">
        <v>0</v>
      </c>
      <c r="I879" s="367"/>
      <c r="J879" s="68" t="s">
        <v>1484</v>
      </c>
      <c r="L879" s="367"/>
    </row>
    <row r="880" spans="1:12">
      <c r="A880" s="286">
        <v>390</v>
      </c>
      <c r="B880" s="280">
        <v>200</v>
      </c>
      <c r="C880" s="280">
        <v>400</v>
      </c>
      <c r="D880" s="280">
        <v>200</v>
      </c>
      <c r="E880" s="281">
        <v>30</v>
      </c>
      <c r="F880" s="281"/>
      <c r="G880" s="66" t="s">
        <v>1485</v>
      </c>
      <c r="H880" s="367">
        <v>0.69</v>
      </c>
      <c r="I880" s="367"/>
      <c r="J880" s="68" t="s">
        <v>1486</v>
      </c>
      <c r="L880" s="367"/>
    </row>
    <row r="881" spans="1:12">
      <c r="A881" s="286">
        <v>390</v>
      </c>
      <c r="B881" s="280">
        <v>200</v>
      </c>
      <c r="C881" s="280">
        <v>400</v>
      </c>
      <c r="D881" s="280">
        <v>200</v>
      </c>
      <c r="E881" s="281">
        <v>40</v>
      </c>
      <c r="F881" s="281"/>
      <c r="G881" s="66" t="s">
        <v>1487</v>
      </c>
      <c r="H881" s="367">
        <v>0</v>
      </c>
      <c r="I881" s="367"/>
      <c r="J881" s="68" t="s">
        <v>1488</v>
      </c>
      <c r="L881" s="367"/>
    </row>
    <row r="882" spans="1:12" ht="25.5">
      <c r="A882" s="286">
        <v>390</v>
      </c>
      <c r="B882" s="280">
        <v>200</v>
      </c>
      <c r="C882" s="280">
        <v>400</v>
      </c>
      <c r="D882" s="280">
        <v>200</v>
      </c>
      <c r="E882" s="281">
        <v>50</v>
      </c>
      <c r="F882" s="281"/>
      <c r="G882" s="66" t="s">
        <v>1489</v>
      </c>
      <c r="H882" s="367">
        <v>9819.42</v>
      </c>
      <c r="I882" s="367"/>
      <c r="J882" s="68" t="s">
        <v>1490</v>
      </c>
      <c r="L882" s="367"/>
    </row>
    <row r="883" spans="1:12">
      <c r="A883" s="286">
        <v>390</v>
      </c>
      <c r="B883" s="280">
        <v>200</v>
      </c>
      <c r="C883" s="280">
        <v>400</v>
      </c>
      <c r="D883" s="280">
        <v>200</v>
      </c>
      <c r="E883" s="281">
        <v>60</v>
      </c>
      <c r="F883" s="281"/>
      <c r="G883" s="66" t="s">
        <v>1491</v>
      </c>
      <c r="H883" s="367">
        <v>90.95</v>
      </c>
      <c r="I883" s="367"/>
      <c r="J883" s="68" t="s">
        <v>1492</v>
      </c>
      <c r="L883" s="367"/>
    </row>
    <row r="884" spans="1:12">
      <c r="A884" s="286">
        <v>390</v>
      </c>
      <c r="B884" s="280">
        <v>200</v>
      </c>
      <c r="C884" s="280">
        <v>400</v>
      </c>
      <c r="D884" s="280">
        <v>200</v>
      </c>
      <c r="E884" s="281">
        <v>70</v>
      </c>
      <c r="F884" s="281"/>
      <c r="G884" s="66" t="s">
        <v>1493</v>
      </c>
      <c r="H884" s="367">
        <v>175480.39</v>
      </c>
      <c r="I884" s="367"/>
      <c r="J884" s="68" t="s">
        <v>1494</v>
      </c>
      <c r="L884" s="367"/>
    </row>
    <row r="885" spans="1:12">
      <c r="A885" s="286">
        <v>390</v>
      </c>
      <c r="B885" s="280">
        <v>200</v>
      </c>
      <c r="C885" s="281">
        <v>500</v>
      </c>
      <c r="D885" s="281"/>
      <c r="E885" s="281"/>
      <c r="F885" s="281"/>
      <c r="G885" s="66" t="s">
        <v>1437</v>
      </c>
      <c r="H885" s="367">
        <v>2929.48</v>
      </c>
      <c r="I885" s="367"/>
      <c r="J885" s="68" t="s">
        <v>1495</v>
      </c>
      <c r="L885" s="367"/>
    </row>
    <row r="886" spans="1:12">
      <c r="A886" s="272">
        <v>400</v>
      </c>
      <c r="B886" s="93">
        <v>0</v>
      </c>
      <c r="C886" s="93">
        <v>0</v>
      </c>
      <c r="D886" s="93">
        <v>0</v>
      </c>
      <c r="E886" s="93">
        <v>0</v>
      </c>
      <c r="F886" s="93">
        <v>0</v>
      </c>
      <c r="G886" s="81" t="s">
        <v>110</v>
      </c>
      <c r="H886" s="366"/>
      <c r="I886" s="366"/>
      <c r="J886" s="61" t="s">
        <v>1496</v>
      </c>
      <c r="L886" s="366"/>
    </row>
    <row r="887" spans="1:12">
      <c r="A887" s="287">
        <v>400</v>
      </c>
      <c r="B887" s="288">
        <v>100</v>
      </c>
      <c r="C887" s="288"/>
      <c r="D887" s="288"/>
      <c r="E887" s="288"/>
      <c r="F887" s="288"/>
      <c r="G887" s="66" t="s">
        <v>1497</v>
      </c>
      <c r="H887" s="367">
        <v>19846384.969999999</v>
      </c>
      <c r="I887" s="367"/>
      <c r="J887" s="99" t="s">
        <v>1498</v>
      </c>
      <c r="L887" s="367">
        <v>12926268.453273581</v>
      </c>
    </row>
    <row r="888" spans="1:12" s="79" customFormat="1" ht="15.75">
      <c r="A888" s="287">
        <v>400</v>
      </c>
      <c r="B888" s="288">
        <v>200</v>
      </c>
      <c r="C888" s="288"/>
      <c r="D888" s="288"/>
      <c r="E888" s="288"/>
      <c r="F888" s="288"/>
      <c r="G888" s="66" t="s">
        <v>1499</v>
      </c>
      <c r="H888" s="367">
        <v>479428.56</v>
      </c>
      <c r="I888" s="367"/>
      <c r="J888" s="99" t="s">
        <v>1500</v>
      </c>
      <c r="L888" s="367"/>
    </row>
    <row r="889" spans="1:12">
      <c r="A889" s="287">
        <v>400</v>
      </c>
      <c r="B889" s="288">
        <v>300</v>
      </c>
      <c r="C889" s="288"/>
      <c r="D889" s="288"/>
      <c r="E889" s="288"/>
      <c r="F889" s="288"/>
      <c r="G889" s="66" t="s">
        <v>1501</v>
      </c>
      <c r="H889" s="367">
        <v>309842.38</v>
      </c>
      <c r="I889" s="367"/>
      <c r="J889" s="99" t="s">
        <v>1502</v>
      </c>
      <c r="L889" s="367">
        <v>195183.62745</v>
      </c>
    </row>
    <row r="890" spans="1:12">
      <c r="A890" s="287">
        <v>400</v>
      </c>
      <c r="B890" s="288">
        <v>400</v>
      </c>
      <c r="C890" s="288"/>
      <c r="D890" s="288"/>
      <c r="E890" s="288"/>
      <c r="F890" s="288"/>
      <c r="G890" s="66" t="s">
        <v>1503</v>
      </c>
      <c r="H890" s="367">
        <v>0</v>
      </c>
      <c r="I890" s="367"/>
      <c r="J890" s="99" t="s">
        <v>1504</v>
      </c>
      <c r="L890" s="367"/>
    </row>
    <row r="891" spans="1:12">
      <c r="A891" s="272">
        <v>405</v>
      </c>
      <c r="B891" s="93">
        <v>0</v>
      </c>
      <c r="C891" s="93">
        <v>0</v>
      </c>
      <c r="D891" s="93">
        <v>0</v>
      </c>
      <c r="E891" s="93">
        <v>0</v>
      </c>
      <c r="F891" s="93">
        <v>0</v>
      </c>
      <c r="G891" s="81" t="s">
        <v>115</v>
      </c>
      <c r="H891" s="366"/>
      <c r="I891" s="366"/>
      <c r="J891" s="61" t="s">
        <v>1505</v>
      </c>
      <c r="L891" s="366"/>
    </row>
    <row r="892" spans="1:12">
      <c r="A892" s="286">
        <v>405</v>
      </c>
      <c r="B892" s="281">
        <v>100</v>
      </c>
      <c r="C892" s="281"/>
      <c r="D892" s="281"/>
      <c r="E892" s="281"/>
      <c r="F892" s="281"/>
      <c r="G892" s="66" t="s">
        <v>1506</v>
      </c>
      <c r="H892" s="367">
        <v>538536.42000000004</v>
      </c>
      <c r="I892" s="367"/>
      <c r="J892" s="68" t="s">
        <v>1507</v>
      </c>
      <c r="L892" s="367"/>
    </row>
    <row r="893" spans="1:12" s="79" customFormat="1" ht="15.75">
      <c r="A893" s="286">
        <v>405</v>
      </c>
      <c r="B893" s="281">
        <v>200</v>
      </c>
      <c r="C893" s="281"/>
      <c r="D893" s="281"/>
      <c r="E893" s="281"/>
      <c r="F893" s="281"/>
      <c r="G893" s="66" t="s">
        <v>1508</v>
      </c>
      <c r="H893" s="367">
        <v>0</v>
      </c>
      <c r="I893" s="367"/>
      <c r="J893" s="68" t="s">
        <v>1509</v>
      </c>
      <c r="L893" s="367"/>
    </row>
    <row r="894" spans="1:12" ht="15.75" thickBot="1">
      <c r="A894" s="290">
        <v>410</v>
      </c>
      <c r="B894" s="291">
        <v>0</v>
      </c>
      <c r="C894" s="291">
        <v>0</v>
      </c>
      <c r="D894" s="291">
        <v>0</v>
      </c>
      <c r="E894" s="291">
        <v>0</v>
      </c>
      <c r="F894" s="291">
        <v>0</v>
      </c>
      <c r="G894" s="261" t="s">
        <v>1510</v>
      </c>
      <c r="H894" s="375">
        <v>0</v>
      </c>
      <c r="I894" s="375"/>
      <c r="J894" s="262" t="s">
        <v>1511</v>
      </c>
      <c r="L894" s="375"/>
    </row>
    <row r="895" spans="1:12">
      <c r="G895" s="100" t="s">
        <v>538</v>
      </c>
      <c r="H895" s="376">
        <f>SUM(H6:H894)</f>
        <v>913883870.4399997</v>
      </c>
      <c r="I895" s="376">
        <f>SUM(I6:I894)</f>
        <v>0</v>
      </c>
      <c r="L895" s="376">
        <f>SUM(L6:L894)</f>
        <v>411639774.24613768</v>
      </c>
    </row>
    <row r="896" spans="1:12" s="79" customFormat="1" ht="15.75">
      <c r="A896" s="292"/>
      <c r="B896" s="292"/>
      <c r="C896" s="292"/>
      <c r="D896" s="292"/>
      <c r="E896" s="292"/>
      <c r="F896" s="292"/>
      <c r="G896" s="100"/>
      <c r="H896" s="376"/>
      <c r="I896" s="376"/>
      <c r="J896" s="101"/>
      <c r="L896" s="376"/>
    </row>
    <row r="897" spans="7:12">
      <c r="G897" s="100"/>
      <c r="H897" s="376"/>
      <c r="I897" s="376"/>
      <c r="L897" s="376"/>
    </row>
    <row r="898" spans="7:12">
      <c r="G898" s="100"/>
      <c r="H898" s="376"/>
      <c r="I898" s="376"/>
      <c r="L898" s="376"/>
    </row>
    <row r="899" spans="7:12">
      <c r="G899" s="100"/>
      <c r="H899" s="376"/>
      <c r="I899" s="376"/>
      <c r="L899" s="376"/>
    </row>
    <row r="900" spans="7:12">
      <c r="G900" s="100"/>
      <c r="H900" s="376"/>
      <c r="I900" s="376"/>
      <c r="L900" s="376"/>
    </row>
    <row r="901" spans="7:12">
      <c r="G901" s="100"/>
      <c r="H901" s="376"/>
      <c r="I901" s="376"/>
      <c r="L901" s="376"/>
    </row>
    <row r="902" spans="7:12">
      <c r="G902" s="100"/>
      <c r="H902" s="376"/>
      <c r="I902" s="376"/>
      <c r="L902" s="376"/>
    </row>
    <row r="903" spans="7:12">
      <c r="G903" s="100"/>
      <c r="H903" s="376"/>
      <c r="I903" s="376"/>
      <c r="L903" s="376"/>
    </row>
    <row r="904" spans="7:12">
      <c r="G904" s="100"/>
      <c r="H904" s="376"/>
      <c r="I904" s="376"/>
      <c r="L904" s="376"/>
    </row>
    <row r="905" spans="7:12">
      <c r="G905" s="100"/>
      <c r="H905" s="376"/>
      <c r="I905" s="376"/>
      <c r="L905" s="376"/>
    </row>
    <row r="906" spans="7:12">
      <c r="G906" s="100"/>
      <c r="H906" s="376"/>
      <c r="I906" s="376"/>
      <c r="L906" s="376"/>
    </row>
    <row r="907" spans="7:12">
      <c r="G907" s="100"/>
      <c r="H907" s="376"/>
      <c r="I907" s="376"/>
      <c r="L907" s="376"/>
    </row>
    <row r="908" spans="7:12">
      <c r="G908" s="100"/>
      <c r="H908" s="376"/>
      <c r="I908" s="376"/>
      <c r="L908" s="376"/>
    </row>
    <row r="909" spans="7:12">
      <c r="G909" s="100"/>
      <c r="H909" s="376"/>
      <c r="I909" s="376"/>
      <c r="L909" s="376"/>
    </row>
    <row r="910" spans="7:12">
      <c r="G910" s="100"/>
      <c r="H910" s="376"/>
      <c r="I910" s="376"/>
      <c r="L910" s="376"/>
    </row>
    <row r="911" spans="7:12">
      <c r="G911" s="100"/>
      <c r="H911" s="376"/>
      <c r="I911" s="376"/>
      <c r="L911" s="376"/>
    </row>
    <row r="912" spans="7:12">
      <c r="G912" s="100"/>
      <c r="H912" s="376"/>
      <c r="I912" s="376"/>
      <c r="L912" s="376"/>
    </row>
    <row r="913" spans="7:12">
      <c r="G913" s="100"/>
      <c r="H913" s="376"/>
      <c r="I913" s="376"/>
      <c r="L913" s="376"/>
    </row>
    <row r="914" spans="7:12">
      <c r="G914" s="100"/>
      <c r="H914" s="376"/>
      <c r="I914" s="376"/>
      <c r="L914" s="376"/>
    </row>
    <row r="915" spans="7:12">
      <c r="G915" s="100"/>
      <c r="H915" s="376"/>
      <c r="I915" s="376"/>
      <c r="L915" s="376"/>
    </row>
    <row r="916" spans="7:12">
      <c r="G916" s="100"/>
      <c r="H916" s="376"/>
      <c r="I916" s="376"/>
      <c r="L916" s="376"/>
    </row>
    <row r="917" spans="7:12">
      <c r="G917" s="100"/>
      <c r="H917" s="376"/>
      <c r="I917" s="376"/>
      <c r="L917" s="376"/>
    </row>
    <row r="918" spans="7:12">
      <c r="G918" s="100"/>
      <c r="H918" s="376"/>
      <c r="I918" s="376"/>
      <c r="L918" s="376"/>
    </row>
    <row r="919" spans="7:12">
      <c r="G919" s="100"/>
      <c r="H919" s="376"/>
      <c r="I919" s="376"/>
      <c r="L919" s="376"/>
    </row>
    <row r="920" spans="7:12">
      <c r="G920" s="100"/>
      <c r="H920" s="376"/>
      <c r="I920" s="376"/>
      <c r="L920" s="376"/>
    </row>
    <row r="921" spans="7:12">
      <c r="G921" s="100"/>
      <c r="H921" s="376"/>
      <c r="I921" s="376"/>
      <c r="L921" s="376"/>
    </row>
    <row r="922" spans="7:12">
      <c r="G922" s="100"/>
      <c r="H922" s="376"/>
      <c r="I922" s="376"/>
      <c r="L922" s="376"/>
    </row>
    <row r="923" spans="7:12">
      <c r="G923" s="100"/>
      <c r="H923" s="376"/>
      <c r="I923" s="376"/>
      <c r="L923" s="376"/>
    </row>
    <row r="924" spans="7:12">
      <c r="G924" s="100"/>
      <c r="H924" s="376"/>
      <c r="I924" s="376"/>
      <c r="L924" s="376"/>
    </row>
  </sheetData>
  <mergeCells count="6">
    <mergeCell ref="L1:L2"/>
    <mergeCell ref="A1:F1"/>
    <mergeCell ref="G1:G2"/>
    <mergeCell ref="H1:H2"/>
    <mergeCell ref="J1:J2"/>
    <mergeCell ref="I1:I2"/>
  </mergeCells>
  <printOptions horizontalCentered="1"/>
  <pageMargins left="0.59055118110236227" right="0.23622047244094491" top="0.39370078740157483" bottom="0.39370078740157483" header="0.31496062992125984" footer="0.1574803149606299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GK593"/>
  <sheetViews>
    <sheetView showGridLines="0" zoomScale="115" zoomScaleNormal="115" zoomScaleSheetLayoutView="100" workbookViewId="0">
      <pane ySplit="2" topLeftCell="A3" activePane="bottomLeft" state="frozen"/>
      <selection activeCell="E10" sqref="E10"/>
      <selection pane="bottomLeft" sqref="A1:F1"/>
    </sheetView>
  </sheetViews>
  <sheetFormatPr defaultColWidth="17.85546875" defaultRowHeight="12.75"/>
  <cols>
    <col min="1" max="5" width="4" style="78" bestFit="1" customWidth="1"/>
    <col min="6" max="6" width="3" style="78" bestFit="1" customWidth="1"/>
    <col min="7" max="7" width="70.5703125" style="67" customWidth="1"/>
    <col min="8" max="8" width="16" style="319" customWidth="1"/>
    <col min="9" max="9" width="14.28515625" style="319" customWidth="1"/>
    <col min="10" max="10" width="13.28515625" style="78" customWidth="1"/>
    <col min="11" max="11" width="8.42578125" style="58" customWidth="1"/>
    <col min="12" max="12" width="14.28515625" style="319" customWidth="1"/>
    <col min="13" max="178" width="10.28515625" style="58" customWidth="1"/>
    <col min="179" max="187" width="9.140625" style="58" customWidth="1"/>
    <col min="188" max="188" width="1" style="58" customWidth="1"/>
    <col min="189" max="192" width="3.28515625" style="58" customWidth="1"/>
    <col min="193" max="193" width="1.85546875" style="58" customWidth="1"/>
    <col min="194" max="16384" width="17.85546875" style="58"/>
  </cols>
  <sheetData>
    <row r="1" spans="1:12" s="59" customFormat="1" ht="13.5" customHeight="1" thickBot="1">
      <c r="A1" s="987" t="s">
        <v>120</v>
      </c>
      <c r="B1" s="988"/>
      <c r="C1" s="988"/>
      <c r="D1" s="988"/>
      <c r="E1" s="988"/>
      <c r="F1" s="989"/>
      <c r="G1" s="985" t="s">
        <v>121</v>
      </c>
      <c r="H1" s="980" t="s">
        <v>3481</v>
      </c>
      <c r="I1" s="980" t="s">
        <v>2130</v>
      </c>
      <c r="J1" s="985" t="s">
        <v>122</v>
      </c>
      <c r="L1" s="980" t="s">
        <v>3474</v>
      </c>
    </row>
    <row r="2" spans="1:12" ht="13.5" thickBot="1">
      <c r="A2" s="379" t="s">
        <v>123</v>
      </c>
      <c r="B2" s="379" t="s">
        <v>124</v>
      </c>
      <c r="C2" s="379" t="s">
        <v>125</v>
      </c>
      <c r="D2" s="379" t="s">
        <v>126</v>
      </c>
      <c r="E2" s="379" t="s">
        <v>127</v>
      </c>
      <c r="F2" s="379" t="s">
        <v>128</v>
      </c>
      <c r="G2" s="986"/>
      <c r="H2" s="981"/>
      <c r="I2" s="981"/>
      <c r="J2" s="986"/>
      <c r="L2" s="981"/>
    </row>
    <row r="3" spans="1:12" s="62" customFormat="1">
      <c r="A3" s="272">
        <v>600</v>
      </c>
      <c r="B3" s="93">
        <v>0</v>
      </c>
      <c r="C3" s="93">
        <v>0</v>
      </c>
      <c r="D3" s="93">
        <v>0</v>
      </c>
      <c r="E3" s="93">
        <v>0</v>
      </c>
      <c r="F3" s="93">
        <v>0</v>
      </c>
      <c r="G3" s="60" t="s">
        <v>129</v>
      </c>
      <c r="H3" s="361"/>
      <c r="I3" s="361"/>
      <c r="J3" s="61" t="s">
        <v>1531</v>
      </c>
      <c r="L3" s="361"/>
    </row>
    <row r="4" spans="1:12">
      <c r="A4" s="277">
        <v>600</v>
      </c>
      <c r="B4" s="275">
        <v>100</v>
      </c>
      <c r="C4" s="275"/>
      <c r="D4" s="275"/>
      <c r="E4" s="275"/>
      <c r="F4" s="275"/>
      <c r="G4" s="63" t="s">
        <v>130</v>
      </c>
      <c r="H4" s="362"/>
      <c r="I4" s="362"/>
      <c r="J4" s="64" t="s">
        <v>1533</v>
      </c>
      <c r="L4" s="362"/>
    </row>
    <row r="5" spans="1:12">
      <c r="A5" s="277">
        <v>600</v>
      </c>
      <c r="B5" s="275">
        <v>100</v>
      </c>
      <c r="C5" s="275">
        <v>100</v>
      </c>
      <c r="D5" s="275"/>
      <c r="E5" s="275"/>
      <c r="F5" s="275"/>
      <c r="G5" s="63" t="s">
        <v>131</v>
      </c>
      <c r="H5" s="362"/>
      <c r="I5" s="362"/>
      <c r="J5" s="64" t="s">
        <v>132</v>
      </c>
      <c r="K5" s="65"/>
      <c r="L5" s="362"/>
    </row>
    <row r="6" spans="1:12">
      <c r="A6" s="277">
        <v>600</v>
      </c>
      <c r="B6" s="275">
        <v>100</v>
      </c>
      <c r="C6" s="275">
        <v>100</v>
      </c>
      <c r="D6" s="281">
        <v>100</v>
      </c>
      <c r="E6" s="281"/>
      <c r="F6" s="281"/>
      <c r="G6" s="66" t="s">
        <v>2125</v>
      </c>
      <c r="H6" s="363">
        <v>665179675.16999996</v>
      </c>
      <c r="I6" s="363"/>
      <c r="J6" s="64" t="s">
        <v>133</v>
      </c>
      <c r="L6" s="363"/>
    </row>
    <row r="7" spans="1:12">
      <c r="A7" s="277">
        <v>600</v>
      </c>
      <c r="B7" s="275">
        <v>100</v>
      </c>
      <c r="C7" s="275">
        <v>100</v>
      </c>
      <c r="D7" s="281">
        <v>200</v>
      </c>
      <c r="E7" s="281"/>
      <c r="F7" s="281"/>
      <c r="G7" s="66" t="s">
        <v>134</v>
      </c>
      <c r="H7" s="363">
        <f>64027684.31-396597-608465.61</f>
        <v>63022621.700000003</v>
      </c>
      <c r="I7" s="363"/>
      <c r="J7" s="64" t="s">
        <v>135</v>
      </c>
      <c r="L7" s="363">
        <v>44776148.230000004</v>
      </c>
    </row>
    <row r="8" spans="1:12">
      <c r="A8" s="277">
        <v>600</v>
      </c>
      <c r="B8" s="275">
        <v>100</v>
      </c>
      <c r="C8" s="275">
        <v>100</v>
      </c>
      <c r="D8" s="281">
        <v>300</v>
      </c>
      <c r="E8" s="281"/>
      <c r="F8" s="281"/>
      <c r="G8" s="66" t="s">
        <v>2126</v>
      </c>
      <c r="H8" s="364"/>
      <c r="I8" s="364"/>
      <c r="J8" s="64" t="s">
        <v>136</v>
      </c>
      <c r="L8" s="364"/>
    </row>
    <row r="9" spans="1:12">
      <c r="A9" s="277">
        <v>600</v>
      </c>
      <c r="B9" s="275">
        <v>100</v>
      </c>
      <c r="C9" s="275">
        <v>100</v>
      </c>
      <c r="D9" s="281">
        <v>300</v>
      </c>
      <c r="E9" s="281">
        <v>10</v>
      </c>
      <c r="F9" s="281"/>
      <c r="G9" s="66" t="s">
        <v>137</v>
      </c>
      <c r="H9" s="363">
        <v>16390504</v>
      </c>
      <c r="I9" s="363"/>
      <c r="J9" s="64" t="s">
        <v>138</v>
      </c>
      <c r="L9" s="363">
        <v>16390504</v>
      </c>
    </row>
    <row r="10" spans="1:12">
      <c r="A10" s="277">
        <v>600</v>
      </c>
      <c r="B10" s="275">
        <v>100</v>
      </c>
      <c r="C10" s="275">
        <v>100</v>
      </c>
      <c r="D10" s="281">
        <v>300</v>
      </c>
      <c r="E10" s="281">
        <v>20</v>
      </c>
      <c r="F10" s="281"/>
      <c r="G10" s="66" t="s">
        <v>139</v>
      </c>
      <c r="H10" s="363">
        <v>41897722</v>
      </c>
      <c r="I10" s="363"/>
      <c r="J10" s="64" t="s">
        <v>140</v>
      </c>
      <c r="L10" s="363">
        <v>41897722</v>
      </c>
    </row>
    <row r="11" spans="1:12" ht="25.5">
      <c r="A11" s="277">
        <v>600</v>
      </c>
      <c r="B11" s="275">
        <v>100</v>
      </c>
      <c r="C11" s="275">
        <v>100</v>
      </c>
      <c r="D11" s="281">
        <v>400</v>
      </c>
      <c r="E11" s="281"/>
      <c r="F11" s="281"/>
      <c r="G11" s="66" t="s">
        <v>141</v>
      </c>
      <c r="H11" s="363">
        <v>0</v>
      </c>
      <c r="I11" s="363"/>
      <c r="J11" s="64" t="s">
        <v>142</v>
      </c>
      <c r="L11" s="363"/>
    </row>
    <row r="12" spans="1:12">
      <c r="A12" s="277">
        <v>600</v>
      </c>
      <c r="B12" s="275">
        <v>100</v>
      </c>
      <c r="C12" s="275">
        <v>200</v>
      </c>
      <c r="D12" s="275"/>
      <c r="E12" s="275"/>
      <c r="F12" s="275"/>
      <c r="G12" s="63" t="s">
        <v>143</v>
      </c>
      <c r="H12" s="364"/>
      <c r="I12" s="364"/>
      <c r="J12" s="64" t="s">
        <v>144</v>
      </c>
      <c r="L12" s="364"/>
    </row>
    <row r="13" spans="1:12">
      <c r="A13" s="277">
        <v>600</v>
      </c>
      <c r="B13" s="275">
        <v>100</v>
      </c>
      <c r="C13" s="275">
        <v>200</v>
      </c>
      <c r="D13" s="281">
        <v>100</v>
      </c>
      <c r="E13" s="281"/>
      <c r="F13" s="281"/>
      <c r="G13" s="66" t="s">
        <v>145</v>
      </c>
      <c r="H13" s="363">
        <v>0</v>
      </c>
      <c r="I13" s="363"/>
      <c r="J13" s="68"/>
      <c r="L13" s="363"/>
    </row>
    <row r="14" spans="1:12">
      <c r="A14" s="277">
        <v>600</v>
      </c>
      <c r="B14" s="275">
        <v>100</v>
      </c>
      <c r="C14" s="275">
        <v>200</v>
      </c>
      <c r="D14" s="281">
        <v>200</v>
      </c>
      <c r="E14" s="281"/>
      <c r="F14" s="281"/>
      <c r="G14" s="66" t="s">
        <v>146</v>
      </c>
      <c r="H14" s="363">
        <v>0</v>
      </c>
      <c r="I14" s="363"/>
      <c r="J14" s="69"/>
      <c r="L14" s="363"/>
    </row>
    <row r="15" spans="1:12">
      <c r="A15" s="277">
        <v>600</v>
      </c>
      <c r="B15" s="275">
        <v>100</v>
      </c>
      <c r="C15" s="275">
        <v>200</v>
      </c>
      <c r="D15" s="281">
        <v>300</v>
      </c>
      <c r="E15" s="281"/>
      <c r="F15" s="281"/>
      <c r="G15" s="66" t="s">
        <v>147</v>
      </c>
      <c r="H15" s="363">
        <v>0</v>
      </c>
      <c r="I15" s="363"/>
      <c r="J15" s="68"/>
      <c r="L15" s="363"/>
    </row>
    <row r="16" spans="1:12">
      <c r="A16" s="277">
        <v>600</v>
      </c>
      <c r="B16" s="275">
        <v>200</v>
      </c>
      <c r="C16" s="275"/>
      <c r="D16" s="275"/>
      <c r="E16" s="275"/>
      <c r="F16" s="275"/>
      <c r="G16" s="63" t="s">
        <v>148</v>
      </c>
      <c r="H16" s="364"/>
      <c r="I16" s="364"/>
      <c r="J16" s="64" t="s">
        <v>149</v>
      </c>
      <c r="L16" s="364"/>
    </row>
    <row r="17" spans="1:12">
      <c r="A17" s="277">
        <v>600</v>
      </c>
      <c r="B17" s="275">
        <v>200</v>
      </c>
      <c r="C17" s="275">
        <v>100</v>
      </c>
      <c r="D17" s="275"/>
      <c r="E17" s="275"/>
      <c r="F17" s="275"/>
      <c r="G17" s="63" t="s">
        <v>150</v>
      </c>
      <c r="H17" s="364"/>
      <c r="I17" s="364"/>
      <c r="J17" s="64" t="s">
        <v>151</v>
      </c>
      <c r="L17" s="364"/>
    </row>
    <row r="18" spans="1:12">
      <c r="A18" s="277">
        <v>600</v>
      </c>
      <c r="B18" s="275">
        <v>200</v>
      </c>
      <c r="C18" s="275">
        <v>100</v>
      </c>
      <c r="D18" s="275">
        <v>100</v>
      </c>
      <c r="E18" s="275"/>
      <c r="F18" s="275"/>
      <c r="G18" s="63" t="s">
        <v>152</v>
      </c>
      <c r="H18" s="364"/>
      <c r="I18" s="364"/>
      <c r="J18" s="64" t="s">
        <v>153</v>
      </c>
      <c r="L18" s="364"/>
    </row>
    <row r="19" spans="1:12">
      <c r="A19" s="277">
        <v>600</v>
      </c>
      <c r="B19" s="275">
        <v>200</v>
      </c>
      <c r="C19" s="275">
        <v>100</v>
      </c>
      <c r="D19" s="275">
        <v>100</v>
      </c>
      <c r="E19" s="281">
        <v>10</v>
      </c>
      <c r="F19" s="281"/>
      <c r="G19" s="66" t="s">
        <v>154</v>
      </c>
      <c r="H19" s="363">
        <v>16024915.6</v>
      </c>
      <c r="I19" s="363"/>
      <c r="J19" s="68"/>
      <c r="L19" s="363"/>
    </row>
    <row r="20" spans="1:12">
      <c r="A20" s="277">
        <v>600</v>
      </c>
      <c r="B20" s="275">
        <v>200</v>
      </c>
      <c r="C20" s="275">
        <v>100</v>
      </c>
      <c r="D20" s="275">
        <v>100</v>
      </c>
      <c r="E20" s="281">
        <v>20</v>
      </c>
      <c r="F20" s="281"/>
      <c r="G20" s="66" t="s">
        <v>155</v>
      </c>
      <c r="H20" s="363">
        <v>100000</v>
      </c>
      <c r="I20" s="363"/>
      <c r="J20" s="68"/>
      <c r="L20" s="363"/>
    </row>
    <row r="21" spans="1:12" ht="25.5">
      <c r="A21" s="277">
        <v>600</v>
      </c>
      <c r="B21" s="275">
        <v>200</v>
      </c>
      <c r="C21" s="275">
        <v>100</v>
      </c>
      <c r="D21" s="275">
        <v>100</v>
      </c>
      <c r="E21" s="281">
        <v>30</v>
      </c>
      <c r="F21" s="281"/>
      <c r="G21" s="66" t="s">
        <v>156</v>
      </c>
      <c r="H21" s="363">
        <v>0</v>
      </c>
      <c r="I21" s="363"/>
      <c r="J21" s="68"/>
      <c r="L21" s="363"/>
    </row>
    <row r="22" spans="1:12" ht="25.5">
      <c r="A22" s="277">
        <v>600</v>
      </c>
      <c r="B22" s="275">
        <v>200</v>
      </c>
      <c r="C22" s="275">
        <v>100</v>
      </c>
      <c r="D22" s="275">
        <v>100</v>
      </c>
      <c r="E22" s="281">
        <v>40</v>
      </c>
      <c r="F22" s="281"/>
      <c r="G22" s="66" t="s">
        <v>157</v>
      </c>
      <c r="H22" s="363">
        <v>122308.75</v>
      </c>
      <c r="I22" s="363"/>
      <c r="J22" s="68"/>
      <c r="L22" s="363"/>
    </row>
    <row r="23" spans="1:12">
      <c r="A23" s="277">
        <v>600</v>
      </c>
      <c r="B23" s="275">
        <v>200</v>
      </c>
      <c r="C23" s="275">
        <v>100</v>
      </c>
      <c r="D23" s="275">
        <v>100</v>
      </c>
      <c r="E23" s="281">
        <v>80</v>
      </c>
      <c r="F23" s="281"/>
      <c r="G23" s="66" t="s">
        <v>158</v>
      </c>
      <c r="H23" s="363">
        <f>1454379.33+608465.61</f>
        <v>2062844.94</v>
      </c>
      <c r="I23" s="363"/>
      <c r="J23" s="68"/>
      <c r="L23" s="363">
        <v>833788.05</v>
      </c>
    </row>
    <row r="24" spans="1:12">
      <c r="A24" s="277">
        <v>600</v>
      </c>
      <c r="B24" s="275">
        <v>200</v>
      </c>
      <c r="C24" s="275">
        <v>100</v>
      </c>
      <c r="D24" s="275">
        <v>100</v>
      </c>
      <c r="E24" s="281">
        <v>90</v>
      </c>
      <c r="F24" s="281"/>
      <c r="G24" s="66" t="s">
        <v>159</v>
      </c>
      <c r="H24" s="363">
        <v>1163391.69</v>
      </c>
      <c r="I24" s="363"/>
      <c r="J24" s="68"/>
      <c r="L24" s="363"/>
    </row>
    <row r="25" spans="1:12" ht="25.5">
      <c r="A25" s="277">
        <v>600</v>
      </c>
      <c r="B25" s="275">
        <v>200</v>
      </c>
      <c r="C25" s="275">
        <v>100</v>
      </c>
      <c r="D25" s="276">
        <v>200</v>
      </c>
      <c r="E25" s="276"/>
      <c r="F25" s="276"/>
      <c r="G25" s="66" t="s">
        <v>160</v>
      </c>
      <c r="H25" s="363">
        <v>0</v>
      </c>
      <c r="I25" s="363"/>
      <c r="J25" s="64" t="s">
        <v>161</v>
      </c>
      <c r="L25" s="363"/>
    </row>
    <row r="26" spans="1:12" ht="25.5">
      <c r="A26" s="277">
        <v>600</v>
      </c>
      <c r="B26" s="275">
        <v>200</v>
      </c>
      <c r="C26" s="275">
        <v>100</v>
      </c>
      <c r="D26" s="276">
        <v>300</v>
      </c>
      <c r="E26" s="276"/>
      <c r="F26" s="276"/>
      <c r="G26" s="66" t="s">
        <v>162</v>
      </c>
      <c r="H26" s="363">
        <v>0</v>
      </c>
      <c r="I26" s="363"/>
      <c r="J26" s="64" t="s">
        <v>163</v>
      </c>
      <c r="L26" s="363"/>
    </row>
    <row r="27" spans="1:12">
      <c r="A27" s="277">
        <v>600</v>
      </c>
      <c r="B27" s="275">
        <v>200</v>
      </c>
      <c r="C27" s="275">
        <v>100</v>
      </c>
      <c r="D27" s="276">
        <v>400</v>
      </c>
      <c r="E27" s="276"/>
      <c r="F27" s="276"/>
      <c r="G27" s="66" t="s">
        <v>164</v>
      </c>
      <c r="H27" s="363">
        <v>185555.44</v>
      </c>
      <c r="I27" s="363"/>
      <c r="J27" s="64" t="s">
        <v>165</v>
      </c>
      <c r="L27" s="363">
        <v>57960.63</v>
      </c>
    </row>
    <row r="28" spans="1:12">
      <c r="A28" s="277">
        <v>600</v>
      </c>
      <c r="B28" s="275">
        <v>200</v>
      </c>
      <c r="C28" s="275">
        <v>200</v>
      </c>
      <c r="D28" s="275"/>
      <c r="E28" s="275"/>
      <c r="F28" s="275"/>
      <c r="G28" s="63" t="s">
        <v>166</v>
      </c>
      <c r="H28" s="364"/>
      <c r="I28" s="364"/>
      <c r="J28" s="64" t="s">
        <v>167</v>
      </c>
      <c r="L28" s="364"/>
    </row>
    <row r="29" spans="1:12" ht="25.5">
      <c r="A29" s="277">
        <v>600</v>
      </c>
      <c r="B29" s="275">
        <v>200</v>
      </c>
      <c r="C29" s="275">
        <v>200</v>
      </c>
      <c r="D29" s="276">
        <v>100</v>
      </c>
      <c r="E29" s="276"/>
      <c r="F29" s="276"/>
      <c r="G29" s="66" t="s">
        <v>168</v>
      </c>
      <c r="H29" s="363">
        <v>1200000</v>
      </c>
      <c r="I29" s="363"/>
      <c r="J29" s="64" t="s">
        <v>169</v>
      </c>
      <c r="L29" s="363"/>
    </row>
    <row r="30" spans="1:12" ht="25.5">
      <c r="A30" s="277">
        <v>600</v>
      </c>
      <c r="B30" s="275">
        <v>200</v>
      </c>
      <c r="C30" s="275">
        <v>200</v>
      </c>
      <c r="D30" s="276">
        <v>200</v>
      </c>
      <c r="E30" s="276"/>
      <c r="F30" s="276"/>
      <c r="G30" s="66" t="s">
        <v>170</v>
      </c>
      <c r="H30" s="363">
        <v>0</v>
      </c>
      <c r="I30" s="363"/>
      <c r="J30" s="64" t="s">
        <v>171</v>
      </c>
      <c r="L30" s="363"/>
    </row>
    <row r="31" spans="1:12">
      <c r="A31" s="277">
        <v>600</v>
      </c>
      <c r="B31" s="275">
        <v>200</v>
      </c>
      <c r="C31" s="275">
        <v>300</v>
      </c>
      <c r="D31" s="275"/>
      <c r="E31" s="275"/>
      <c r="F31" s="275"/>
      <c r="G31" s="63" t="s">
        <v>172</v>
      </c>
      <c r="H31" s="364"/>
      <c r="I31" s="364"/>
      <c r="J31" s="64" t="s">
        <v>173</v>
      </c>
      <c r="L31" s="364"/>
    </row>
    <row r="32" spans="1:12">
      <c r="A32" s="277">
        <v>600</v>
      </c>
      <c r="B32" s="275">
        <v>200</v>
      </c>
      <c r="C32" s="275">
        <v>300</v>
      </c>
      <c r="D32" s="275">
        <v>50</v>
      </c>
      <c r="E32" s="275"/>
      <c r="F32" s="275"/>
      <c r="G32" s="66" t="s">
        <v>174</v>
      </c>
      <c r="H32" s="365">
        <v>0</v>
      </c>
      <c r="I32" s="365"/>
      <c r="J32" s="271" t="s">
        <v>175</v>
      </c>
      <c r="L32" s="365"/>
    </row>
    <row r="33" spans="1:12">
      <c r="A33" s="277">
        <v>600</v>
      </c>
      <c r="B33" s="275">
        <v>200</v>
      </c>
      <c r="C33" s="275">
        <v>300</v>
      </c>
      <c r="D33" s="275">
        <v>100</v>
      </c>
      <c r="E33" s="275"/>
      <c r="F33" s="275"/>
      <c r="G33" s="63" t="s">
        <v>176</v>
      </c>
      <c r="H33" s="364"/>
      <c r="I33" s="364"/>
      <c r="J33" s="64" t="s">
        <v>177</v>
      </c>
      <c r="L33" s="364"/>
    </row>
    <row r="34" spans="1:12">
      <c r="A34" s="277">
        <v>600</v>
      </c>
      <c r="B34" s="275">
        <v>200</v>
      </c>
      <c r="C34" s="275">
        <v>300</v>
      </c>
      <c r="D34" s="275">
        <v>100</v>
      </c>
      <c r="E34" s="281">
        <v>10</v>
      </c>
      <c r="F34" s="281"/>
      <c r="G34" s="66" t="s">
        <v>178</v>
      </c>
      <c r="H34" s="363">
        <v>0</v>
      </c>
      <c r="I34" s="363"/>
      <c r="J34" s="68"/>
      <c r="L34" s="363"/>
    </row>
    <row r="35" spans="1:12">
      <c r="A35" s="277">
        <v>600</v>
      </c>
      <c r="B35" s="275">
        <v>200</v>
      </c>
      <c r="C35" s="275">
        <v>300</v>
      </c>
      <c r="D35" s="275">
        <v>100</v>
      </c>
      <c r="E35" s="281">
        <v>20</v>
      </c>
      <c r="F35" s="281"/>
      <c r="G35" s="66" t="s">
        <v>179</v>
      </c>
      <c r="H35" s="363">
        <v>811317.4</v>
      </c>
      <c r="I35" s="363"/>
      <c r="J35" s="68"/>
      <c r="L35" s="363"/>
    </row>
    <row r="36" spans="1:12">
      <c r="A36" s="277">
        <v>600</v>
      </c>
      <c r="B36" s="275">
        <v>200</v>
      </c>
      <c r="C36" s="275">
        <v>300</v>
      </c>
      <c r="D36" s="275">
        <v>100</v>
      </c>
      <c r="E36" s="281">
        <v>30</v>
      </c>
      <c r="F36" s="281"/>
      <c r="G36" s="66" t="s">
        <v>180</v>
      </c>
      <c r="H36" s="363">
        <v>0</v>
      </c>
      <c r="I36" s="363"/>
      <c r="J36" s="68"/>
      <c r="L36" s="363"/>
    </row>
    <row r="37" spans="1:12">
      <c r="A37" s="277">
        <v>600</v>
      </c>
      <c r="B37" s="275">
        <v>200</v>
      </c>
      <c r="C37" s="275">
        <v>300</v>
      </c>
      <c r="D37" s="275">
        <v>100</v>
      </c>
      <c r="E37" s="281">
        <v>40</v>
      </c>
      <c r="F37" s="281"/>
      <c r="G37" s="66" t="s">
        <v>181</v>
      </c>
      <c r="H37" s="363">
        <v>0</v>
      </c>
      <c r="I37" s="363"/>
      <c r="J37" s="68"/>
      <c r="L37" s="363"/>
    </row>
    <row r="38" spans="1:12" ht="25.5">
      <c r="A38" s="277">
        <v>600</v>
      </c>
      <c r="B38" s="275">
        <v>200</v>
      </c>
      <c r="C38" s="275">
        <v>300</v>
      </c>
      <c r="D38" s="275">
        <v>100</v>
      </c>
      <c r="E38" s="281">
        <v>80</v>
      </c>
      <c r="F38" s="293"/>
      <c r="G38" s="66" t="s">
        <v>182</v>
      </c>
      <c r="H38" s="363">
        <f>17050+396597</f>
        <v>413647</v>
      </c>
      <c r="I38" s="363"/>
      <c r="J38" s="68"/>
      <c r="L38" s="363"/>
    </row>
    <row r="39" spans="1:12" ht="25.5">
      <c r="A39" s="277">
        <v>600</v>
      </c>
      <c r="B39" s="275">
        <v>200</v>
      </c>
      <c r="C39" s="275">
        <v>300</v>
      </c>
      <c r="D39" s="275">
        <v>100</v>
      </c>
      <c r="E39" s="281">
        <v>90</v>
      </c>
      <c r="F39" s="281"/>
      <c r="G39" s="66" t="s">
        <v>183</v>
      </c>
      <c r="H39" s="363">
        <v>0</v>
      </c>
      <c r="I39" s="363"/>
      <c r="J39" s="68"/>
      <c r="L39" s="363"/>
    </row>
    <row r="40" spans="1:12">
      <c r="A40" s="277">
        <v>600</v>
      </c>
      <c r="B40" s="275">
        <v>200</v>
      </c>
      <c r="C40" s="275">
        <v>300</v>
      </c>
      <c r="D40" s="275">
        <v>200</v>
      </c>
      <c r="E40" s="276"/>
      <c r="F40" s="276"/>
      <c r="G40" s="66" t="s">
        <v>184</v>
      </c>
      <c r="H40" s="363">
        <v>0</v>
      </c>
      <c r="I40" s="363"/>
      <c r="J40" s="64" t="s">
        <v>185</v>
      </c>
      <c r="L40" s="363"/>
    </row>
    <row r="41" spans="1:12">
      <c r="A41" s="277">
        <v>600</v>
      </c>
      <c r="B41" s="275">
        <v>200</v>
      </c>
      <c r="C41" s="275">
        <v>300</v>
      </c>
      <c r="D41" s="275">
        <v>300</v>
      </c>
      <c r="E41" s="276"/>
      <c r="F41" s="276"/>
      <c r="G41" s="66" t="s">
        <v>186</v>
      </c>
      <c r="H41" s="363">
        <v>357045.57</v>
      </c>
      <c r="I41" s="363"/>
      <c r="J41" s="64" t="s">
        <v>187</v>
      </c>
      <c r="L41" s="363">
        <v>60251.19</v>
      </c>
    </row>
    <row r="42" spans="1:12" ht="38.25">
      <c r="A42" s="277">
        <v>600</v>
      </c>
      <c r="B42" s="275">
        <v>200</v>
      </c>
      <c r="C42" s="275">
        <v>300</v>
      </c>
      <c r="D42" s="276">
        <v>400</v>
      </c>
      <c r="E42" s="276"/>
      <c r="F42" s="276"/>
      <c r="G42" s="66" t="s">
        <v>188</v>
      </c>
      <c r="H42" s="363">
        <v>0</v>
      </c>
      <c r="I42" s="363"/>
      <c r="J42" s="64" t="s">
        <v>189</v>
      </c>
      <c r="L42" s="363"/>
    </row>
    <row r="43" spans="1:12">
      <c r="A43" s="277">
        <v>600</v>
      </c>
      <c r="B43" s="275">
        <v>300</v>
      </c>
      <c r="C43" s="275"/>
      <c r="D43" s="275"/>
      <c r="E43" s="275"/>
      <c r="F43" s="275"/>
      <c r="G43" s="63" t="s">
        <v>190</v>
      </c>
      <c r="H43" s="364"/>
      <c r="I43" s="364"/>
      <c r="J43" s="64" t="s">
        <v>191</v>
      </c>
      <c r="L43" s="364"/>
    </row>
    <row r="44" spans="1:12">
      <c r="A44" s="277">
        <v>600</v>
      </c>
      <c r="B44" s="275">
        <v>300</v>
      </c>
      <c r="C44" s="276">
        <v>100</v>
      </c>
      <c r="D44" s="276"/>
      <c r="E44" s="276"/>
      <c r="F44" s="276"/>
      <c r="G44" s="66" t="s">
        <v>192</v>
      </c>
      <c r="H44" s="363">
        <v>0</v>
      </c>
      <c r="I44" s="363"/>
      <c r="J44" s="64" t="s">
        <v>193</v>
      </c>
      <c r="L44" s="363"/>
    </row>
    <row r="45" spans="1:12">
      <c r="A45" s="277">
        <v>600</v>
      </c>
      <c r="B45" s="275">
        <v>300</v>
      </c>
      <c r="C45" s="276">
        <v>200</v>
      </c>
      <c r="D45" s="276"/>
      <c r="E45" s="276"/>
      <c r="F45" s="276"/>
      <c r="G45" s="66" t="s">
        <v>194</v>
      </c>
      <c r="H45" s="363">
        <v>0</v>
      </c>
      <c r="I45" s="363"/>
      <c r="J45" s="64" t="s">
        <v>195</v>
      </c>
      <c r="L45" s="363"/>
    </row>
    <row r="46" spans="1:12">
      <c r="A46" s="277">
        <v>600</v>
      </c>
      <c r="B46" s="275">
        <v>300</v>
      </c>
      <c r="C46" s="275">
        <v>300</v>
      </c>
      <c r="D46" s="275"/>
      <c r="E46" s="275"/>
      <c r="F46" s="275"/>
      <c r="G46" s="63" t="s">
        <v>196</v>
      </c>
      <c r="H46" s="366"/>
      <c r="I46" s="366"/>
      <c r="J46" s="64" t="s">
        <v>197</v>
      </c>
      <c r="L46" s="366"/>
    </row>
    <row r="47" spans="1:12">
      <c r="A47" s="277">
        <v>600</v>
      </c>
      <c r="B47" s="275">
        <v>300</v>
      </c>
      <c r="C47" s="275">
        <v>300</v>
      </c>
      <c r="D47" s="281">
        <v>100</v>
      </c>
      <c r="E47" s="281"/>
      <c r="F47" s="281"/>
      <c r="G47" s="66" t="s">
        <v>198</v>
      </c>
      <c r="H47" s="363">
        <v>0</v>
      </c>
      <c r="I47" s="363"/>
      <c r="J47" s="68"/>
      <c r="L47" s="363"/>
    </row>
    <row r="48" spans="1:12">
      <c r="A48" s="277">
        <v>600</v>
      </c>
      <c r="B48" s="275">
        <v>300</v>
      </c>
      <c r="C48" s="275">
        <v>300</v>
      </c>
      <c r="D48" s="281">
        <v>900</v>
      </c>
      <c r="E48" s="281"/>
      <c r="F48" s="281"/>
      <c r="G48" s="66" t="s">
        <v>199</v>
      </c>
      <c r="H48" s="363">
        <v>0</v>
      </c>
      <c r="I48" s="363"/>
      <c r="J48" s="68"/>
      <c r="L48" s="363"/>
    </row>
    <row r="49" spans="1:12">
      <c r="A49" s="277">
        <v>600</v>
      </c>
      <c r="B49" s="275">
        <v>300</v>
      </c>
      <c r="C49" s="276">
        <v>400</v>
      </c>
      <c r="D49" s="276"/>
      <c r="E49" s="276"/>
      <c r="F49" s="276"/>
      <c r="G49" s="66" t="s">
        <v>200</v>
      </c>
      <c r="H49" s="363">
        <v>0</v>
      </c>
      <c r="I49" s="363"/>
      <c r="J49" s="64" t="s">
        <v>201</v>
      </c>
      <c r="L49" s="363"/>
    </row>
    <row r="50" spans="1:12">
      <c r="A50" s="277">
        <v>600</v>
      </c>
      <c r="B50" s="276">
        <v>400</v>
      </c>
      <c r="C50" s="276"/>
      <c r="D50" s="276"/>
      <c r="E50" s="276"/>
      <c r="F50" s="276"/>
      <c r="G50" s="66" t="s">
        <v>202</v>
      </c>
      <c r="H50" s="363">
        <v>92877.59</v>
      </c>
      <c r="I50" s="363"/>
      <c r="J50" s="64" t="s">
        <v>203</v>
      </c>
      <c r="L50" s="363">
        <v>32877.589999999997</v>
      </c>
    </row>
    <row r="51" spans="1:12" s="62" customFormat="1">
      <c r="A51" s="272">
        <v>610</v>
      </c>
      <c r="B51" s="93">
        <v>0</v>
      </c>
      <c r="C51" s="93">
        <v>0</v>
      </c>
      <c r="D51" s="93">
        <v>0</v>
      </c>
      <c r="E51" s="93">
        <v>0</v>
      </c>
      <c r="F51" s="93">
        <v>0</v>
      </c>
      <c r="G51" s="60" t="s">
        <v>204</v>
      </c>
      <c r="H51" s="366"/>
      <c r="I51" s="366"/>
      <c r="J51" s="61" t="s">
        <v>205</v>
      </c>
      <c r="L51" s="366"/>
    </row>
    <row r="52" spans="1:12" ht="25.5">
      <c r="A52" s="277">
        <v>610</v>
      </c>
      <c r="B52" s="276">
        <v>100</v>
      </c>
      <c r="C52" s="276"/>
      <c r="D52" s="276"/>
      <c r="E52" s="276"/>
      <c r="F52" s="276"/>
      <c r="G52" s="66" t="s">
        <v>206</v>
      </c>
      <c r="H52" s="363">
        <v>-29162.27</v>
      </c>
      <c r="I52" s="363"/>
      <c r="J52" s="64" t="s">
        <v>207</v>
      </c>
      <c r="L52" s="363"/>
    </row>
    <row r="53" spans="1:12" ht="25.5">
      <c r="A53" s="277">
        <v>610</v>
      </c>
      <c r="B53" s="276">
        <v>200</v>
      </c>
      <c r="C53" s="276"/>
      <c r="D53" s="276"/>
      <c r="E53" s="276"/>
      <c r="F53" s="276"/>
      <c r="G53" s="66" t="s">
        <v>208</v>
      </c>
      <c r="H53" s="363">
        <v>-35380</v>
      </c>
      <c r="I53" s="363"/>
      <c r="J53" s="64" t="s">
        <v>209</v>
      </c>
      <c r="L53" s="363"/>
    </row>
    <row r="54" spans="1:12" s="62" customFormat="1" ht="25.5">
      <c r="A54" s="272">
        <v>620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60" t="s">
        <v>210</v>
      </c>
      <c r="H54" s="366"/>
      <c r="I54" s="366"/>
      <c r="J54" s="93" t="s">
        <v>211</v>
      </c>
      <c r="L54" s="366"/>
    </row>
    <row r="55" spans="1:12" ht="25.5">
      <c r="A55" s="277">
        <v>620</v>
      </c>
      <c r="B55" s="276">
        <v>50</v>
      </c>
      <c r="C55" s="276"/>
      <c r="D55" s="276"/>
      <c r="E55" s="276"/>
      <c r="F55" s="276"/>
      <c r="G55" s="66" t="s">
        <v>212</v>
      </c>
      <c r="H55" s="363">
        <v>0</v>
      </c>
      <c r="I55" s="363"/>
      <c r="J55" s="246" t="s">
        <v>213</v>
      </c>
      <c r="L55" s="363"/>
    </row>
    <row r="56" spans="1:12" ht="25.5">
      <c r="A56" s="277">
        <v>620</v>
      </c>
      <c r="B56" s="276">
        <v>100</v>
      </c>
      <c r="C56" s="276"/>
      <c r="D56" s="276"/>
      <c r="E56" s="276"/>
      <c r="F56" s="276"/>
      <c r="G56" s="66" t="s">
        <v>214</v>
      </c>
      <c r="H56" s="363">
        <v>2189944.3199999998</v>
      </c>
      <c r="I56" s="363"/>
      <c r="J56" s="64" t="s">
        <v>215</v>
      </c>
      <c r="L56" s="363"/>
    </row>
    <row r="57" spans="1:12" ht="25.5">
      <c r="A57" s="277">
        <v>620</v>
      </c>
      <c r="B57" s="276">
        <v>200</v>
      </c>
      <c r="C57" s="276"/>
      <c r="D57" s="276"/>
      <c r="E57" s="276"/>
      <c r="F57" s="276"/>
      <c r="G57" s="66" t="s">
        <v>216</v>
      </c>
      <c r="H57" s="363">
        <v>965376.34</v>
      </c>
      <c r="I57" s="363"/>
      <c r="J57" s="64" t="s">
        <v>217</v>
      </c>
      <c r="L57" s="363"/>
    </row>
    <row r="58" spans="1:12" ht="25.5">
      <c r="A58" s="277">
        <v>620</v>
      </c>
      <c r="B58" s="276">
        <v>300</v>
      </c>
      <c r="C58" s="276"/>
      <c r="D58" s="276"/>
      <c r="E58" s="276"/>
      <c r="F58" s="276"/>
      <c r="G58" s="66" t="s">
        <v>218</v>
      </c>
      <c r="H58" s="363">
        <v>0</v>
      </c>
      <c r="I58" s="363"/>
      <c r="J58" s="64" t="s">
        <v>219</v>
      </c>
      <c r="L58" s="363"/>
    </row>
    <row r="59" spans="1:12" ht="25.5">
      <c r="A59" s="277">
        <v>620</v>
      </c>
      <c r="B59" s="276">
        <v>400</v>
      </c>
      <c r="C59" s="276"/>
      <c r="D59" s="276"/>
      <c r="E59" s="276"/>
      <c r="F59" s="276"/>
      <c r="G59" s="66" t="s">
        <v>220</v>
      </c>
      <c r="H59" s="363">
        <v>545358.31999999995</v>
      </c>
      <c r="I59" s="363"/>
      <c r="J59" s="64" t="s">
        <v>221</v>
      </c>
      <c r="L59" s="363"/>
    </row>
    <row r="60" spans="1:12" s="62" customFormat="1">
      <c r="A60" s="272">
        <v>630</v>
      </c>
      <c r="B60" s="93">
        <v>0</v>
      </c>
      <c r="C60" s="93">
        <v>0</v>
      </c>
      <c r="D60" s="93">
        <v>0</v>
      </c>
      <c r="E60" s="93">
        <v>0</v>
      </c>
      <c r="F60" s="93">
        <v>0</v>
      </c>
      <c r="G60" s="60" t="s">
        <v>23</v>
      </c>
      <c r="H60" s="366"/>
      <c r="I60" s="366"/>
      <c r="J60" s="61" t="s">
        <v>222</v>
      </c>
      <c r="L60" s="366"/>
    </row>
    <row r="61" spans="1:12" ht="25.5">
      <c r="A61" s="277">
        <v>630</v>
      </c>
      <c r="B61" s="275">
        <v>100</v>
      </c>
      <c r="C61" s="275"/>
      <c r="D61" s="275"/>
      <c r="E61" s="275"/>
      <c r="F61" s="275"/>
      <c r="G61" s="63" t="s">
        <v>223</v>
      </c>
      <c r="H61" s="364"/>
      <c r="I61" s="364"/>
      <c r="J61" s="64" t="s">
        <v>224</v>
      </c>
      <c r="L61" s="364"/>
    </row>
    <row r="62" spans="1:12" ht="25.5">
      <c r="A62" s="277">
        <v>630</v>
      </c>
      <c r="B62" s="275">
        <v>100</v>
      </c>
      <c r="C62" s="275">
        <v>100</v>
      </c>
      <c r="D62" s="275"/>
      <c r="E62" s="275"/>
      <c r="F62" s="275"/>
      <c r="G62" s="63" t="s">
        <v>225</v>
      </c>
      <c r="H62" s="364"/>
      <c r="I62" s="364"/>
      <c r="J62" s="64" t="s">
        <v>226</v>
      </c>
      <c r="L62" s="364"/>
    </row>
    <row r="63" spans="1:12">
      <c r="A63" s="277">
        <v>630</v>
      </c>
      <c r="B63" s="275">
        <v>100</v>
      </c>
      <c r="C63" s="275">
        <v>100</v>
      </c>
      <c r="D63" s="275">
        <v>100</v>
      </c>
      <c r="E63" s="275"/>
      <c r="F63" s="275"/>
      <c r="G63" s="63" t="s">
        <v>227</v>
      </c>
      <c r="H63" s="364"/>
      <c r="I63" s="364"/>
      <c r="J63" s="64" t="s">
        <v>228</v>
      </c>
      <c r="L63" s="364"/>
    </row>
    <row r="64" spans="1:12">
      <c r="A64" s="277">
        <v>630</v>
      </c>
      <c r="B64" s="275">
        <v>100</v>
      </c>
      <c r="C64" s="275">
        <v>100</v>
      </c>
      <c r="D64" s="275">
        <v>100</v>
      </c>
      <c r="E64" s="275">
        <v>10</v>
      </c>
      <c r="F64" s="275"/>
      <c r="G64" s="66" t="s">
        <v>229</v>
      </c>
      <c r="H64" s="367">
        <v>14717725.09</v>
      </c>
      <c r="I64" s="367"/>
      <c r="J64" s="64"/>
      <c r="L64" s="367">
        <v>163023229.88</v>
      </c>
    </row>
    <row r="65" spans="1:12">
      <c r="A65" s="277">
        <v>630</v>
      </c>
      <c r="B65" s="275">
        <v>100</v>
      </c>
      <c r="C65" s="275">
        <v>100</v>
      </c>
      <c r="D65" s="275">
        <v>100</v>
      </c>
      <c r="E65" s="275">
        <v>20</v>
      </c>
      <c r="F65" s="275"/>
      <c r="G65" s="66" t="s">
        <v>230</v>
      </c>
      <c r="H65" s="367">
        <v>0</v>
      </c>
      <c r="I65" s="367"/>
      <c r="J65" s="64"/>
      <c r="L65" s="367"/>
    </row>
    <row r="66" spans="1:12">
      <c r="A66" s="277">
        <v>630</v>
      </c>
      <c r="B66" s="275">
        <v>100</v>
      </c>
      <c r="C66" s="275">
        <v>100</v>
      </c>
      <c r="D66" s="275">
        <v>200</v>
      </c>
      <c r="E66" s="275"/>
      <c r="F66" s="275"/>
      <c r="G66" s="63" t="s">
        <v>231</v>
      </c>
      <c r="H66" s="364"/>
      <c r="I66" s="364"/>
      <c r="J66" s="64" t="s">
        <v>232</v>
      </c>
      <c r="L66" s="364"/>
    </row>
    <row r="67" spans="1:12">
      <c r="A67" s="277">
        <v>630</v>
      </c>
      <c r="B67" s="275">
        <v>100</v>
      </c>
      <c r="C67" s="275">
        <v>100</v>
      </c>
      <c r="D67" s="275">
        <v>200</v>
      </c>
      <c r="E67" s="281">
        <v>10</v>
      </c>
      <c r="F67" s="281"/>
      <c r="G67" s="66" t="s">
        <v>233</v>
      </c>
      <c r="H67" s="363">
        <v>2112247.5</v>
      </c>
      <c r="I67" s="363"/>
      <c r="J67" s="68"/>
      <c r="L67" s="363">
        <v>48824756.085591331</v>
      </c>
    </row>
    <row r="68" spans="1:12">
      <c r="A68" s="277">
        <v>630</v>
      </c>
      <c r="B68" s="275">
        <v>100</v>
      </c>
      <c r="C68" s="275">
        <v>100</v>
      </c>
      <c r="D68" s="275">
        <v>200</v>
      </c>
      <c r="E68" s="281">
        <v>20</v>
      </c>
      <c r="F68" s="281"/>
      <c r="G68" s="66" t="s">
        <v>234</v>
      </c>
      <c r="H68" s="363">
        <v>1484429.54</v>
      </c>
      <c r="I68" s="363"/>
      <c r="J68" s="68"/>
      <c r="L68" s="363">
        <v>1484271.34</v>
      </c>
    </row>
    <row r="69" spans="1:12">
      <c r="A69" s="277">
        <v>630</v>
      </c>
      <c r="B69" s="275">
        <v>100</v>
      </c>
      <c r="C69" s="275">
        <v>100</v>
      </c>
      <c r="D69" s="275">
        <v>250</v>
      </c>
      <c r="E69" s="275"/>
      <c r="F69" s="275"/>
      <c r="G69" s="63" t="s">
        <v>2124</v>
      </c>
      <c r="H69" s="363">
        <v>0</v>
      </c>
      <c r="I69" s="363"/>
      <c r="J69" s="64" t="s">
        <v>235</v>
      </c>
      <c r="L69" s="363"/>
    </row>
    <row r="70" spans="1:12">
      <c r="A70" s="277">
        <v>630</v>
      </c>
      <c r="B70" s="275">
        <v>100</v>
      </c>
      <c r="C70" s="275">
        <v>100</v>
      </c>
      <c r="D70" s="275">
        <v>300</v>
      </c>
      <c r="E70" s="276"/>
      <c r="F70" s="276"/>
      <c r="G70" s="66" t="s">
        <v>236</v>
      </c>
      <c r="H70" s="363">
        <v>0</v>
      </c>
      <c r="I70" s="363"/>
      <c r="J70" s="64" t="s">
        <v>237</v>
      </c>
      <c r="L70" s="363"/>
    </row>
    <row r="71" spans="1:12">
      <c r="A71" s="277">
        <v>630</v>
      </c>
      <c r="B71" s="275">
        <v>100</v>
      </c>
      <c r="C71" s="275">
        <v>100</v>
      </c>
      <c r="D71" s="275">
        <v>400</v>
      </c>
      <c r="E71" s="276"/>
      <c r="F71" s="276"/>
      <c r="G71" s="66" t="s">
        <v>238</v>
      </c>
      <c r="H71" s="363">
        <v>912334.5</v>
      </c>
      <c r="I71" s="363"/>
      <c r="J71" s="64" t="s">
        <v>239</v>
      </c>
      <c r="L71" s="363">
        <v>29931978</v>
      </c>
    </row>
    <row r="72" spans="1:12">
      <c r="A72" s="277">
        <v>630</v>
      </c>
      <c r="B72" s="275">
        <v>100</v>
      </c>
      <c r="C72" s="275">
        <v>100</v>
      </c>
      <c r="D72" s="275">
        <v>500</v>
      </c>
      <c r="E72" s="276"/>
      <c r="F72" s="276"/>
      <c r="G72" s="66" t="s">
        <v>240</v>
      </c>
      <c r="H72" s="363">
        <v>0</v>
      </c>
      <c r="I72" s="363"/>
      <c r="J72" s="64" t="s">
        <v>241</v>
      </c>
      <c r="L72" s="363"/>
    </row>
    <row r="73" spans="1:12">
      <c r="A73" s="277">
        <v>630</v>
      </c>
      <c r="B73" s="275">
        <v>100</v>
      </c>
      <c r="C73" s="275">
        <v>100</v>
      </c>
      <c r="D73" s="275">
        <v>600</v>
      </c>
      <c r="E73" s="276"/>
      <c r="F73" s="276"/>
      <c r="G73" s="66" t="s">
        <v>242</v>
      </c>
      <c r="H73" s="363">
        <v>0</v>
      </c>
      <c r="I73" s="363"/>
      <c r="J73" s="64" t="s">
        <v>243</v>
      </c>
      <c r="L73" s="363"/>
    </row>
    <row r="74" spans="1:12">
      <c r="A74" s="277">
        <v>630</v>
      </c>
      <c r="B74" s="275">
        <v>100</v>
      </c>
      <c r="C74" s="275">
        <v>100</v>
      </c>
      <c r="D74" s="275">
        <v>700</v>
      </c>
      <c r="E74" s="276"/>
      <c r="F74" s="276"/>
      <c r="G74" s="66" t="s">
        <v>244</v>
      </c>
      <c r="H74" s="363">
        <v>0</v>
      </c>
      <c r="I74" s="363"/>
      <c r="J74" s="64" t="s">
        <v>245</v>
      </c>
      <c r="L74" s="363"/>
    </row>
    <row r="75" spans="1:12">
      <c r="A75" s="277">
        <v>630</v>
      </c>
      <c r="B75" s="275">
        <v>100</v>
      </c>
      <c r="C75" s="275">
        <v>100</v>
      </c>
      <c r="D75" s="275">
        <v>800</v>
      </c>
      <c r="E75" s="276"/>
      <c r="F75" s="276"/>
      <c r="G75" s="66" t="s">
        <v>246</v>
      </c>
      <c r="H75" s="363">
        <v>0</v>
      </c>
      <c r="I75" s="363"/>
      <c r="J75" s="64" t="s">
        <v>247</v>
      </c>
      <c r="L75" s="363"/>
    </row>
    <row r="76" spans="1:12">
      <c r="A76" s="277">
        <v>630</v>
      </c>
      <c r="B76" s="275">
        <v>100</v>
      </c>
      <c r="C76" s="275">
        <v>100</v>
      </c>
      <c r="D76" s="276">
        <v>810</v>
      </c>
      <c r="E76" s="276"/>
      <c r="F76" s="276"/>
      <c r="G76" s="66" t="s">
        <v>248</v>
      </c>
      <c r="H76" s="363">
        <v>0</v>
      </c>
      <c r="I76" s="363"/>
      <c r="J76" s="64" t="s">
        <v>249</v>
      </c>
      <c r="L76" s="363"/>
    </row>
    <row r="77" spans="1:12">
      <c r="A77" s="277">
        <v>630</v>
      </c>
      <c r="B77" s="275">
        <v>100</v>
      </c>
      <c r="C77" s="275">
        <v>100</v>
      </c>
      <c r="D77" s="276">
        <v>820</v>
      </c>
      <c r="E77" s="276"/>
      <c r="F77" s="276"/>
      <c r="G77" s="66" t="s">
        <v>250</v>
      </c>
      <c r="H77" s="363">
        <v>0</v>
      </c>
      <c r="I77" s="363"/>
      <c r="J77" s="64" t="s">
        <v>251</v>
      </c>
      <c r="L77" s="363"/>
    </row>
    <row r="78" spans="1:12">
      <c r="A78" s="277">
        <v>630</v>
      </c>
      <c r="B78" s="275">
        <v>100</v>
      </c>
      <c r="C78" s="275">
        <v>100</v>
      </c>
      <c r="D78" s="276">
        <v>830</v>
      </c>
      <c r="E78" s="276"/>
      <c r="F78" s="276"/>
      <c r="G78" s="66" t="s">
        <v>252</v>
      </c>
      <c r="H78" s="363">
        <v>0</v>
      </c>
      <c r="I78" s="363"/>
      <c r="J78" s="64" t="s">
        <v>253</v>
      </c>
      <c r="L78" s="363"/>
    </row>
    <row r="79" spans="1:12">
      <c r="A79" s="277">
        <v>630</v>
      </c>
      <c r="B79" s="275">
        <v>100</v>
      </c>
      <c r="C79" s="275">
        <v>100</v>
      </c>
      <c r="D79" s="276">
        <v>840</v>
      </c>
      <c r="E79" s="276"/>
      <c r="F79" s="276"/>
      <c r="G79" s="66" t="s">
        <v>254</v>
      </c>
      <c r="H79" s="363">
        <v>0</v>
      </c>
      <c r="I79" s="363"/>
      <c r="J79" s="64" t="s">
        <v>255</v>
      </c>
      <c r="L79" s="363"/>
    </row>
    <row r="80" spans="1:12">
      <c r="A80" s="277">
        <v>630</v>
      </c>
      <c r="B80" s="275">
        <v>100</v>
      </c>
      <c r="C80" s="275">
        <v>100</v>
      </c>
      <c r="D80" s="276">
        <v>850</v>
      </c>
      <c r="E80" s="276"/>
      <c r="F80" s="276"/>
      <c r="G80" s="66" t="s">
        <v>256</v>
      </c>
      <c r="H80" s="363">
        <v>0</v>
      </c>
      <c r="I80" s="363"/>
      <c r="J80" s="64" t="s">
        <v>257</v>
      </c>
      <c r="L80" s="363"/>
    </row>
    <row r="81" spans="1:12">
      <c r="A81" s="277">
        <v>630</v>
      </c>
      <c r="B81" s="275">
        <v>100</v>
      </c>
      <c r="C81" s="275">
        <v>100</v>
      </c>
      <c r="D81" s="275">
        <v>900</v>
      </c>
      <c r="E81" s="275"/>
      <c r="F81" s="275"/>
      <c r="G81" s="63" t="s">
        <v>258</v>
      </c>
      <c r="H81" s="364"/>
      <c r="I81" s="364"/>
      <c r="J81" s="64" t="s">
        <v>259</v>
      </c>
      <c r="L81" s="364"/>
    </row>
    <row r="82" spans="1:12">
      <c r="A82" s="277">
        <v>630</v>
      </c>
      <c r="B82" s="275">
        <v>100</v>
      </c>
      <c r="C82" s="275">
        <v>100</v>
      </c>
      <c r="D82" s="275">
        <v>900</v>
      </c>
      <c r="E82" s="276">
        <v>10</v>
      </c>
      <c r="F82" s="276"/>
      <c r="G82" s="66" t="s">
        <v>260</v>
      </c>
      <c r="H82" s="363">
        <v>45491.01</v>
      </c>
      <c r="I82" s="363"/>
      <c r="J82" s="64"/>
      <c r="L82" s="363"/>
    </row>
    <row r="83" spans="1:12">
      <c r="A83" s="277">
        <v>630</v>
      </c>
      <c r="B83" s="275">
        <v>100</v>
      </c>
      <c r="C83" s="275">
        <v>100</v>
      </c>
      <c r="D83" s="275">
        <v>900</v>
      </c>
      <c r="E83" s="276">
        <v>90</v>
      </c>
      <c r="F83" s="276"/>
      <c r="G83" s="66" t="s">
        <v>258</v>
      </c>
      <c r="H83" s="363">
        <v>21080</v>
      </c>
      <c r="I83" s="363"/>
      <c r="J83" s="64"/>
      <c r="L83" s="363">
        <v>19193</v>
      </c>
    </row>
    <row r="84" spans="1:12" ht="25.5">
      <c r="A84" s="277">
        <v>630</v>
      </c>
      <c r="B84" s="275">
        <v>100</v>
      </c>
      <c r="C84" s="276">
        <v>200</v>
      </c>
      <c r="D84" s="276"/>
      <c r="E84" s="276"/>
      <c r="F84" s="276"/>
      <c r="G84" s="66" t="s">
        <v>261</v>
      </c>
      <c r="H84" s="363">
        <v>44685.32</v>
      </c>
      <c r="I84" s="363"/>
      <c r="J84" s="64" t="s">
        <v>262</v>
      </c>
      <c r="L84" s="363">
        <v>43055.32</v>
      </c>
    </row>
    <row r="85" spans="1:12" ht="25.5">
      <c r="A85" s="277">
        <v>630</v>
      </c>
      <c r="B85" s="275">
        <v>100</v>
      </c>
      <c r="C85" s="275">
        <v>300</v>
      </c>
      <c r="D85" s="275"/>
      <c r="E85" s="275"/>
      <c r="F85" s="275"/>
      <c r="G85" s="63" t="s">
        <v>263</v>
      </c>
      <c r="H85" s="364"/>
      <c r="I85" s="364"/>
      <c r="J85" s="64" t="s">
        <v>264</v>
      </c>
      <c r="L85" s="364"/>
    </row>
    <row r="86" spans="1:12">
      <c r="A86" s="277">
        <v>630</v>
      </c>
      <c r="B86" s="275">
        <v>100</v>
      </c>
      <c r="C86" s="275">
        <v>300</v>
      </c>
      <c r="D86" s="275">
        <v>100</v>
      </c>
      <c r="E86" s="275"/>
      <c r="F86" s="275"/>
      <c r="G86" s="63" t="s">
        <v>227</v>
      </c>
      <c r="H86" s="364"/>
      <c r="I86" s="364"/>
      <c r="J86" s="64" t="s">
        <v>265</v>
      </c>
      <c r="L86" s="364"/>
    </row>
    <row r="87" spans="1:12">
      <c r="A87" s="277">
        <v>630</v>
      </c>
      <c r="B87" s="275">
        <v>100</v>
      </c>
      <c r="C87" s="275">
        <v>300</v>
      </c>
      <c r="D87" s="275">
        <v>100</v>
      </c>
      <c r="E87" s="281">
        <v>10</v>
      </c>
      <c r="F87" s="281"/>
      <c r="G87" s="66" t="s">
        <v>266</v>
      </c>
      <c r="H87" s="363">
        <v>4341266</v>
      </c>
      <c r="I87" s="363"/>
      <c r="J87" s="68"/>
      <c r="L87" s="363">
        <v>4341266</v>
      </c>
    </row>
    <row r="88" spans="1:12">
      <c r="A88" s="277">
        <v>630</v>
      </c>
      <c r="B88" s="275">
        <v>100</v>
      </c>
      <c r="C88" s="275">
        <v>300</v>
      </c>
      <c r="D88" s="275">
        <v>100</v>
      </c>
      <c r="E88" s="281">
        <v>20</v>
      </c>
      <c r="F88" s="281"/>
      <c r="G88" s="66" t="s">
        <v>230</v>
      </c>
      <c r="H88" s="363">
        <v>0</v>
      </c>
      <c r="I88" s="363"/>
      <c r="J88" s="68"/>
      <c r="L88" s="363"/>
    </row>
    <row r="89" spans="1:12">
      <c r="A89" s="277">
        <v>630</v>
      </c>
      <c r="B89" s="275">
        <v>100</v>
      </c>
      <c r="C89" s="275">
        <v>300</v>
      </c>
      <c r="D89" s="275">
        <v>150</v>
      </c>
      <c r="E89" s="275"/>
      <c r="F89" s="275"/>
      <c r="G89" s="63" t="s">
        <v>267</v>
      </c>
      <c r="H89" s="364"/>
      <c r="I89" s="364"/>
      <c r="J89" s="64" t="s">
        <v>268</v>
      </c>
      <c r="L89" s="364"/>
    </row>
    <row r="90" spans="1:12">
      <c r="A90" s="277">
        <v>630</v>
      </c>
      <c r="B90" s="275">
        <v>100</v>
      </c>
      <c r="C90" s="275">
        <v>300</v>
      </c>
      <c r="D90" s="275">
        <v>150</v>
      </c>
      <c r="E90" s="281">
        <v>100</v>
      </c>
      <c r="F90" s="281"/>
      <c r="G90" s="66" t="s">
        <v>269</v>
      </c>
      <c r="H90" s="363">
        <v>926198</v>
      </c>
      <c r="I90" s="363"/>
      <c r="J90" s="68"/>
      <c r="L90" s="363">
        <v>892925.58654673107</v>
      </c>
    </row>
    <row r="91" spans="1:12">
      <c r="A91" s="277">
        <v>630</v>
      </c>
      <c r="B91" s="275">
        <v>100</v>
      </c>
      <c r="C91" s="275">
        <v>300</v>
      </c>
      <c r="D91" s="275">
        <v>150</v>
      </c>
      <c r="E91" s="281">
        <v>200</v>
      </c>
      <c r="F91" s="281"/>
      <c r="G91" s="66" t="s">
        <v>234</v>
      </c>
      <c r="H91" s="363"/>
      <c r="I91" s="363"/>
      <c r="J91" s="68"/>
      <c r="L91" s="363"/>
    </row>
    <row r="92" spans="1:12">
      <c r="A92" s="277">
        <v>630</v>
      </c>
      <c r="B92" s="275">
        <v>100</v>
      </c>
      <c r="C92" s="275">
        <v>300</v>
      </c>
      <c r="D92" s="276">
        <v>160</v>
      </c>
      <c r="E92" s="281"/>
      <c r="F92" s="281"/>
      <c r="G92" s="66" t="s">
        <v>270</v>
      </c>
      <c r="H92" s="363">
        <v>0</v>
      </c>
      <c r="I92" s="363"/>
      <c r="J92" s="64" t="s">
        <v>271</v>
      </c>
      <c r="L92" s="363"/>
    </row>
    <row r="93" spans="1:12" ht="25.5">
      <c r="A93" s="277">
        <v>630</v>
      </c>
      <c r="B93" s="275">
        <v>100</v>
      </c>
      <c r="C93" s="275">
        <v>300</v>
      </c>
      <c r="D93" s="276">
        <v>200</v>
      </c>
      <c r="E93" s="276"/>
      <c r="F93" s="276"/>
      <c r="G93" s="66" t="s">
        <v>272</v>
      </c>
      <c r="H93" s="363">
        <v>0</v>
      </c>
      <c r="I93" s="363"/>
      <c r="J93" s="64" t="s">
        <v>273</v>
      </c>
      <c r="L93" s="363"/>
    </row>
    <row r="94" spans="1:12">
      <c r="A94" s="277">
        <v>630</v>
      </c>
      <c r="B94" s="275">
        <v>100</v>
      </c>
      <c r="C94" s="275">
        <v>300</v>
      </c>
      <c r="D94" s="276">
        <v>250</v>
      </c>
      <c r="E94" s="276"/>
      <c r="F94" s="276"/>
      <c r="G94" s="66" t="s">
        <v>238</v>
      </c>
      <c r="H94" s="363">
        <v>728298</v>
      </c>
      <c r="I94" s="363"/>
      <c r="J94" s="64" t="s">
        <v>274</v>
      </c>
      <c r="L94" s="363">
        <v>728298</v>
      </c>
    </row>
    <row r="95" spans="1:12">
      <c r="A95" s="277">
        <v>630</v>
      </c>
      <c r="B95" s="275">
        <v>100</v>
      </c>
      <c r="C95" s="275">
        <v>300</v>
      </c>
      <c r="D95" s="276">
        <v>300</v>
      </c>
      <c r="E95" s="276"/>
      <c r="F95" s="276"/>
      <c r="G95" s="66" t="s">
        <v>275</v>
      </c>
      <c r="H95" s="363">
        <v>171492</v>
      </c>
      <c r="I95" s="363"/>
      <c r="J95" s="64" t="s">
        <v>276</v>
      </c>
      <c r="L95" s="363">
        <v>171492</v>
      </c>
    </row>
    <row r="96" spans="1:12">
      <c r="A96" s="277">
        <v>630</v>
      </c>
      <c r="B96" s="275">
        <v>100</v>
      </c>
      <c r="C96" s="275">
        <v>300</v>
      </c>
      <c r="D96" s="276">
        <v>350</v>
      </c>
      <c r="E96" s="276"/>
      <c r="F96" s="276"/>
      <c r="G96" s="66" t="s">
        <v>277</v>
      </c>
      <c r="H96" s="363">
        <v>451543</v>
      </c>
      <c r="I96" s="363"/>
      <c r="J96" s="64" t="s">
        <v>278</v>
      </c>
      <c r="L96" s="363">
        <v>451543</v>
      </c>
    </row>
    <row r="97" spans="1:12">
      <c r="A97" s="277">
        <v>630</v>
      </c>
      <c r="B97" s="275">
        <v>100</v>
      </c>
      <c r="C97" s="275">
        <v>300</v>
      </c>
      <c r="D97" s="276">
        <v>400</v>
      </c>
      <c r="E97" s="276"/>
      <c r="F97" s="276"/>
      <c r="G97" s="66" t="s">
        <v>279</v>
      </c>
      <c r="H97" s="363">
        <v>22112</v>
      </c>
      <c r="I97" s="363"/>
      <c r="J97" s="64" t="s">
        <v>280</v>
      </c>
      <c r="L97" s="363">
        <v>22112</v>
      </c>
    </row>
    <row r="98" spans="1:12">
      <c r="A98" s="277">
        <v>630</v>
      </c>
      <c r="B98" s="275">
        <v>100</v>
      </c>
      <c r="C98" s="275">
        <v>300</v>
      </c>
      <c r="D98" s="276">
        <v>450</v>
      </c>
      <c r="E98" s="276"/>
      <c r="F98" s="276"/>
      <c r="G98" s="66" t="s">
        <v>281</v>
      </c>
      <c r="H98" s="363">
        <v>0</v>
      </c>
      <c r="I98" s="363"/>
      <c r="J98" s="64" t="s">
        <v>282</v>
      </c>
      <c r="L98" s="363"/>
    </row>
    <row r="99" spans="1:12">
      <c r="A99" s="277">
        <v>630</v>
      </c>
      <c r="B99" s="275">
        <v>100</v>
      </c>
      <c r="C99" s="275">
        <v>300</v>
      </c>
      <c r="D99" s="276">
        <v>510</v>
      </c>
      <c r="E99" s="276"/>
      <c r="F99" s="276"/>
      <c r="G99" s="66" t="s">
        <v>283</v>
      </c>
      <c r="H99" s="363"/>
      <c r="I99" s="363"/>
      <c r="J99" s="64" t="s">
        <v>284</v>
      </c>
      <c r="L99" s="363"/>
    </row>
    <row r="100" spans="1:12">
      <c r="A100" s="277">
        <v>630</v>
      </c>
      <c r="B100" s="275">
        <v>100</v>
      </c>
      <c r="C100" s="275">
        <v>300</v>
      </c>
      <c r="D100" s="276">
        <v>520</v>
      </c>
      <c r="E100" s="276"/>
      <c r="F100" s="276"/>
      <c r="G100" s="66" t="s">
        <v>285</v>
      </c>
      <c r="H100" s="363">
        <v>0</v>
      </c>
      <c r="I100" s="363"/>
      <c r="J100" s="64" t="s">
        <v>286</v>
      </c>
      <c r="L100" s="363"/>
    </row>
    <row r="101" spans="1:12">
      <c r="A101" s="277">
        <v>630</v>
      </c>
      <c r="B101" s="275">
        <v>100</v>
      </c>
      <c r="C101" s="275">
        <v>300</v>
      </c>
      <c r="D101" s="276">
        <v>550</v>
      </c>
      <c r="E101" s="276"/>
      <c r="F101" s="276"/>
      <c r="G101" s="66" t="s">
        <v>287</v>
      </c>
      <c r="H101" s="363">
        <v>799749</v>
      </c>
      <c r="I101" s="363"/>
      <c r="J101" s="64" t="s">
        <v>288</v>
      </c>
      <c r="L101" s="363">
        <v>799749</v>
      </c>
    </row>
    <row r="102" spans="1:12">
      <c r="A102" s="277">
        <v>630</v>
      </c>
      <c r="B102" s="275">
        <v>100</v>
      </c>
      <c r="C102" s="275">
        <v>300</v>
      </c>
      <c r="D102" s="276">
        <v>600</v>
      </c>
      <c r="E102" s="276"/>
      <c r="F102" s="276"/>
      <c r="G102" s="66" t="s">
        <v>290</v>
      </c>
      <c r="H102" s="363">
        <v>0</v>
      </c>
      <c r="I102" s="363"/>
      <c r="J102" s="64" t="s">
        <v>289</v>
      </c>
      <c r="L102" s="363"/>
    </row>
    <row r="103" spans="1:12" ht="25.5">
      <c r="A103" s="277">
        <v>630</v>
      </c>
      <c r="B103" s="275">
        <v>100</v>
      </c>
      <c r="C103" s="275">
        <v>300</v>
      </c>
      <c r="D103" s="276">
        <v>610</v>
      </c>
      <c r="E103" s="276"/>
      <c r="F103" s="276"/>
      <c r="G103" s="66" t="s">
        <v>291</v>
      </c>
      <c r="H103" s="363"/>
      <c r="I103" s="363"/>
      <c r="J103" s="64" t="s">
        <v>292</v>
      </c>
      <c r="L103" s="363"/>
    </row>
    <row r="104" spans="1:12" ht="25.5">
      <c r="A104" s="277">
        <v>630</v>
      </c>
      <c r="B104" s="275">
        <v>100</v>
      </c>
      <c r="C104" s="275">
        <v>300</v>
      </c>
      <c r="D104" s="275">
        <v>650</v>
      </c>
      <c r="E104" s="275"/>
      <c r="F104" s="275"/>
      <c r="G104" s="63" t="s">
        <v>293</v>
      </c>
      <c r="H104" s="364"/>
      <c r="I104" s="364"/>
      <c r="J104" s="64" t="s">
        <v>294</v>
      </c>
      <c r="L104" s="364"/>
    </row>
    <row r="105" spans="1:12" ht="25.5">
      <c r="A105" s="277">
        <v>630</v>
      </c>
      <c r="B105" s="275">
        <v>100</v>
      </c>
      <c r="C105" s="275">
        <v>300</v>
      </c>
      <c r="D105" s="275">
        <v>650</v>
      </c>
      <c r="E105" s="276">
        <v>10</v>
      </c>
      <c r="F105" s="276"/>
      <c r="G105" s="66" t="s">
        <v>295</v>
      </c>
      <c r="H105" s="363">
        <v>0</v>
      </c>
      <c r="I105" s="363"/>
      <c r="J105" s="64" t="s">
        <v>296</v>
      </c>
      <c r="L105" s="363"/>
    </row>
    <row r="106" spans="1:12" ht="25.5">
      <c r="A106" s="277">
        <v>630</v>
      </c>
      <c r="B106" s="275">
        <v>100</v>
      </c>
      <c r="C106" s="275">
        <v>300</v>
      </c>
      <c r="D106" s="275">
        <v>650</v>
      </c>
      <c r="E106" s="275">
        <v>20</v>
      </c>
      <c r="F106" s="275"/>
      <c r="G106" s="63" t="s">
        <v>297</v>
      </c>
      <c r="H106" s="364"/>
      <c r="I106" s="364"/>
      <c r="J106" s="64" t="s">
        <v>298</v>
      </c>
      <c r="L106" s="364"/>
    </row>
    <row r="107" spans="1:12">
      <c r="A107" s="277">
        <v>630</v>
      </c>
      <c r="B107" s="275">
        <v>100</v>
      </c>
      <c r="C107" s="275">
        <v>300</v>
      </c>
      <c r="D107" s="275">
        <v>650</v>
      </c>
      <c r="E107" s="275">
        <v>20</v>
      </c>
      <c r="F107" s="281">
        <v>10</v>
      </c>
      <c r="G107" s="66" t="s">
        <v>260</v>
      </c>
      <c r="H107" s="363">
        <v>0</v>
      </c>
      <c r="I107" s="363"/>
      <c r="J107" s="68"/>
      <c r="L107" s="363"/>
    </row>
    <row r="108" spans="1:12" ht="25.5">
      <c r="A108" s="277">
        <v>630</v>
      </c>
      <c r="B108" s="275">
        <v>100</v>
      </c>
      <c r="C108" s="275">
        <v>300</v>
      </c>
      <c r="D108" s="275">
        <v>650</v>
      </c>
      <c r="E108" s="275">
        <v>20</v>
      </c>
      <c r="F108" s="281">
        <v>20</v>
      </c>
      <c r="G108" s="66" t="s">
        <v>297</v>
      </c>
      <c r="H108" s="363">
        <v>222945.34</v>
      </c>
      <c r="I108" s="363"/>
      <c r="J108" s="68"/>
      <c r="L108" s="363">
        <v>198702.98</v>
      </c>
    </row>
    <row r="109" spans="1:12" ht="25.5">
      <c r="A109" s="277">
        <v>630</v>
      </c>
      <c r="B109" s="275">
        <v>100</v>
      </c>
      <c r="C109" s="275">
        <v>300</v>
      </c>
      <c r="D109" s="276">
        <v>700</v>
      </c>
      <c r="E109" s="276"/>
      <c r="F109" s="276"/>
      <c r="G109" s="66" t="s">
        <v>299</v>
      </c>
      <c r="H109" s="363">
        <v>969389.3</v>
      </c>
      <c r="I109" s="363"/>
      <c r="J109" s="64" t="s">
        <v>300</v>
      </c>
      <c r="L109" s="363">
        <v>951248</v>
      </c>
    </row>
    <row r="110" spans="1:12" ht="25.5">
      <c r="A110" s="277">
        <v>630</v>
      </c>
      <c r="B110" s="275">
        <v>100</v>
      </c>
      <c r="C110" s="275">
        <v>300</v>
      </c>
      <c r="D110" s="276">
        <v>800</v>
      </c>
      <c r="E110" s="276"/>
      <c r="F110" s="276"/>
      <c r="G110" s="66" t="s">
        <v>301</v>
      </c>
      <c r="H110" s="363">
        <v>0</v>
      </c>
      <c r="I110" s="363"/>
      <c r="J110" s="64" t="s">
        <v>302</v>
      </c>
      <c r="L110" s="363"/>
    </row>
    <row r="111" spans="1:12" ht="25.5">
      <c r="A111" s="277">
        <v>630</v>
      </c>
      <c r="B111" s="275">
        <v>100</v>
      </c>
      <c r="C111" s="275">
        <v>300</v>
      </c>
      <c r="D111" s="276">
        <v>900</v>
      </c>
      <c r="E111" s="276"/>
      <c r="F111" s="276"/>
      <c r="G111" s="66" t="s">
        <v>303</v>
      </c>
      <c r="H111" s="363">
        <v>0</v>
      </c>
      <c r="I111" s="363"/>
      <c r="J111" s="64" t="s">
        <v>304</v>
      </c>
      <c r="L111" s="363"/>
    </row>
    <row r="112" spans="1:12" ht="25.5">
      <c r="A112" s="277">
        <v>630</v>
      </c>
      <c r="B112" s="275">
        <v>200</v>
      </c>
      <c r="C112" s="275"/>
      <c r="D112" s="275"/>
      <c r="E112" s="275"/>
      <c r="F112" s="275"/>
      <c r="G112" s="63" t="s">
        <v>305</v>
      </c>
      <c r="H112" s="364"/>
      <c r="I112" s="364"/>
      <c r="J112" s="64" t="s">
        <v>306</v>
      </c>
      <c r="L112" s="364"/>
    </row>
    <row r="113" spans="1:12" ht="25.5">
      <c r="A113" s="277">
        <v>630</v>
      </c>
      <c r="B113" s="275">
        <v>200</v>
      </c>
      <c r="C113" s="276">
        <v>100</v>
      </c>
      <c r="D113" s="276"/>
      <c r="E113" s="276"/>
      <c r="F113" s="276"/>
      <c r="G113" s="66" t="s">
        <v>307</v>
      </c>
      <c r="H113" s="363">
        <v>1114756</v>
      </c>
      <c r="I113" s="363"/>
      <c r="J113" s="64" t="s">
        <v>308</v>
      </c>
      <c r="L113" s="363"/>
    </row>
    <row r="114" spans="1:12" ht="25.5">
      <c r="A114" s="277">
        <v>630</v>
      </c>
      <c r="B114" s="275">
        <v>200</v>
      </c>
      <c r="C114" s="276">
        <v>200</v>
      </c>
      <c r="D114" s="276"/>
      <c r="E114" s="276"/>
      <c r="F114" s="276"/>
      <c r="G114" s="66" t="s">
        <v>309</v>
      </c>
      <c r="H114" s="363">
        <v>81005</v>
      </c>
      <c r="I114" s="363"/>
      <c r="J114" s="64" t="s">
        <v>310</v>
      </c>
      <c r="L114" s="363"/>
    </row>
    <row r="115" spans="1:12" ht="25.5">
      <c r="A115" s="277">
        <v>630</v>
      </c>
      <c r="B115" s="275">
        <v>200</v>
      </c>
      <c r="C115" s="276">
        <v>250</v>
      </c>
      <c r="D115" s="276"/>
      <c r="E115" s="276"/>
      <c r="F115" s="276"/>
      <c r="G115" s="66" t="s">
        <v>311</v>
      </c>
      <c r="H115" s="363">
        <v>0</v>
      </c>
      <c r="I115" s="363"/>
      <c r="J115" s="64" t="s">
        <v>312</v>
      </c>
      <c r="L115" s="363"/>
    </row>
    <row r="116" spans="1:12" ht="25.5">
      <c r="A116" s="277">
        <v>630</v>
      </c>
      <c r="B116" s="275">
        <v>200</v>
      </c>
      <c r="C116" s="276">
        <v>300</v>
      </c>
      <c r="D116" s="276"/>
      <c r="E116" s="276"/>
      <c r="F116" s="276"/>
      <c r="G116" s="66" t="s">
        <v>313</v>
      </c>
      <c r="H116" s="363">
        <v>0</v>
      </c>
      <c r="I116" s="363"/>
      <c r="J116" s="64" t="s">
        <v>314</v>
      </c>
      <c r="L116" s="363"/>
    </row>
    <row r="117" spans="1:12" ht="25.5">
      <c r="A117" s="277">
        <v>630</v>
      </c>
      <c r="B117" s="275">
        <v>200</v>
      </c>
      <c r="C117" s="276">
        <v>400</v>
      </c>
      <c r="D117" s="276"/>
      <c r="E117" s="276"/>
      <c r="F117" s="276"/>
      <c r="G117" s="66" t="s">
        <v>315</v>
      </c>
      <c r="H117" s="363">
        <v>0</v>
      </c>
      <c r="I117" s="363"/>
      <c r="J117" s="64" t="s">
        <v>316</v>
      </c>
      <c r="L117" s="363"/>
    </row>
    <row r="118" spans="1:12" ht="25.5">
      <c r="A118" s="277">
        <v>630</v>
      </c>
      <c r="B118" s="275">
        <v>300</v>
      </c>
      <c r="C118" s="275"/>
      <c r="D118" s="275"/>
      <c r="E118" s="275"/>
      <c r="F118" s="275"/>
      <c r="G118" s="63" t="s">
        <v>317</v>
      </c>
      <c r="H118" s="364"/>
      <c r="I118" s="364"/>
      <c r="J118" s="64" t="s">
        <v>318</v>
      </c>
      <c r="L118" s="364"/>
    </row>
    <row r="119" spans="1:12">
      <c r="A119" s="277">
        <v>630</v>
      </c>
      <c r="B119" s="275">
        <v>300</v>
      </c>
      <c r="C119" s="280">
        <v>100</v>
      </c>
      <c r="D119" s="280"/>
      <c r="E119" s="280"/>
      <c r="F119" s="280"/>
      <c r="G119" s="63" t="s">
        <v>319</v>
      </c>
      <c r="H119" s="364"/>
      <c r="I119" s="364"/>
      <c r="J119" s="68"/>
      <c r="L119" s="364"/>
    </row>
    <row r="120" spans="1:12">
      <c r="A120" s="277">
        <v>630</v>
      </c>
      <c r="B120" s="275">
        <v>300</v>
      </c>
      <c r="C120" s="280">
        <v>100</v>
      </c>
      <c r="D120" s="281">
        <v>100</v>
      </c>
      <c r="E120" s="281"/>
      <c r="F120" s="281"/>
      <c r="G120" s="66" t="s">
        <v>227</v>
      </c>
      <c r="H120" s="363">
        <v>207081.23</v>
      </c>
      <c r="I120" s="363"/>
      <c r="J120" s="68"/>
      <c r="L120" s="363">
        <v>207081.23</v>
      </c>
    </row>
    <row r="121" spans="1:12">
      <c r="A121" s="277">
        <v>630</v>
      </c>
      <c r="B121" s="275">
        <v>300</v>
      </c>
      <c r="C121" s="280">
        <v>100</v>
      </c>
      <c r="D121" s="281">
        <v>200</v>
      </c>
      <c r="E121" s="281"/>
      <c r="F121" s="281"/>
      <c r="G121" s="66" t="s">
        <v>320</v>
      </c>
      <c r="H121" s="363">
        <v>0</v>
      </c>
      <c r="I121" s="363"/>
      <c r="J121" s="68"/>
      <c r="L121" s="363"/>
    </row>
    <row r="122" spans="1:12">
      <c r="A122" s="277">
        <v>630</v>
      </c>
      <c r="B122" s="275">
        <v>300</v>
      </c>
      <c r="C122" s="280">
        <v>100</v>
      </c>
      <c r="D122" s="281">
        <v>300</v>
      </c>
      <c r="E122" s="281"/>
      <c r="F122" s="281"/>
      <c r="G122" s="66" t="s">
        <v>321</v>
      </c>
      <c r="H122" s="363">
        <v>0</v>
      </c>
      <c r="I122" s="363"/>
      <c r="J122" s="68"/>
      <c r="L122" s="363"/>
    </row>
    <row r="123" spans="1:12">
      <c r="A123" s="277">
        <v>630</v>
      </c>
      <c r="B123" s="275">
        <v>300</v>
      </c>
      <c r="C123" s="280">
        <v>100</v>
      </c>
      <c r="D123" s="281">
        <v>400</v>
      </c>
      <c r="E123" s="281"/>
      <c r="F123" s="281"/>
      <c r="G123" s="66" t="s">
        <v>267</v>
      </c>
      <c r="H123" s="363">
        <v>459259.28</v>
      </c>
      <c r="I123" s="363"/>
      <c r="J123" s="68"/>
      <c r="L123" s="363">
        <v>415372.22000000003</v>
      </c>
    </row>
    <row r="124" spans="1:12">
      <c r="A124" s="277">
        <v>630</v>
      </c>
      <c r="B124" s="275">
        <v>300</v>
      </c>
      <c r="C124" s="280">
        <v>100</v>
      </c>
      <c r="D124" s="281">
        <v>500</v>
      </c>
      <c r="E124" s="281"/>
      <c r="F124" s="281"/>
      <c r="G124" s="66" t="s">
        <v>322</v>
      </c>
      <c r="H124" s="363">
        <v>21254.22</v>
      </c>
      <c r="I124" s="363"/>
      <c r="J124" s="68"/>
      <c r="L124" s="363">
        <v>20583.019999999997</v>
      </c>
    </row>
    <row r="125" spans="1:12">
      <c r="A125" s="277">
        <v>630</v>
      </c>
      <c r="B125" s="275">
        <v>300</v>
      </c>
      <c r="C125" s="280">
        <v>100</v>
      </c>
      <c r="D125" s="281">
        <v>600</v>
      </c>
      <c r="E125" s="281"/>
      <c r="F125" s="281"/>
      <c r="G125" s="66" t="s">
        <v>323</v>
      </c>
      <c r="H125" s="363">
        <v>2.2999999999999998</v>
      </c>
      <c r="I125" s="363"/>
      <c r="J125" s="68"/>
      <c r="L125" s="363">
        <v>2.2999999999999998</v>
      </c>
    </row>
    <row r="126" spans="1:12">
      <c r="A126" s="277">
        <v>630</v>
      </c>
      <c r="B126" s="275">
        <v>300</v>
      </c>
      <c r="C126" s="280">
        <v>100</v>
      </c>
      <c r="D126" s="281">
        <v>900</v>
      </c>
      <c r="E126" s="281"/>
      <c r="F126" s="281"/>
      <c r="G126" s="66" t="s">
        <v>324</v>
      </c>
      <c r="H126" s="363">
        <v>405110.39</v>
      </c>
      <c r="I126" s="363"/>
      <c r="J126" s="68"/>
      <c r="L126" s="363">
        <v>405110.39</v>
      </c>
    </row>
    <row r="127" spans="1:12">
      <c r="A127" s="277">
        <v>630</v>
      </c>
      <c r="B127" s="275">
        <v>300</v>
      </c>
      <c r="C127" s="280">
        <v>200</v>
      </c>
      <c r="D127" s="280"/>
      <c r="E127" s="280"/>
      <c r="F127" s="280"/>
      <c r="G127" s="63" t="s">
        <v>325</v>
      </c>
      <c r="H127" s="364"/>
      <c r="I127" s="364"/>
      <c r="J127" s="68"/>
      <c r="L127" s="364"/>
    </row>
    <row r="128" spans="1:12">
      <c r="A128" s="277">
        <v>630</v>
      </c>
      <c r="B128" s="275">
        <v>300</v>
      </c>
      <c r="C128" s="280">
        <v>200</v>
      </c>
      <c r="D128" s="281">
        <v>50</v>
      </c>
      <c r="E128" s="281"/>
      <c r="F128" s="281"/>
      <c r="G128" s="66" t="s">
        <v>326</v>
      </c>
      <c r="H128" s="363">
        <v>268283.09999999998</v>
      </c>
      <c r="I128" s="363"/>
      <c r="J128" s="68"/>
      <c r="L128" s="363"/>
    </row>
    <row r="129" spans="1:12">
      <c r="A129" s="277">
        <v>630</v>
      </c>
      <c r="B129" s="275">
        <v>300</v>
      </c>
      <c r="C129" s="280">
        <v>200</v>
      </c>
      <c r="D129" s="281">
        <v>100</v>
      </c>
      <c r="E129" s="281"/>
      <c r="F129" s="281"/>
      <c r="G129" s="66" t="s">
        <v>327</v>
      </c>
      <c r="H129" s="363">
        <v>0</v>
      </c>
      <c r="I129" s="363"/>
      <c r="J129" s="68"/>
      <c r="L129" s="363"/>
    </row>
    <row r="130" spans="1:12">
      <c r="A130" s="277">
        <v>630</v>
      </c>
      <c r="B130" s="275">
        <v>300</v>
      </c>
      <c r="C130" s="280">
        <v>200</v>
      </c>
      <c r="D130" s="281">
        <v>150</v>
      </c>
      <c r="E130" s="281"/>
      <c r="F130" s="281"/>
      <c r="G130" s="66" t="s">
        <v>328</v>
      </c>
      <c r="H130" s="363">
        <v>341863.53</v>
      </c>
      <c r="I130" s="363"/>
      <c r="J130" s="68"/>
      <c r="L130" s="363"/>
    </row>
    <row r="131" spans="1:12">
      <c r="A131" s="277">
        <v>630</v>
      </c>
      <c r="B131" s="275">
        <v>300</v>
      </c>
      <c r="C131" s="280">
        <v>200</v>
      </c>
      <c r="D131" s="281">
        <v>200</v>
      </c>
      <c r="E131" s="281"/>
      <c r="F131" s="281"/>
      <c r="G131" s="66" t="s">
        <v>329</v>
      </c>
      <c r="H131" s="363">
        <v>15933.92</v>
      </c>
      <c r="I131" s="363"/>
      <c r="J131" s="68"/>
      <c r="L131" s="363"/>
    </row>
    <row r="132" spans="1:12">
      <c r="A132" s="277">
        <v>630</v>
      </c>
      <c r="B132" s="275">
        <v>300</v>
      </c>
      <c r="C132" s="280">
        <v>200</v>
      </c>
      <c r="D132" s="281">
        <v>250</v>
      </c>
      <c r="E132" s="281"/>
      <c r="F132" s="281"/>
      <c r="G132" s="66" t="s">
        <v>330</v>
      </c>
      <c r="H132" s="363">
        <v>101622.82</v>
      </c>
      <c r="I132" s="363"/>
      <c r="J132" s="68"/>
      <c r="L132" s="363"/>
    </row>
    <row r="133" spans="1:12">
      <c r="A133" s="277">
        <v>630</v>
      </c>
      <c r="B133" s="275">
        <v>300</v>
      </c>
      <c r="C133" s="280">
        <v>200</v>
      </c>
      <c r="D133" s="281">
        <v>300</v>
      </c>
      <c r="E133" s="281"/>
      <c r="F133" s="281"/>
      <c r="G133" s="66" t="s">
        <v>331</v>
      </c>
      <c r="H133" s="363">
        <v>18256.29</v>
      </c>
      <c r="I133" s="363"/>
      <c r="J133" s="68"/>
      <c r="L133" s="363"/>
    </row>
    <row r="134" spans="1:12">
      <c r="A134" s="277">
        <v>630</v>
      </c>
      <c r="B134" s="275">
        <v>300</v>
      </c>
      <c r="C134" s="280">
        <v>200</v>
      </c>
      <c r="D134" s="281">
        <v>350</v>
      </c>
      <c r="E134" s="281"/>
      <c r="F134" s="281"/>
      <c r="G134" s="66" t="s">
        <v>332</v>
      </c>
      <c r="H134" s="363">
        <v>52433.120000000003</v>
      </c>
      <c r="I134" s="363"/>
      <c r="J134" s="68"/>
      <c r="L134" s="363"/>
    </row>
    <row r="135" spans="1:12">
      <c r="A135" s="277">
        <v>630</v>
      </c>
      <c r="B135" s="275">
        <v>300</v>
      </c>
      <c r="C135" s="280">
        <v>200</v>
      </c>
      <c r="D135" s="281">
        <v>400</v>
      </c>
      <c r="E135" s="281"/>
      <c r="F135" s="281"/>
      <c r="G135" s="66" t="s">
        <v>333</v>
      </c>
      <c r="H135" s="363">
        <v>47658.62</v>
      </c>
      <c r="I135" s="363"/>
      <c r="J135" s="68"/>
      <c r="L135" s="363"/>
    </row>
    <row r="136" spans="1:12">
      <c r="A136" s="277">
        <v>630</v>
      </c>
      <c r="B136" s="275">
        <v>300</v>
      </c>
      <c r="C136" s="280">
        <v>200</v>
      </c>
      <c r="D136" s="281">
        <v>450</v>
      </c>
      <c r="E136" s="281"/>
      <c r="F136" s="281"/>
      <c r="G136" s="66" t="s">
        <v>334</v>
      </c>
      <c r="H136" s="363">
        <v>404865.76</v>
      </c>
      <c r="I136" s="363"/>
      <c r="J136" s="68"/>
      <c r="L136" s="363"/>
    </row>
    <row r="137" spans="1:12">
      <c r="A137" s="277">
        <v>630</v>
      </c>
      <c r="B137" s="275">
        <v>300</v>
      </c>
      <c r="C137" s="280">
        <v>200</v>
      </c>
      <c r="D137" s="281">
        <v>500</v>
      </c>
      <c r="E137" s="281"/>
      <c r="F137" s="281"/>
      <c r="G137" s="66" t="s">
        <v>335</v>
      </c>
      <c r="H137" s="363">
        <v>97546.74</v>
      </c>
      <c r="I137" s="363"/>
      <c r="J137" s="68"/>
      <c r="L137" s="363"/>
    </row>
    <row r="138" spans="1:12">
      <c r="A138" s="277">
        <v>630</v>
      </c>
      <c r="B138" s="275">
        <v>300</v>
      </c>
      <c r="C138" s="280">
        <v>200</v>
      </c>
      <c r="D138" s="281">
        <v>550</v>
      </c>
      <c r="E138" s="281"/>
      <c r="F138" s="281"/>
      <c r="G138" s="66" t="s">
        <v>336</v>
      </c>
      <c r="H138" s="363">
        <v>58552.6</v>
      </c>
      <c r="I138" s="363"/>
      <c r="J138" s="68"/>
      <c r="L138" s="363"/>
    </row>
    <row r="139" spans="1:12">
      <c r="A139" s="277">
        <v>630</v>
      </c>
      <c r="B139" s="275">
        <v>300</v>
      </c>
      <c r="C139" s="280">
        <v>200</v>
      </c>
      <c r="D139" s="281">
        <v>600</v>
      </c>
      <c r="E139" s="281"/>
      <c r="F139" s="281"/>
      <c r="G139" s="66" t="s">
        <v>337</v>
      </c>
      <c r="H139" s="363">
        <v>170375.1</v>
      </c>
      <c r="I139" s="363"/>
      <c r="J139" s="68"/>
      <c r="L139" s="363"/>
    </row>
    <row r="140" spans="1:12">
      <c r="A140" s="277">
        <v>630</v>
      </c>
      <c r="B140" s="275">
        <v>300</v>
      </c>
      <c r="C140" s="280">
        <v>200</v>
      </c>
      <c r="D140" s="281">
        <v>650</v>
      </c>
      <c r="E140" s="281"/>
      <c r="F140" s="281"/>
      <c r="G140" s="66" t="s">
        <v>338</v>
      </c>
      <c r="H140" s="363">
        <v>512405.43</v>
      </c>
      <c r="I140" s="363"/>
      <c r="J140" s="68"/>
      <c r="L140" s="363"/>
    </row>
    <row r="141" spans="1:12">
      <c r="A141" s="277">
        <v>630</v>
      </c>
      <c r="B141" s="275">
        <v>300</v>
      </c>
      <c r="C141" s="280">
        <v>200</v>
      </c>
      <c r="D141" s="281">
        <v>700</v>
      </c>
      <c r="E141" s="281"/>
      <c r="F141" s="281"/>
      <c r="G141" s="66" t="s">
        <v>339</v>
      </c>
      <c r="H141" s="363">
        <v>184450.01</v>
      </c>
      <c r="I141" s="363"/>
      <c r="J141" s="68"/>
      <c r="L141" s="363">
        <v>64697.7</v>
      </c>
    </row>
    <row r="142" spans="1:12">
      <c r="A142" s="277">
        <v>630</v>
      </c>
      <c r="B142" s="275">
        <v>300</v>
      </c>
      <c r="C142" s="280">
        <v>200</v>
      </c>
      <c r="D142" s="280">
        <v>750</v>
      </c>
      <c r="E142" s="280"/>
      <c r="F142" s="280"/>
      <c r="G142" s="63" t="s">
        <v>340</v>
      </c>
      <c r="H142" s="364"/>
      <c r="I142" s="364"/>
      <c r="J142" s="68"/>
      <c r="L142" s="364"/>
    </row>
    <row r="143" spans="1:12">
      <c r="A143" s="277">
        <v>630</v>
      </c>
      <c r="B143" s="275">
        <v>300</v>
      </c>
      <c r="C143" s="280">
        <v>200</v>
      </c>
      <c r="D143" s="280">
        <v>750</v>
      </c>
      <c r="E143" s="281">
        <v>10</v>
      </c>
      <c r="F143" s="281"/>
      <c r="G143" s="66" t="s">
        <v>341</v>
      </c>
      <c r="H143" s="363">
        <v>0</v>
      </c>
      <c r="I143" s="363"/>
      <c r="J143" s="68"/>
      <c r="L143" s="363"/>
    </row>
    <row r="144" spans="1:12">
      <c r="A144" s="277">
        <v>630</v>
      </c>
      <c r="B144" s="275">
        <v>300</v>
      </c>
      <c r="C144" s="280">
        <v>200</v>
      </c>
      <c r="D144" s="280">
        <v>750</v>
      </c>
      <c r="E144" s="281">
        <v>20</v>
      </c>
      <c r="F144" s="281"/>
      <c r="G144" s="66" t="s">
        <v>342</v>
      </c>
      <c r="H144" s="363">
        <v>0</v>
      </c>
      <c r="I144" s="363"/>
      <c r="J144" s="68"/>
      <c r="L144" s="363"/>
    </row>
    <row r="145" spans="1:12">
      <c r="A145" s="277">
        <v>630</v>
      </c>
      <c r="B145" s="275">
        <v>300</v>
      </c>
      <c r="C145" s="280">
        <v>200</v>
      </c>
      <c r="D145" s="281">
        <v>900</v>
      </c>
      <c r="E145" s="281"/>
      <c r="F145" s="281"/>
      <c r="G145" s="66" t="s">
        <v>343</v>
      </c>
      <c r="H145" s="363">
        <v>213295.72</v>
      </c>
      <c r="I145" s="363"/>
      <c r="J145" s="68"/>
      <c r="L145" s="363"/>
    </row>
    <row r="146" spans="1:12">
      <c r="A146" s="277">
        <v>630</v>
      </c>
      <c r="B146" s="275">
        <v>300</v>
      </c>
      <c r="C146" s="281">
        <v>300</v>
      </c>
      <c r="D146" s="281"/>
      <c r="E146" s="281"/>
      <c r="F146" s="281"/>
      <c r="G146" s="66" t="s">
        <v>344</v>
      </c>
      <c r="H146" s="363">
        <v>4270</v>
      </c>
      <c r="I146" s="363"/>
      <c r="J146" s="68"/>
      <c r="L146" s="363"/>
    </row>
    <row r="147" spans="1:12">
      <c r="A147" s="277">
        <v>630</v>
      </c>
      <c r="B147" s="275">
        <v>300</v>
      </c>
      <c r="C147" s="281">
        <v>400</v>
      </c>
      <c r="D147" s="281"/>
      <c r="E147" s="281"/>
      <c r="F147" s="281"/>
      <c r="G147" s="66" t="s">
        <v>345</v>
      </c>
      <c r="H147" s="363">
        <v>167159.6</v>
      </c>
      <c r="I147" s="363"/>
      <c r="J147" s="68"/>
      <c r="L147" s="363">
        <v>130720</v>
      </c>
    </row>
    <row r="148" spans="1:12">
      <c r="A148" s="277">
        <v>630</v>
      </c>
      <c r="B148" s="275">
        <v>300</v>
      </c>
      <c r="C148" s="281">
        <v>500</v>
      </c>
      <c r="D148" s="281"/>
      <c r="E148" s="281"/>
      <c r="F148" s="281"/>
      <c r="G148" s="66" t="s">
        <v>346</v>
      </c>
      <c r="H148" s="363">
        <v>61188.27</v>
      </c>
      <c r="I148" s="363"/>
      <c r="J148" s="68"/>
      <c r="L148" s="363">
        <v>52701.15</v>
      </c>
    </row>
    <row r="149" spans="1:12">
      <c r="A149" s="277">
        <v>630</v>
      </c>
      <c r="B149" s="275">
        <v>300</v>
      </c>
      <c r="C149" s="281">
        <v>600</v>
      </c>
      <c r="D149" s="281"/>
      <c r="E149" s="281"/>
      <c r="F149" s="281"/>
      <c r="G149" s="66" t="s">
        <v>347</v>
      </c>
      <c r="H149" s="363">
        <v>17622.400000000001</v>
      </c>
      <c r="I149" s="363"/>
      <c r="J149" s="68"/>
      <c r="L149" s="363">
        <v>0</v>
      </c>
    </row>
    <row r="150" spans="1:12">
      <c r="A150" s="277">
        <v>630</v>
      </c>
      <c r="B150" s="275">
        <v>300</v>
      </c>
      <c r="C150" s="281">
        <v>700</v>
      </c>
      <c r="D150" s="281"/>
      <c r="E150" s="281"/>
      <c r="F150" s="281"/>
      <c r="G150" s="66" t="s">
        <v>348</v>
      </c>
      <c r="H150" s="363">
        <v>158265.9</v>
      </c>
      <c r="I150" s="363"/>
      <c r="J150" s="68"/>
      <c r="L150" s="363">
        <v>125574.94</v>
      </c>
    </row>
    <row r="151" spans="1:12">
      <c r="A151" s="277">
        <v>630</v>
      </c>
      <c r="B151" s="275">
        <v>300</v>
      </c>
      <c r="C151" s="281">
        <v>800</v>
      </c>
      <c r="D151" s="281"/>
      <c r="E151" s="281"/>
      <c r="F151" s="281"/>
      <c r="G151" s="66" t="s">
        <v>349</v>
      </c>
      <c r="H151" s="363">
        <v>0</v>
      </c>
      <c r="I151" s="363"/>
      <c r="J151" s="68"/>
      <c r="L151" s="363"/>
    </row>
    <row r="152" spans="1:12">
      <c r="A152" s="277">
        <v>630</v>
      </c>
      <c r="B152" s="275">
        <v>300</v>
      </c>
      <c r="C152" s="280">
        <v>900</v>
      </c>
      <c r="D152" s="280"/>
      <c r="E152" s="280"/>
      <c r="F152" s="280"/>
      <c r="G152" s="63" t="s">
        <v>350</v>
      </c>
      <c r="H152" s="364"/>
      <c r="I152" s="364"/>
      <c r="J152" s="68"/>
      <c r="L152" s="364"/>
    </row>
    <row r="153" spans="1:12">
      <c r="A153" s="277">
        <v>630</v>
      </c>
      <c r="B153" s="275">
        <v>300</v>
      </c>
      <c r="C153" s="280">
        <v>900</v>
      </c>
      <c r="D153" s="281">
        <v>100</v>
      </c>
      <c r="E153" s="281"/>
      <c r="F153" s="281"/>
      <c r="G153" s="66" t="s">
        <v>351</v>
      </c>
      <c r="H153" s="363">
        <v>0</v>
      </c>
      <c r="I153" s="363"/>
      <c r="J153" s="68"/>
      <c r="L153" s="363"/>
    </row>
    <row r="154" spans="1:12">
      <c r="A154" s="277">
        <v>630</v>
      </c>
      <c r="B154" s="275">
        <v>300</v>
      </c>
      <c r="C154" s="280">
        <v>900</v>
      </c>
      <c r="D154" s="281">
        <v>900</v>
      </c>
      <c r="E154" s="281"/>
      <c r="F154" s="281"/>
      <c r="G154" s="66" t="s">
        <v>352</v>
      </c>
      <c r="H154" s="363">
        <v>0</v>
      </c>
      <c r="I154" s="363"/>
      <c r="J154" s="68"/>
      <c r="L154" s="363"/>
    </row>
    <row r="155" spans="1:12">
      <c r="A155" s="277">
        <v>630</v>
      </c>
      <c r="B155" s="275">
        <v>400</v>
      </c>
      <c r="C155" s="280"/>
      <c r="D155" s="275"/>
      <c r="E155" s="275"/>
      <c r="F155" s="275"/>
      <c r="G155" s="63" t="s">
        <v>353</v>
      </c>
      <c r="H155" s="364"/>
      <c r="I155" s="364"/>
      <c r="J155" s="64"/>
      <c r="L155" s="364"/>
    </row>
    <row r="156" spans="1:12">
      <c r="A156" s="277">
        <v>630</v>
      </c>
      <c r="B156" s="275">
        <v>400</v>
      </c>
      <c r="C156" s="276">
        <v>100</v>
      </c>
      <c r="D156" s="276"/>
      <c r="E156" s="276"/>
      <c r="F156" s="276"/>
      <c r="G156" s="66" t="s">
        <v>354</v>
      </c>
      <c r="H156" s="363">
        <v>363617.3</v>
      </c>
      <c r="I156" s="363"/>
      <c r="J156" s="64" t="s">
        <v>355</v>
      </c>
      <c r="L156" s="363">
        <v>363617.3</v>
      </c>
    </row>
    <row r="157" spans="1:12">
      <c r="A157" s="277">
        <v>630</v>
      </c>
      <c r="B157" s="275">
        <v>400</v>
      </c>
      <c r="C157" s="276">
        <v>200</v>
      </c>
      <c r="D157" s="276"/>
      <c r="E157" s="276"/>
      <c r="F157" s="276"/>
      <c r="G157" s="66" t="s">
        <v>356</v>
      </c>
      <c r="H157" s="363">
        <v>4798856.07</v>
      </c>
      <c r="I157" s="363"/>
      <c r="J157" s="64" t="s">
        <v>357</v>
      </c>
      <c r="L157" s="363">
        <v>4123556.51</v>
      </c>
    </row>
    <row r="158" spans="1:12">
      <c r="A158" s="277">
        <v>630</v>
      </c>
      <c r="B158" s="275">
        <v>400</v>
      </c>
      <c r="C158" s="276">
        <v>300</v>
      </c>
      <c r="D158" s="276"/>
      <c r="E158" s="276"/>
      <c r="F158" s="276"/>
      <c r="G158" s="66" t="s">
        <v>358</v>
      </c>
      <c r="H158" s="363">
        <v>4013.64</v>
      </c>
      <c r="I158" s="363"/>
      <c r="J158" s="64" t="s">
        <v>359</v>
      </c>
      <c r="L158" s="363"/>
    </row>
    <row r="159" spans="1:12" ht="25.5">
      <c r="A159" s="277">
        <v>630</v>
      </c>
      <c r="B159" s="275">
        <v>400</v>
      </c>
      <c r="C159" s="276">
        <v>400</v>
      </c>
      <c r="D159" s="276"/>
      <c r="E159" s="276"/>
      <c r="F159" s="276"/>
      <c r="G159" s="66" t="s">
        <v>360</v>
      </c>
      <c r="H159" s="363">
        <v>148102.92000000001</v>
      </c>
      <c r="I159" s="363"/>
      <c r="J159" s="64" t="s">
        <v>361</v>
      </c>
      <c r="L159" s="363">
        <v>140697.774</v>
      </c>
    </row>
    <row r="160" spans="1:12" ht="25.5">
      <c r="A160" s="277">
        <v>630</v>
      </c>
      <c r="B160" s="275">
        <v>400</v>
      </c>
      <c r="C160" s="275">
        <v>500</v>
      </c>
      <c r="D160" s="276"/>
      <c r="E160" s="276"/>
      <c r="F160" s="276"/>
      <c r="G160" s="66" t="s">
        <v>362</v>
      </c>
      <c r="H160" s="363">
        <v>291699</v>
      </c>
      <c r="I160" s="363"/>
      <c r="J160" s="64" t="s">
        <v>363</v>
      </c>
      <c r="L160" s="363">
        <v>288782.01</v>
      </c>
    </row>
    <row r="161" spans="1:12">
      <c r="A161" s="277">
        <v>630</v>
      </c>
      <c r="B161" s="275">
        <v>400</v>
      </c>
      <c r="C161" s="276">
        <v>600</v>
      </c>
      <c r="D161" s="276"/>
      <c r="E161" s="276"/>
      <c r="F161" s="276"/>
      <c r="G161" s="66" t="s">
        <v>364</v>
      </c>
      <c r="H161" s="363">
        <v>25000</v>
      </c>
      <c r="I161" s="363"/>
      <c r="J161" s="64" t="s">
        <v>365</v>
      </c>
      <c r="L161" s="363">
        <v>25000</v>
      </c>
    </row>
    <row r="162" spans="1:12" ht="25.5">
      <c r="A162" s="277">
        <v>630</v>
      </c>
      <c r="B162" s="275">
        <v>400</v>
      </c>
      <c r="C162" s="275">
        <v>700</v>
      </c>
      <c r="D162" s="276"/>
      <c r="E162" s="276"/>
      <c r="F162" s="276"/>
      <c r="G162" s="66" t="s">
        <v>366</v>
      </c>
      <c r="H162" s="363">
        <v>0</v>
      </c>
      <c r="I162" s="363"/>
      <c r="J162" s="64" t="s">
        <v>367</v>
      </c>
      <c r="L162" s="363"/>
    </row>
    <row r="163" spans="1:12">
      <c r="A163" s="272">
        <v>640</v>
      </c>
      <c r="B163" s="93">
        <v>0</v>
      </c>
      <c r="C163" s="93">
        <v>0</v>
      </c>
      <c r="D163" s="93">
        <v>0</v>
      </c>
      <c r="E163" s="93">
        <v>0</v>
      </c>
      <c r="F163" s="93">
        <v>0</v>
      </c>
      <c r="G163" s="60" t="s">
        <v>368</v>
      </c>
      <c r="H163" s="366"/>
      <c r="I163" s="366"/>
      <c r="J163" s="61"/>
      <c r="L163" s="366"/>
    </row>
    <row r="164" spans="1:12" s="62" customFormat="1">
      <c r="A164" s="277">
        <v>640</v>
      </c>
      <c r="B164" s="276">
        <v>100</v>
      </c>
      <c r="C164" s="276"/>
      <c r="D164" s="276"/>
      <c r="E164" s="276"/>
      <c r="F164" s="276"/>
      <c r="G164" s="66" t="s">
        <v>369</v>
      </c>
      <c r="H164" s="363">
        <v>170015.26</v>
      </c>
      <c r="I164" s="363"/>
      <c r="J164" s="64" t="s">
        <v>370</v>
      </c>
      <c r="L164" s="363">
        <v>18651.400000000001</v>
      </c>
    </row>
    <row r="165" spans="1:12">
      <c r="A165" s="277">
        <v>640</v>
      </c>
      <c r="B165" s="275">
        <v>200</v>
      </c>
      <c r="C165" s="275"/>
      <c r="D165" s="275"/>
      <c r="E165" s="275"/>
      <c r="F165" s="275"/>
      <c r="G165" s="63" t="s">
        <v>371</v>
      </c>
      <c r="H165" s="364"/>
      <c r="I165" s="364"/>
      <c r="J165" s="64"/>
      <c r="L165" s="364"/>
    </row>
    <row r="166" spans="1:12" ht="25.5">
      <c r="A166" s="277">
        <v>640</v>
      </c>
      <c r="B166" s="275">
        <v>200</v>
      </c>
      <c r="C166" s="276">
        <v>100</v>
      </c>
      <c r="D166" s="276"/>
      <c r="E166" s="276"/>
      <c r="F166" s="276"/>
      <c r="G166" s="66" t="s">
        <v>372</v>
      </c>
      <c r="H166" s="363">
        <v>496116.02</v>
      </c>
      <c r="I166" s="363"/>
      <c r="J166" s="64" t="s">
        <v>373</v>
      </c>
      <c r="L166" s="363"/>
    </row>
    <row r="167" spans="1:12">
      <c r="A167" s="277">
        <v>640</v>
      </c>
      <c r="B167" s="275">
        <v>200</v>
      </c>
      <c r="C167" s="276">
        <v>200</v>
      </c>
      <c r="D167" s="276"/>
      <c r="E167" s="276"/>
      <c r="F167" s="276"/>
      <c r="G167" s="66" t="s">
        <v>374</v>
      </c>
      <c r="H167" s="363"/>
      <c r="I167" s="363"/>
      <c r="J167" s="64" t="s">
        <v>375</v>
      </c>
      <c r="L167" s="363"/>
    </row>
    <row r="168" spans="1:12">
      <c r="A168" s="277">
        <v>640</v>
      </c>
      <c r="B168" s="275">
        <v>300</v>
      </c>
      <c r="C168" s="275"/>
      <c r="D168" s="275"/>
      <c r="E168" s="275"/>
      <c r="F168" s="275"/>
      <c r="G168" s="63" t="s">
        <v>376</v>
      </c>
      <c r="H168" s="364"/>
      <c r="I168" s="364"/>
      <c r="J168" s="64"/>
      <c r="L168" s="364"/>
    </row>
    <row r="169" spans="1:12" ht="25.5">
      <c r="A169" s="277">
        <v>640</v>
      </c>
      <c r="B169" s="275">
        <v>300</v>
      </c>
      <c r="C169" s="275">
        <v>100</v>
      </c>
      <c r="D169" s="276"/>
      <c r="E169" s="276"/>
      <c r="F169" s="276"/>
      <c r="G169" s="66" t="s">
        <v>377</v>
      </c>
      <c r="H169" s="363">
        <v>184219.45</v>
      </c>
      <c r="I169" s="363"/>
      <c r="J169" s="64" t="s">
        <v>378</v>
      </c>
      <c r="L169" s="363"/>
    </row>
    <row r="170" spans="1:12" ht="25.5">
      <c r="A170" s="277">
        <v>640</v>
      </c>
      <c r="B170" s="275">
        <v>300</v>
      </c>
      <c r="C170" s="275">
        <v>200</v>
      </c>
      <c r="D170" s="276"/>
      <c r="E170" s="276"/>
      <c r="F170" s="276"/>
      <c r="G170" s="66" t="s">
        <v>379</v>
      </c>
      <c r="H170" s="363">
        <v>18651.400000000001</v>
      </c>
      <c r="I170" s="363"/>
      <c r="J170" s="64" t="s">
        <v>380</v>
      </c>
      <c r="L170" s="363"/>
    </row>
    <row r="171" spans="1:12" ht="25.5">
      <c r="A171" s="277">
        <v>640</v>
      </c>
      <c r="B171" s="275">
        <v>300</v>
      </c>
      <c r="C171" s="275">
        <v>300</v>
      </c>
      <c r="D171" s="276"/>
      <c r="E171" s="276"/>
      <c r="F171" s="276"/>
      <c r="G171" s="63" t="s">
        <v>381</v>
      </c>
      <c r="H171" s="364"/>
      <c r="I171" s="364"/>
      <c r="J171" s="64" t="s">
        <v>382</v>
      </c>
      <c r="L171" s="364"/>
    </row>
    <row r="172" spans="1:12">
      <c r="A172" s="277">
        <v>640</v>
      </c>
      <c r="B172" s="275">
        <v>300</v>
      </c>
      <c r="C172" s="275">
        <v>300</v>
      </c>
      <c r="D172" s="276">
        <v>100</v>
      </c>
      <c r="E172" s="276"/>
      <c r="F172" s="276"/>
      <c r="G172" s="66" t="s">
        <v>344</v>
      </c>
      <c r="H172" s="363">
        <v>274240.8</v>
      </c>
      <c r="I172" s="363"/>
      <c r="J172" s="64"/>
      <c r="L172" s="363">
        <v>8428.2999999999993</v>
      </c>
    </row>
    <row r="173" spans="1:12">
      <c r="A173" s="277">
        <v>640</v>
      </c>
      <c r="B173" s="275">
        <v>300</v>
      </c>
      <c r="C173" s="275">
        <v>300</v>
      </c>
      <c r="D173" s="276">
        <v>200</v>
      </c>
      <c r="E173" s="276"/>
      <c r="F173" s="276"/>
      <c r="G173" s="66" t="s">
        <v>383</v>
      </c>
      <c r="H173" s="363">
        <v>15497.8</v>
      </c>
      <c r="I173" s="363"/>
      <c r="J173" s="64"/>
      <c r="L173" s="363">
        <v>0</v>
      </c>
    </row>
    <row r="174" spans="1:12">
      <c r="A174" s="277">
        <v>640</v>
      </c>
      <c r="B174" s="275">
        <v>300</v>
      </c>
      <c r="C174" s="275">
        <v>300</v>
      </c>
      <c r="D174" s="276">
        <v>900</v>
      </c>
      <c r="E174" s="276"/>
      <c r="F174" s="276"/>
      <c r="G174" s="66" t="s">
        <v>384</v>
      </c>
      <c r="H174" s="363">
        <v>861061.63</v>
      </c>
      <c r="I174" s="363"/>
      <c r="J174" s="64"/>
      <c r="L174" s="363">
        <v>183668.06</v>
      </c>
    </row>
    <row r="175" spans="1:12">
      <c r="A175" s="277">
        <v>640</v>
      </c>
      <c r="B175" s="275">
        <v>300</v>
      </c>
      <c r="C175" s="275">
        <v>400</v>
      </c>
      <c r="D175" s="275"/>
      <c r="E175" s="275"/>
      <c r="F175" s="275"/>
      <c r="G175" s="63" t="s">
        <v>385</v>
      </c>
      <c r="H175" s="363">
        <v>0</v>
      </c>
      <c r="I175" s="363"/>
      <c r="J175" s="64" t="s">
        <v>386</v>
      </c>
      <c r="L175" s="363"/>
    </row>
    <row r="176" spans="1:12">
      <c r="A176" s="277">
        <v>640</v>
      </c>
      <c r="B176" s="275">
        <v>400</v>
      </c>
      <c r="C176" s="275"/>
      <c r="D176" s="275"/>
      <c r="E176" s="275"/>
      <c r="F176" s="275"/>
      <c r="G176" s="63" t="s">
        <v>387</v>
      </c>
      <c r="H176" s="364"/>
      <c r="I176" s="364"/>
      <c r="J176" s="64" t="s">
        <v>388</v>
      </c>
      <c r="L176" s="364"/>
    </row>
    <row r="177" spans="1:12" ht="25.5">
      <c r="A177" s="277">
        <v>640</v>
      </c>
      <c r="B177" s="275">
        <v>400</v>
      </c>
      <c r="C177" s="276">
        <v>100</v>
      </c>
      <c r="D177" s="276"/>
      <c r="E177" s="276"/>
      <c r="F177" s="276"/>
      <c r="G177" s="66" t="s">
        <v>389</v>
      </c>
      <c r="H177" s="363">
        <v>229268.71</v>
      </c>
      <c r="I177" s="363"/>
      <c r="J177" s="64" t="s">
        <v>390</v>
      </c>
      <c r="L177" s="363"/>
    </row>
    <row r="178" spans="1:12">
      <c r="A178" s="277">
        <v>640</v>
      </c>
      <c r="B178" s="275">
        <v>400</v>
      </c>
      <c r="C178" s="276">
        <v>200</v>
      </c>
      <c r="D178" s="276"/>
      <c r="E178" s="276"/>
      <c r="F178" s="276"/>
      <c r="G178" s="66" t="s">
        <v>391</v>
      </c>
      <c r="H178" s="363">
        <v>0</v>
      </c>
      <c r="I178" s="363"/>
      <c r="J178" s="64" t="s">
        <v>392</v>
      </c>
      <c r="L178" s="363"/>
    </row>
    <row r="179" spans="1:12">
      <c r="A179" s="277">
        <v>640</v>
      </c>
      <c r="B179" s="275">
        <v>400</v>
      </c>
      <c r="C179" s="275">
        <v>300</v>
      </c>
      <c r="D179" s="275"/>
      <c r="E179" s="275"/>
      <c r="F179" s="275"/>
      <c r="G179" s="63" t="s">
        <v>393</v>
      </c>
      <c r="H179" s="364"/>
      <c r="I179" s="364"/>
      <c r="J179" s="64" t="s">
        <v>394</v>
      </c>
      <c r="L179" s="364"/>
    </row>
    <row r="180" spans="1:12">
      <c r="A180" s="277">
        <v>640</v>
      </c>
      <c r="B180" s="275">
        <v>400</v>
      </c>
      <c r="C180" s="275">
        <v>300</v>
      </c>
      <c r="D180" s="281">
        <v>100</v>
      </c>
      <c r="E180" s="281"/>
      <c r="F180" s="281"/>
      <c r="G180" s="66" t="s">
        <v>395</v>
      </c>
      <c r="H180" s="363">
        <v>0</v>
      </c>
      <c r="I180" s="363"/>
      <c r="J180" s="68"/>
      <c r="L180" s="363"/>
    </row>
    <row r="181" spans="1:12">
      <c r="A181" s="277">
        <v>640</v>
      </c>
      <c r="B181" s="275">
        <v>400</v>
      </c>
      <c r="C181" s="275">
        <v>300</v>
      </c>
      <c r="D181" s="281">
        <v>200</v>
      </c>
      <c r="E181" s="281"/>
      <c r="F181" s="281"/>
      <c r="G181" s="66" t="s">
        <v>396</v>
      </c>
      <c r="H181" s="363">
        <v>0</v>
      </c>
      <c r="I181" s="363"/>
      <c r="J181" s="68"/>
      <c r="L181" s="363"/>
    </row>
    <row r="182" spans="1:12">
      <c r="A182" s="277">
        <v>640</v>
      </c>
      <c r="B182" s="275">
        <v>400</v>
      </c>
      <c r="C182" s="275">
        <v>300</v>
      </c>
      <c r="D182" s="281">
        <v>300</v>
      </c>
      <c r="E182" s="281"/>
      <c r="F182" s="281"/>
      <c r="G182" s="66" t="s">
        <v>397</v>
      </c>
      <c r="H182" s="363">
        <v>1373621.74</v>
      </c>
      <c r="I182" s="363"/>
      <c r="J182" s="68"/>
      <c r="L182" s="363"/>
    </row>
    <row r="183" spans="1:12">
      <c r="A183" s="277">
        <v>640</v>
      </c>
      <c r="B183" s="275">
        <v>400</v>
      </c>
      <c r="C183" s="275">
        <v>300</v>
      </c>
      <c r="D183" s="281">
        <v>400</v>
      </c>
      <c r="E183" s="281"/>
      <c r="F183" s="281"/>
      <c r="G183" s="66" t="s">
        <v>398</v>
      </c>
      <c r="H183" s="363">
        <v>0</v>
      </c>
      <c r="I183" s="363"/>
      <c r="J183" s="68"/>
      <c r="L183" s="363"/>
    </row>
    <row r="184" spans="1:12">
      <c r="A184" s="277">
        <v>640</v>
      </c>
      <c r="B184" s="275">
        <v>400</v>
      </c>
      <c r="C184" s="275">
        <v>300</v>
      </c>
      <c r="D184" s="281">
        <v>500</v>
      </c>
      <c r="E184" s="281"/>
      <c r="F184" s="281"/>
      <c r="G184" s="66" t="s">
        <v>399</v>
      </c>
      <c r="H184" s="363">
        <v>0</v>
      </c>
      <c r="I184" s="363"/>
      <c r="J184" s="68"/>
      <c r="L184" s="363"/>
    </row>
    <row r="185" spans="1:12">
      <c r="A185" s="277">
        <v>640</v>
      </c>
      <c r="B185" s="275">
        <v>400</v>
      </c>
      <c r="C185" s="275">
        <v>300</v>
      </c>
      <c r="D185" s="281">
        <v>900</v>
      </c>
      <c r="E185" s="281"/>
      <c r="F185" s="281"/>
      <c r="G185" s="66" t="s">
        <v>393</v>
      </c>
      <c r="H185" s="363">
        <v>409721.25</v>
      </c>
      <c r="I185" s="363"/>
      <c r="J185" s="68"/>
      <c r="L185" s="363">
        <v>45002.53</v>
      </c>
    </row>
    <row r="186" spans="1:12">
      <c r="A186" s="277">
        <v>640</v>
      </c>
      <c r="B186" s="275">
        <v>500</v>
      </c>
      <c r="C186" s="275"/>
      <c r="D186" s="275"/>
      <c r="E186" s="275"/>
      <c r="F186" s="275"/>
      <c r="G186" s="63" t="s">
        <v>400</v>
      </c>
      <c r="H186" s="364"/>
      <c r="I186" s="364"/>
      <c r="J186" s="64" t="s">
        <v>401</v>
      </c>
      <c r="L186" s="364"/>
    </row>
    <row r="187" spans="1:12">
      <c r="A187" s="277">
        <v>640</v>
      </c>
      <c r="B187" s="275">
        <v>500</v>
      </c>
      <c r="C187" s="275">
        <v>100</v>
      </c>
      <c r="D187" s="275"/>
      <c r="E187" s="275"/>
      <c r="F187" s="275"/>
      <c r="G187" s="63" t="s">
        <v>402</v>
      </c>
      <c r="H187" s="364"/>
      <c r="I187" s="364"/>
      <c r="J187" s="64" t="s">
        <v>403</v>
      </c>
      <c r="L187" s="364"/>
    </row>
    <row r="188" spans="1:12">
      <c r="A188" s="277">
        <v>640</v>
      </c>
      <c r="B188" s="275">
        <v>500</v>
      </c>
      <c r="C188" s="275">
        <v>100</v>
      </c>
      <c r="D188" s="276">
        <v>100</v>
      </c>
      <c r="E188" s="276"/>
      <c r="F188" s="276"/>
      <c r="G188" s="66" t="s">
        <v>404</v>
      </c>
      <c r="H188" s="363"/>
      <c r="I188" s="363"/>
      <c r="J188" s="64" t="s">
        <v>405</v>
      </c>
      <c r="L188" s="363"/>
    </row>
    <row r="189" spans="1:12">
      <c r="A189" s="277">
        <v>640</v>
      </c>
      <c r="B189" s="275">
        <v>500</v>
      </c>
      <c r="C189" s="275">
        <v>100</v>
      </c>
      <c r="D189" s="276">
        <v>200</v>
      </c>
      <c r="E189" s="276"/>
      <c r="F189" s="276"/>
      <c r="G189" s="66" t="s">
        <v>406</v>
      </c>
      <c r="H189" s="363">
        <v>17126745.050000001</v>
      </c>
      <c r="I189" s="363"/>
      <c r="J189" s="64" t="s">
        <v>407</v>
      </c>
      <c r="L189" s="363">
        <v>17126745.050000001</v>
      </c>
    </row>
    <row r="190" spans="1:12">
      <c r="A190" s="277">
        <v>640</v>
      </c>
      <c r="B190" s="275">
        <v>500</v>
      </c>
      <c r="C190" s="275">
        <v>100</v>
      </c>
      <c r="D190" s="276">
        <v>300</v>
      </c>
      <c r="E190" s="276"/>
      <c r="F190" s="276"/>
      <c r="G190" s="66" t="s">
        <v>408</v>
      </c>
      <c r="H190" s="363">
        <v>3442472.62</v>
      </c>
      <c r="I190" s="363"/>
      <c r="J190" s="64" t="s">
        <v>409</v>
      </c>
      <c r="L190" s="363">
        <v>3442472.62</v>
      </c>
    </row>
    <row r="191" spans="1:12">
      <c r="A191" s="277">
        <v>640</v>
      </c>
      <c r="B191" s="275">
        <v>500</v>
      </c>
      <c r="C191" s="275">
        <v>150</v>
      </c>
      <c r="D191" s="276"/>
      <c r="E191" s="276"/>
      <c r="F191" s="276"/>
      <c r="G191" s="66" t="s">
        <v>410</v>
      </c>
      <c r="H191" s="363">
        <v>0</v>
      </c>
      <c r="I191" s="363"/>
      <c r="J191" s="64" t="s">
        <v>411</v>
      </c>
      <c r="L191" s="363"/>
    </row>
    <row r="192" spans="1:12">
      <c r="A192" s="277">
        <v>640</v>
      </c>
      <c r="B192" s="275">
        <v>500</v>
      </c>
      <c r="C192" s="275">
        <v>200</v>
      </c>
      <c r="D192" s="275"/>
      <c r="E192" s="275"/>
      <c r="F192" s="275"/>
      <c r="G192" s="63" t="s">
        <v>412</v>
      </c>
      <c r="H192" s="364"/>
      <c r="I192" s="364"/>
      <c r="J192" s="64" t="s">
        <v>413</v>
      </c>
      <c r="L192" s="364"/>
    </row>
    <row r="193" spans="1:12">
      <c r="A193" s="277">
        <v>640</v>
      </c>
      <c r="B193" s="275">
        <v>500</v>
      </c>
      <c r="C193" s="275">
        <v>200</v>
      </c>
      <c r="D193" s="281">
        <v>50</v>
      </c>
      <c r="E193" s="281"/>
      <c r="F193" s="281"/>
      <c r="G193" s="66" t="s">
        <v>414</v>
      </c>
      <c r="H193" s="363">
        <v>0</v>
      </c>
      <c r="I193" s="363"/>
      <c r="J193" s="68"/>
      <c r="L193" s="363"/>
    </row>
    <row r="194" spans="1:12">
      <c r="A194" s="277">
        <v>640</v>
      </c>
      <c r="B194" s="275">
        <v>500</v>
      </c>
      <c r="C194" s="275">
        <v>200</v>
      </c>
      <c r="D194" s="281">
        <v>100</v>
      </c>
      <c r="E194" s="281"/>
      <c r="F194" s="281"/>
      <c r="G194" s="66" t="s">
        <v>415</v>
      </c>
      <c r="H194" s="363">
        <v>306508.96999999997</v>
      </c>
      <c r="I194" s="363"/>
      <c r="J194" s="68"/>
      <c r="L194" s="363">
        <v>219164.82</v>
      </c>
    </row>
    <row r="195" spans="1:12">
      <c r="A195" s="277">
        <v>640</v>
      </c>
      <c r="B195" s="275">
        <v>500</v>
      </c>
      <c r="C195" s="275">
        <v>200</v>
      </c>
      <c r="D195" s="281">
        <v>150</v>
      </c>
      <c r="E195" s="281"/>
      <c r="F195" s="281"/>
      <c r="G195" s="66" t="s">
        <v>416</v>
      </c>
      <c r="H195" s="363">
        <v>0</v>
      </c>
      <c r="I195" s="363"/>
      <c r="J195" s="68"/>
      <c r="L195" s="363"/>
    </row>
    <row r="196" spans="1:12">
      <c r="A196" s="277">
        <v>640</v>
      </c>
      <c r="B196" s="275">
        <v>500</v>
      </c>
      <c r="C196" s="275">
        <v>200</v>
      </c>
      <c r="D196" s="281">
        <v>200</v>
      </c>
      <c r="E196" s="281"/>
      <c r="F196" s="281"/>
      <c r="G196" s="66" t="s">
        <v>417</v>
      </c>
      <c r="H196" s="363">
        <v>89948.08</v>
      </c>
      <c r="I196" s="363"/>
      <c r="J196" s="68"/>
      <c r="L196" s="363">
        <v>52700</v>
      </c>
    </row>
    <row r="197" spans="1:12">
      <c r="A197" s="277">
        <v>640</v>
      </c>
      <c r="B197" s="275">
        <v>500</v>
      </c>
      <c r="C197" s="275">
        <v>200</v>
      </c>
      <c r="D197" s="281">
        <v>250</v>
      </c>
      <c r="E197" s="281"/>
      <c r="F197" s="281"/>
      <c r="G197" s="66" t="s">
        <v>418</v>
      </c>
      <c r="H197" s="363">
        <v>2201.5500000000002</v>
      </c>
      <c r="I197" s="363"/>
      <c r="J197" s="68"/>
      <c r="L197" s="363">
        <v>32</v>
      </c>
    </row>
    <row r="198" spans="1:12">
      <c r="A198" s="277">
        <v>640</v>
      </c>
      <c r="B198" s="275">
        <v>500</v>
      </c>
      <c r="C198" s="275">
        <v>200</v>
      </c>
      <c r="D198" s="281">
        <v>300</v>
      </c>
      <c r="E198" s="281"/>
      <c r="F198" s="281"/>
      <c r="G198" s="66" t="s">
        <v>419</v>
      </c>
      <c r="H198" s="363">
        <v>410648.15</v>
      </c>
      <c r="I198" s="363"/>
      <c r="J198" s="68"/>
      <c r="L198" s="363">
        <v>246388.89</v>
      </c>
    </row>
    <row r="199" spans="1:12">
      <c r="A199" s="277">
        <v>640</v>
      </c>
      <c r="B199" s="275">
        <v>500</v>
      </c>
      <c r="C199" s="275">
        <v>200</v>
      </c>
      <c r="D199" s="281">
        <v>350</v>
      </c>
      <c r="E199" s="281"/>
      <c r="F199" s="281"/>
      <c r="G199" s="66" t="s">
        <v>420</v>
      </c>
      <c r="H199" s="363">
        <v>117.65</v>
      </c>
      <c r="I199" s="363"/>
      <c r="J199" s="68"/>
      <c r="L199" s="363">
        <v>17.649999999999999</v>
      </c>
    </row>
    <row r="200" spans="1:12">
      <c r="A200" s="277">
        <v>640</v>
      </c>
      <c r="B200" s="275">
        <v>500</v>
      </c>
      <c r="C200" s="275">
        <v>200</v>
      </c>
      <c r="D200" s="281">
        <v>400</v>
      </c>
      <c r="E200" s="281"/>
      <c r="F200" s="281"/>
      <c r="G200" s="66" t="s">
        <v>421</v>
      </c>
      <c r="H200" s="363">
        <v>13554.1</v>
      </c>
      <c r="I200" s="363"/>
      <c r="J200" s="68"/>
      <c r="L200" s="363">
        <v>6007.4299999999994</v>
      </c>
    </row>
    <row r="201" spans="1:12">
      <c r="A201" s="277">
        <v>640</v>
      </c>
      <c r="B201" s="275">
        <v>500</v>
      </c>
      <c r="C201" s="275">
        <v>200</v>
      </c>
      <c r="D201" s="281">
        <v>450</v>
      </c>
      <c r="E201" s="281"/>
      <c r="F201" s="281"/>
      <c r="G201" s="66" t="s">
        <v>422</v>
      </c>
      <c r="H201" s="363">
        <v>7079.38</v>
      </c>
      <c r="I201" s="363"/>
      <c r="J201" s="68"/>
      <c r="L201" s="363">
        <v>0</v>
      </c>
    </row>
    <row r="202" spans="1:12">
      <c r="A202" s="277">
        <v>640</v>
      </c>
      <c r="B202" s="275">
        <v>500</v>
      </c>
      <c r="C202" s="275">
        <v>200</v>
      </c>
      <c r="D202" s="281">
        <v>500</v>
      </c>
      <c r="E202" s="281"/>
      <c r="F202" s="281"/>
      <c r="G202" s="66" t="s">
        <v>423</v>
      </c>
      <c r="H202" s="363">
        <v>10661.34</v>
      </c>
      <c r="I202" s="363"/>
      <c r="J202" s="68"/>
      <c r="L202" s="363">
        <v>5180.41</v>
      </c>
    </row>
    <row r="203" spans="1:12">
      <c r="A203" s="277">
        <v>640</v>
      </c>
      <c r="B203" s="275">
        <v>500</v>
      </c>
      <c r="C203" s="275">
        <v>200</v>
      </c>
      <c r="D203" s="281">
        <v>550</v>
      </c>
      <c r="E203" s="281"/>
      <c r="F203" s="281"/>
      <c r="G203" s="66" t="s">
        <v>424</v>
      </c>
      <c r="H203" s="363">
        <v>0</v>
      </c>
      <c r="I203" s="363"/>
      <c r="J203" s="68"/>
      <c r="L203" s="363">
        <v>0</v>
      </c>
    </row>
    <row r="204" spans="1:12">
      <c r="A204" s="277">
        <v>640</v>
      </c>
      <c r="B204" s="275">
        <v>500</v>
      </c>
      <c r="C204" s="275">
        <v>200</v>
      </c>
      <c r="D204" s="281">
        <v>600</v>
      </c>
      <c r="E204" s="281"/>
      <c r="F204" s="281"/>
      <c r="G204" s="66" t="s">
        <v>425</v>
      </c>
      <c r="H204" s="363">
        <v>10780.82</v>
      </c>
      <c r="I204" s="363"/>
      <c r="J204" s="68"/>
      <c r="L204" s="363"/>
    </row>
    <row r="205" spans="1:12">
      <c r="A205" s="277">
        <v>640</v>
      </c>
      <c r="B205" s="275">
        <v>500</v>
      </c>
      <c r="C205" s="275">
        <v>200</v>
      </c>
      <c r="D205" s="281">
        <v>900</v>
      </c>
      <c r="E205" s="281"/>
      <c r="F205" s="281"/>
      <c r="G205" s="66" t="s">
        <v>412</v>
      </c>
      <c r="H205" s="363">
        <v>194573.32</v>
      </c>
      <c r="I205" s="363"/>
      <c r="J205" s="68"/>
      <c r="L205" s="363">
        <v>116743.992</v>
      </c>
    </row>
    <row r="206" spans="1:12">
      <c r="A206" s="272">
        <v>650</v>
      </c>
      <c r="B206" s="93">
        <v>0</v>
      </c>
      <c r="C206" s="93">
        <v>0</v>
      </c>
      <c r="D206" s="93">
        <v>0</v>
      </c>
      <c r="E206" s="93">
        <v>0</v>
      </c>
      <c r="F206" s="93">
        <v>0</v>
      </c>
      <c r="G206" s="60" t="s">
        <v>426</v>
      </c>
      <c r="H206" s="366"/>
      <c r="I206" s="366"/>
      <c r="J206" s="61" t="s">
        <v>427</v>
      </c>
      <c r="L206" s="366"/>
    </row>
    <row r="207" spans="1:12" s="62" customFormat="1" ht="25.5">
      <c r="A207" s="277">
        <v>650</v>
      </c>
      <c r="B207" s="276">
        <v>100</v>
      </c>
      <c r="C207" s="276"/>
      <c r="D207" s="276"/>
      <c r="E207" s="276"/>
      <c r="F207" s="276"/>
      <c r="G207" s="66" t="s">
        <v>2127</v>
      </c>
      <c r="H207" s="363">
        <v>6465701.1500000004</v>
      </c>
      <c r="I207" s="363"/>
      <c r="J207" s="64" t="s">
        <v>428</v>
      </c>
      <c r="L207" s="363">
        <v>4852437.1399999997</v>
      </c>
    </row>
    <row r="208" spans="1:12" ht="25.5">
      <c r="A208" s="277">
        <v>650</v>
      </c>
      <c r="B208" s="276">
        <v>200</v>
      </c>
      <c r="C208" s="276"/>
      <c r="D208" s="276"/>
      <c r="E208" s="276"/>
      <c r="F208" s="276"/>
      <c r="G208" s="66" t="s">
        <v>429</v>
      </c>
      <c r="H208" s="363">
        <v>80327.33</v>
      </c>
      <c r="I208" s="363"/>
      <c r="J208" s="64" t="s">
        <v>430</v>
      </c>
      <c r="L208" s="363">
        <v>75102.33</v>
      </c>
    </row>
    <row r="209" spans="1:12">
      <c r="A209" s="277">
        <v>650</v>
      </c>
      <c r="B209" s="276">
        <v>300</v>
      </c>
      <c r="C209" s="276"/>
      <c r="D209" s="276"/>
      <c r="E209" s="276"/>
      <c r="F209" s="276"/>
      <c r="G209" s="66" t="s">
        <v>431</v>
      </c>
      <c r="H209" s="363">
        <v>646452</v>
      </c>
      <c r="I209" s="363"/>
      <c r="J209" s="64" t="s">
        <v>432</v>
      </c>
      <c r="L209" s="363">
        <v>646452</v>
      </c>
    </row>
    <row r="210" spans="1:12">
      <c r="A210" s="272">
        <v>660</v>
      </c>
      <c r="B210" s="93">
        <v>0</v>
      </c>
      <c r="C210" s="93">
        <v>0</v>
      </c>
      <c r="D210" s="93">
        <v>0</v>
      </c>
      <c r="E210" s="93">
        <v>0</v>
      </c>
      <c r="F210" s="93">
        <v>0</v>
      </c>
      <c r="G210" s="60" t="s">
        <v>433</v>
      </c>
      <c r="H210" s="366"/>
      <c r="I210" s="366"/>
      <c r="J210" s="61" t="s">
        <v>434</v>
      </c>
      <c r="L210" s="366">
        <v>0</v>
      </c>
    </row>
    <row r="211" spans="1:12" s="62" customFormat="1">
      <c r="A211" s="277">
        <v>660</v>
      </c>
      <c r="B211" s="276">
        <v>100</v>
      </c>
      <c r="C211" s="276"/>
      <c r="D211" s="276"/>
      <c r="E211" s="276"/>
      <c r="F211" s="276"/>
      <c r="G211" s="66" t="s">
        <v>435</v>
      </c>
      <c r="H211" s="363">
        <v>0</v>
      </c>
      <c r="I211" s="363"/>
      <c r="J211" s="64" t="s">
        <v>436</v>
      </c>
      <c r="L211" s="363">
        <v>0</v>
      </c>
    </row>
    <row r="212" spans="1:12" ht="25.5">
      <c r="A212" s="277">
        <v>660</v>
      </c>
      <c r="B212" s="276">
        <v>200</v>
      </c>
      <c r="C212" s="276"/>
      <c r="D212" s="276"/>
      <c r="E212" s="276"/>
      <c r="F212" s="276"/>
      <c r="G212" s="66" t="s">
        <v>437</v>
      </c>
      <c r="H212" s="363">
        <v>19122321.719999999</v>
      </c>
      <c r="I212" s="363"/>
      <c r="J212" s="64" t="s">
        <v>438</v>
      </c>
      <c r="L212" s="363">
        <v>14879498.595050085</v>
      </c>
    </row>
    <row r="213" spans="1:12">
      <c r="A213" s="277">
        <v>660</v>
      </c>
      <c r="B213" s="276">
        <v>300</v>
      </c>
      <c r="C213" s="276"/>
      <c r="D213" s="276"/>
      <c r="E213" s="276"/>
      <c r="F213" s="276"/>
      <c r="G213" s="66" t="s">
        <v>439</v>
      </c>
      <c r="H213" s="363">
        <v>4307212.21</v>
      </c>
      <c r="I213" s="363"/>
      <c r="J213" s="64" t="s">
        <v>440</v>
      </c>
      <c r="L213" s="363">
        <v>4095786.4179272968</v>
      </c>
    </row>
    <row r="214" spans="1:12" ht="25.5">
      <c r="A214" s="277">
        <v>660</v>
      </c>
      <c r="B214" s="276">
        <v>400</v>
      </c>
      <c r="C214" s="276"/>
      <c r="D214" s="276"/>
      <c r="E214" s="276"/>
      <c r="F214" s="276"/>
      <c r="G214" s="66" t="s">
        <v>441</v>
      </c>
      <c r="H214" s="363">
        <v>68811.95</v>
      </c>
      <c r="I214" s="363"/>
      <c r="J214" s="64" t="s">
        <v>442</v>
      </c>
      <c r="L214" s="363">
        <v>0</v>
      </c>
    </row>
    <row r="215" spans="1:12" ht="25.5">
      <c r="A215" s="277">
        <v>660</v>
      </c>
      <c r="B215" s="276">
        <v>500</v>
      </c>
      <c r="C215" s="276"/>
      <c r="D215" s="276"/>
      <c r="E215" s="276"/>
      <c r="F215" s="276"/>
      <c r="G215" s="66" t="s">
        <v>443</v>
      </c>
      <c r="H215" s="363">
        <v>335.42</v>
      </c>
      <c r="I215" s="363"/>
      <c r="J215" s="64" t="s">
        <v>444</v>
      </c>
      <c r="L215" s="363">
        <v>31997.82</v>
      </c>
    </row>
    <row r="216" spans="1:12">
      <c r="A216" s="277">
        <v>660</v>
      </c>
      <c r="B216" s="276">
        <v>600</v>
      </c>
      <c r="C216" s="276"/>
      <c r="D216" s="276"/>
      <c r="E216" s="276"/>
      <c r="F216" s="276"/>
      <c r="G216" s="66" t="s">
        <v>445</v>
      </c>
      <c r="H216" s="363">
        <v>1364953.4</v>
      </c>
      <c r="I216" s="363"/>
      <c r="J216" s="64" t="s">
        <v>446</v>
      </c>
      <c r="L216" s="363">
        <v>987017.41611830844</v>
      </c>
    </row>
    <row r="217" spans="1:12">
      <c r="A217" s="294">
        <v>670</v>
      </c>
      <c r="B217" s="282">
        <v>0</v>
      </c>
      <c r="C217" s="282">
        <v>0</v>
      </c>
      <c r="D217" s="282">
        <v>0</v>
      </c>
      <c r="E217" s="282">
        <v>0</v>
      </c>
      <c r="F217" s="282">
        <v>0</v>
      </c>
      <c r="G217" s="83" t="s">
        <v>30</v>
      </c>
      <c r="H217" s="363">
        <v>0</v>
      </c>
      <c r="I217" s="363"/>
      <c r="J217" s="246" t="s">
        <v>447</v>
      </c>
      <c r="L217" s="363">
        <v>0</v>
      </c>
    </row>
    <row r="218" spans="1:12" s="62" customFormat="1">
      <c r="A218" s="272">
        <v>680</v>
      </c>
      <c r="B218" s="93">
        <v>0</v>
      </c>
      <c r="C218" s="93">
        <v>0</v>
      </c>
      <c r="D218" s="93">
        <v>0</v>
      </c>
      <c r="E218" s="93">
        <v>0</v>
      </c>
      <c r="F218" s="93">
        <v>0</v>
      </c>
      <c r="G218" s="60" t="s">
        <v>31</v>
      </c>
      <c r="H218" s="366"/>
      <c r="I218" s="366"/>
      <c r="J218" s="61" t="s">
        <v>448</v>
      </c>
      <c r="L218" s="366"/>
    </row>
    <row r="219" spans="1:12" s="62" customFormat="1">
      <c r="A219" s="277">
        <v>680</v>
      </c>
      <c r="B219" s="275">
        <v>100</v>
      </c>
      <c r="C219" s="275"/>
      <c r="D219" s="275"/>
      <c r="E219" s="275"/>
      <c r="F219" s="275"/>
      <c r="G219" s="63" t="s">
        <v>449</v>
      </c>
      <c r="H219" s="364"/>
      <c r="I219" s="364"/>
      <c r="J219" s="64" t="s">
        <v>450</v>
      </c>
      <c r="L219" s="364"/>
    </row>
    <row r="220" spans="1:12">
      <c r="A220" s="277">
        <v>680</v>
      </c>
      <c r="B220" s="275">
        <v>100</v>
      </c>
      <c r="C220" s="281">
        <v>100</v>
      </c>
      <c r="D220" s="281"/>
      <c r="E220" s="281"/>
      <c r="F220" s="281"/>
      <c r="G220" s="66" t="s">
        <v>451</v>
      </c>
      <c r="H220" s="363">
        <v>0</v>
      </c>
      <c r="I220" s="363"/>
      <c r="J220" s="68"/>
      <c r="L220" s="363"/>
    </row>
    <row r="221" spans="1:12">
      <c r="A221" s="277">
        <v>680</v>
      </c>
      <c r="B221" s="275">
        <v>100</v>
      </c>
      <c r="C221" s="281">
        <v>200</v>
      </c>
      <c r="D221" s="281"/>
      <c r="E221" s="281"/>
      <c r="F221" s="281"/>
      <c r="G221" s="66" t="s">
        <v>452</v>
      </c>
      <c r="H221" s="363">
        <v>0</v>
      </c>
      <c r="I221" s="363"/>
      <c r="J221" s="68"/>
      <c r="L221" s="363"/>
    </row>
    <row r="222" spans="1:12">
      <c r="A222" s="277">
        <v>680</v>
      </c>
      <c r="B222" s="275">
        <v>100</v>
      </c>
      <c r="C222" s="281">
        <v>900</v>
      </c>
      <c r="D222" s="281"/>
      <c r="E222" s="281"/>
      <c r="F222" s="281"/>
      <c r="G222" s="66" t="s">
        <v>453</v>
      </c>
      <c r="H222" s="363">
        <v>0</v>
      </c>
      <c r="I222" s="363"/>
      <c r="J222" s="68"/>
      <c r="L222" s="363"/>
    </row>
    <row r="223" spans="1:12">
      <c r="A223" s="277">
        <v>680</v>
      </c>
      <c r="B223" s="275">
        <v>200</v>
      </c>
      <c r="C223" s="275"/>
      <c r="D223" s="275"/>
      <c r="E223" s="275"/>
      <c r="F223" s="275"/>
      <c r="G223" s="63" t="s">
        <v>454</v>
      </c>
      <c r="H223" s="364"/>
      <c r="I223" s="364"/>
      <c r="J223" s="64" t="s">
        <v>455</v>
      </c>
      <c r="L223" s="364"/>
    </row>
    <row r="224" spans="1:12">
      <c r="A224" s="277">
        <v>680</v>
      </c>
      <c r="B224" s="275">
        <v>200</v>
      </c>
      <c r="C224" s="281">
        <v>100</v>
      </c>
      <c r="D224" s="281"/>
      <c r="E224" s="281"/>
      <c r="F224" s="281"/>
      <c r="G224" s="66" t="s">
        <v>456</v>
      </c>
      <c r="H224" s="363">
        <v>20361</v>
      </c>
      <c r="I224" s="363"/>
      <c r="J224" s="68"/>
      <c r="L224" s="363"/>
    </row>
    <row r="225" spans="1:12">
      <c r="A225" s="277">
        <v>680</v>
      </c>
      <c r="B225" s="275">
        <v>200</v>
      </c>
      <c r="C225" s="281">
        <v>200</v>
      </c>
      <c r="D225" s="281"/>
      <c r="E225" s="281"/>
      <c r="F225" s="281"/>
      <c r="G225" s="66" t="s">
        <v>457</v>
      </c>
      <c r="H225" s="363">
        <v>125946.67</v>
      </c>
      <c r="I225" s="363"/>
      <c r="J225" s="68"/>
      <c r="L225" s="363"/>
    </row>
    <row r="226" spans="1:12">
      <c r="A226" s="277">
        <v>680</v>
      </c>
      <c r="B226" s="275">
        <v>200</v>
      </c>
      <c r="C226" s="281">
        <v>900</v>
      </c>
      <c r="D226" s="281"/>
      <c r="E226" s="281"/>
      <c r="F226" s="281"/>
      <c r="G226" s="66" t="s">
        <v>458</v>
      </c>
      <c r="H226" s="363">
        <v>109864.59</v>
      </c>
      <c r="I226" s="363"/>
      <c r="J226" s="68"/>
      <c r="L226" s="363"/>
    </row>
    <row r="227" spans="1:12">
      <c r="A227" s="277">
        <v>680</v>
      </c>
      <c r="B227" s="284">
        <v>300</v>
      </c>
      <c r="C227" s="275"/>
      <c r="D227" s="275"/>
      <c r="E227" s="275"/>
      <c r="F227" s="275"/>
      <c r="G227" s="71" t="s">
        <v>459</v>
      </c>
      <c r="H227" s="364"/>
      <c r="I227" s="364"/>
      <c r="J227" s="64" t="s">
        <v>460</v>
      </c>
      <c r="L227" s="364"/>
    </row>
    <row r="228" spans="1:12">
      <c r="A228" s="277">
        <v>680</v>
      </c>
      <c r="B228" s="284">
        <v>300</v>
      </c>
      <c r="C228" s="281">
        <v>100</v>
      </c>
      <c r="D228" s="281"/>
      <c r="E228" s="281"/>
      <c r="F228" s="281"/>
      <c r="G228" s="66" t="s">
        <v>461</v>
      </c>
      <c r="H228" s="363">
        <v>498400.2</v>
      </c>
      <c r="I228" s="363"/>
      <c r="J228" s="68"/>
      <c r="L228" s="363">
        <v>498400.2</v>
      </c>
    </row>
    <row r="229" spans="1:12">
      <c r="A229" s="277">
        <v>680</v>
      </c>
      <c r="B229" s="284">
        <v>300</v>
      </c>
      <c r="C229" s="281">
        <v>200</v>
      </c>
      <c r="D229" s="281"/>
      <c r="E229" s="281"/>
      <c r="F229" s="281"/>
      <c r="G229" s="66" t="s">
        <v>462</v>
      </c>
      <c r="H229" s="363">
        <v>0</v>
      </c>
      <c r="I229" s="363"/>
      <c r="J229" s="68"/>
      <c r="L229" s="363"/>
    </row>
    <row r="230" spans="1:12">
      <c r="A230" s="277">
        <v>680</v>
      </c>
      <c r="B230" s="275">
        <v>300</v>
      </c>
      <c r="C230" s="281">
        <v>900</v>
      </c>
      <c r="D230" s="281"/>
      <c r="E230" s="281"/>
      <c r="F230" s="281"/>
      <c r="G230" s="66" t="s">
        <v>459</v>
      </c>
      <c r="H230" s="363">
        <v>238029.11</v>
      </c>
      <c r="I230" s="363"/>
      <c r="J230" s="68"/>
      <c r="L230" s="363">
        <v>50627.9</v>
      </c>
    </row>
    <row r="231" spans="1:12">
      <c r="A231" s="272">
        <v>690</v>
      </c>
      <c r="B231" s="93">
        <v>0</v>
      </c>
      <c r="C231" s="93">
        <v>0</v>
      </c>
      <c r="D231" s="93">
        <v>0</v>
      </c>
      <c r="E231" s="93">
        <v>0</v>
      </c>
      <c r="F231" s="93">
        <v>0</v>
      </c>
      <c r="G231" s="60" t="s">
        <v>463</v>
      </c>
      <c r="H231" s="366"/>
      <c r="I231" s="366"/>
      <c r="J231" s="61" t="s">
        <v>464</v>
      </c>
      <c r="L231" s="366"/>
    </row>
    <row r="232" spans="1:12">
      <c r="A232" s="286">
        <v>690</v>
      </c>
      <c r="B232" s="281">
        <v>100</v>
      </c>
      <c r="C232" s="281"/>
      <c r="D232" s="281"/>
      <c r="E232" s="281"/>
      <c r="F232" s="281"/>
      <c r="G232" s="66" t="s">
        <v>465</v>
      </c>
      <c r="H232" s="363">
        <v>0.39</v>
      </c>
      <c r="I232" s="363"/>
      <c r="J232" s="68" t="s">
        <v>466</v>
      </c>
      <c r="L232" s="363"/>
    </row>
    <row r="233" spans="1:12">
      <c r="A233" s="286">
        <v>690</v>
      </c>
      <c r="B233" s="280">
        <v>200</v>
      </c>
      <c r="C233" s="280"/>
      <c r="D233" s="280"/>
      <c r="E233" s="280"/>
      <c r="F233" s="280"/>
      <c r="G233" s="63" t="s">
        <v>467</v>
      </c>
      <c r="H233" s="364"/>
      <c r="I233" s="364"/>
      <c r="J233" s="68" t="s">
        <v>468</v>
      </c>
      <c r="L233" s="364"/>
    </row>
    <row r="234" spans="1:12">
      <c r="A234" s="286">
        <v>690</v>
      </c>
      <c r="B234" s="280">
        <v>200</v>
      </c>
      <c r="C234" s="281">
        <v>100</v>
      </c>
      <c r="D234" s="281"/>
      <c r="E234" s="281"/>
      <c r="F234" s="281"/>
      <c r="G234" s="72" t="s">
        <v>469</v>
      </c>
      <c r="H234" s="363">
        <v>0</v>
      </c>
      <c r="I234" s="363"/>
      <c r="J234" s="68"/>
      <c r="L234" s="363"/>
    </row>
    <row r="235" spans="1:12">
      <c r="A235" s="286">
        <v>690</v>
      </c>
      <c r="B235" s="280">
        <v>200</v>
      </c>
      <c r="C235" s="295">
        <v>200</v>
      </c>
      <c r="D235" s="295"/>
      <c r="E235" s="295"/>
      <c r="F235" s="295"/>
      <c r="G235" s="73" t="s">
        <v>470</v>
      </c>
      <c r="H235" s="363">
        <v>0</v>
      </c>
      <c r="I235" s="363"/>
      <c r="J235" s="68"/>
      <c r="L235" s="363"/>
    </row>
    <row r="236" spans="1:12">
      <c r="A236" s="286">
        <v>690</v>
      </c>
      <c r="B236" s="280">
        <v>300</v>
      </c>
      <c r="C236" s="280"/>
      <c r="D236" s="280"/>
      <c r="E236" s="280"/>
      <c r="F236" s="280"/>
      <c r="G236" s="63" t="s">
        <v>471</v>
      </c>
      <c r="H236" s="364"/>
      <c r="I236" s="364"/>
      <c r="J236" s="68" t="s">
        <v>472</v>
      </c>
      <c r="L236" s="364"/>
    </row>
    <row r="237" spans="1:12">
      <c r="A237" s="286">
        <v>690</v>
      </c>
      <c r="B237" s="280">
        <v>300</v>
      </c>
      <c r="C237" s="281">
        <v>100</v>
      </c>
      <c r="D237" s="281"/>
      <c r="E237" s="281"/>
      <c r="F237" s="281"/>
      <c r="G237" s="72" t="s">
        <v>473</v>
      </c>
      <c r="H237" s="363">
        <v>0</v>
      </c>
      <c r="I237" s="363"/>
      <c r="J237" s="68"/>
      <c r="L237" s="363"/>
    </row>
    <row r="238" spans="1:12">
      <c r="A238" s="286">
        <v>690</v>
      </c>
      <c r="B238" s="280">
        <v>300</v>
      </c>
      <c r="C238" s="281">
        <v>200</v>
      </c>
      <c r="D238" s="281"/>
      <c r="E238" s="281"/>
      <c r="F238" s="281"/>
      <c r="G238" s="72" t="s">
        <v>474</v>
      </c>
      <c r="H238" s="363">
        <v>0</v>
      </c>
      <c r="I238" s="363"/>
      <c r="J238" s="68"/>
      <c r="L238" s="363"/>
    </row>
    <row r="239" spans="1:12">
      <c r="A239" s="296">
        <v>690</v>
      </c>
      <c r="B239" s="297">
        <v>300</v>
      </c>
      <c r="C239" s="295">
        <v>900</v>
      </c>
      <c r="D239" s="295"/>
      <c r="E239" s="295"/>
      <c r="F239" s="295"/>
      <c r="G239" s="73" t="s">
        <v>471</v>
      </c>
      <c r="H239" s="363">
        <v>26.3</v>
      </c>
      <c r="I239" s="363"/>
      <c r="J239" s="68"/>
      <c r="L239" s="363"/>
    </row>
    <row r="240" spans="1:12">
      <c r="A240" s="298">
        <v>700</v>
      </c>
      <c r="B240" s="285">
        <v>0</v>
      </c>
      <c r="C240" s="285">
        <v>0</v>
      </c>
      <c r="D240" s="285">
        <v>0</v>
      </c>
      <c r="E240" s="285">
        <v>0</v>
      </c>
      <c r="F240" s="285">
        <v>0</v>
      </c>
      <c r="G240" s="60" t="s">
        <v>475</v>
      </c>
      <c r="H240" s="366"/>
      <c r="I240" s="366"/>
      <c r="J240" s="61" t="s">
        <v>476</v>
      </c>
      <c r="L240" s="366"/>
    </row>
    <row r="241" spans="1:193">
      <c r="A241" s="286">
        <v>700</v>
      </c>
      <c r="B241" s="281">
        <v>100</v>
      </c>
      <c r="C241" s="281"/>
      <c r="D241" s="281"/>
      <c r="E241" s="281"/>
      <c r="F241" s="281"/>
      <c r="G241" s="66" t="s">
        <v>477</v>
      </c>
      <c r="H241" s="363">
        <v>0</v>
      </c>
      <c r="I241" s="363"/>
      <c r="J241" s="68" t="s">
        <v>478</v>
      </c>
      <c r="L241" s="363"/>
    </row>
    <row r="242" spans="1:193">
      <c r="A242" s="286">
        <v>700</v>
      </c>
      <c r="B242" s="281">
        <v>200</v>
      </c>
      <c r="C242" s="281"/>
      <c r="D242" s="281"/>
      <c r="E242" s="281"/>
      <c r="F242" s="281"/>
      <c r="G242" s="66" t="s">
        <v>479</v>
      </c>
      <c r="H242" s="363">
        <v>0</v>
      </c>
      <c r="I242" s="363"/>
      <c r="J242" s="68" t="s">
        <v>480</v>
      </c>
      <c r="L242" s="363"/>
    </row>
    <row r="243" spans="1:193">
      <c r="A243" s="286">
        <v>700</v>
      </c>
      <c r="B243" s="281">
        <v>300</v>
      </c>
      <c r="C243" s="281"/>
      <c r="D243" s="281"/>
      <c r="E243" s="281"/>
      <c r="F243" s="281"/>
      <c r="G243" s="66" t="s">
        <v>481</v>
      </c>
      <c r="H243" s="363">
        <v>0</v>
      </c>
      <c r="I243" s="363"/>
      <c r="J243" s="68" t="s">
        <v>482</v>
      </c>
      <c r="L243" s="363"/>
    </row>
    <row r="244" spans="1:193">
      <c r="A244" s="286">
        <v>700</v>
      </c>
      <c r="B244" s="281">
        <v>400</v>
      </c>
      <c r="C244" s="281"/>
      <c r="D244" s="281"/>
      <c r="E244" s="281"/>
      <c r="F244" s="281"/>
      <c r="G244" s="66" t="s">
        <v>483</v>
      </c>
      <c r="H244" s="363">
        <v>0</v>
      </c>
      <c r="I244" s="363"/>
      <c r="J244" s="68" t="s">
        <v>484</v>
      </c>
      <c r="L244" s="363"/>
    </row>
    <row r="245" spans="1:193">
      <c r="A245" s="286">
        <v>700</v>
      </c>
      <c r="B245" s="281">
        <v>500</v>
      </c>
      <c r="C245" s="281"/>
      <c r="D245" s="281"/>
      <c r="E245" s="281"/>
      <c r="F245" s="281"/>
      <c r="G245" s="66" t="s">
        <v>485</v>
      </c>
      <c r="H245" s="363">
        <v>0</v>
      </c>
      <c r="I245" s="363"/>
      <c r="J245" s="68" t="s">
        <v>486</v>
      </c>
      <c r="L245" s="363"/>
    </row>
    <row r="246" spans="1:193" s="74" customFormat="1">
      <c r="A246" s="294">
        <v>710</v>
      </c>
      <c r="B246" s="282">
        <v>0</v>
      </c>
      <c r="C246" s="282">
        <v>0</v>
      </c>
      <c r="D246" s="282">
        <v>0</v>
      </c>
      <c r="E246" s="282">
        <v>0</v>
      </c>
      <c r="F246" s="282">
        <v>0</v>
      </c>
      <c r="G246" s="83" t="s">
        <v>487</v>
      </c>
      <c r="H246" s="363">
        <v>0</v>
      </c>
      <c r="I246" s="363"/>
      <c r="J246" s="246" t="s">
        <v>488</v>
      </c>
      <c r="K246" s="58"/>
      <c r="L246" s="363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  <c r="EV246" s="58"/>
      <c r="EW246" s="58"/>
      <c r="EX246" s="58"/>
      <c r="EY246" s="58"/>
      <c r="EZ246" s="58"/>
      <c r="FA246" s="58"/>
      <c r="FB246" s="58"/>
      <c r="FC246" s="58"/>
      <c r="FD246" s="58"/>
      <c r="FE246" s="58"/>
      <c r="FF246" s="58"/>
      <c r="FG246" s="58"/>
      <c r="FH246" s="58"/>
      <c r="FI246" s="58"/>
      <c r="FJ246" s="58"/>
      <c r="FK246" s="58"/>
      <c r="FL246" s="58"/>
      <c r="FM246" s="58"/>
      <c r="FN246" s="58"/>
      <c r="FO246" s="58"/>
      <c r="FP246" s="58"/>
      <c r="FQ246" s="58"/>
      <c r="FR246" s="58"/>
      <c r="FS246" s="58"/>
      <c r="FT246" s="58"/>
      <c r="FU246" s="58"/>
      <c r="FV246" s="58"/>
      <c r="FW246" s="58"/>
      <c r="FX246" s="58"/>
      <c r="FY246" s="58"/>
      <c r="FZ246" s="58"/>
      <c r="GA246" s="58"/>
      <c r="GB246" s="58"/>
      <c r="GC246" s="58"/>
      <c r="GD246" s="58"/>
      <c r="GE246" s="58"/>
      <c r="GF246" s="58"/>
      <c r="GG246" s="58"/>
      <c r="GH246" s="58"/>
      <c r="GI246" s="58"/>
      <c r="GJ246" s="58"/>
      <c r="GK246" s="58"/>
    </row>
    <row r="247" spans="1:193" s="74" customFormat="1">
      <c r="A247" s="272">
        <v>720</v>
      </c>
      <c r="B247" s="93">
        <v>0</v>
      </c>
      <c r="C247" s="93">
        <v>0</v>
      </c>
      <c r="D247" s="93">
        <v>0</v>
      </c>
      <c r="E247" s="93">
        <v>0</v>
      </c>
      <c r="F247" s="93">
        <v>0</v>
      </c>
      <c r="G247" s="60" t="s">
        <v>99</v>
      </c>
      <c r="H247" s="366"/>
      <c r="I247" s="366"/>
      <c r="J247" s="61" t="s">
        <v>489</v>
      </c>
      <c r="K247" s="58"/>
      <c r="L247" s="366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  <c r="EN247" s="58"/>
      <c r="EO247" s="58"/>
      <c r="EP247" s="58"/>
      <c r="EQ247" s="58"/>
      <c r="ER247" s="58"/>
      <c r="ES247" s="58"/>
      <c r="ET247" s="58"/>
      <c r="EU247" s="58"/>
      <c r="EV247" s="58"/>
      <c r="EW247" s="58"/>
      <c r="EX247" s="58"/>
      <c r="EY247" s="58"/>
      <c r="EZ247" s="58"/>
      <c r="FA247" s="58"/>
      <c r="FB247" s="58"/>
      <c r="FC247" s="58"/>
      <c r="FD247" s="58"/>
      <c r="FE247" s="58"/>
      <c r="FF247" s="58"/>
      <c r="FG247" s="58"/>
      <c r="FH247" s="58"/>
      <c r="FI247" s="58"/>
      <c r="FJ247" s="58"/>
      <c r="FK247" s="58"/>
      <c r="FL247" s="58"/>
      <c r="FM247" s="58"/>
      <c r="FN247" s="58"/>
      <c r="FO247" s="58"/>
      <c r="FP247" s="58"/>
      <c r="FQ247" s="58"/>
      <c r="FR247" s="58"/>
      <c r="FS247" s="58"/>
      <c r="FT247" s="58"/>
      <c r="FU247" s="58"/>
      <c r="FV247" s="58"/>
      <c r="FW247" s="58"/>
      <c r="FX247" s="58"/>
      <c r="FY247" s="58"/>
      <c r="FZ247" s="58"/>
      <c r="GA247" s="58"/>
      <c r="GB247" s="58"/>
      <c r="GC247" s="58"/>
      <c r="GD247" s="58"/>
      <c r="GE247" s="58"/>
      <c r="GF247" s="58"/>
      <c r="GG247" s="58"/>
      <c r="GH247" s="58"/>
      <c r="GI247" s="58"/>
      <c r="GJ247" s="58"/>
      <c r="GK247" s="58"/>
    </row>
    <row r="248" spans="1:193" s="74" customFormat="1">
      <c r="A248" s="286">
        <v>720</v>
      </c>
      <c r="B248" s="281">
        <v>100</v>
      </c>
      <c r="C248" s="281"/>
      <c r="D248" s="281"/>
      <c r="E248" s="281"/>
      <c r="F248" s="281"/>
      <c r="G248" s="66" t="s">
        <v>490</v>
      </c>
      <c r="H248" s="363">
        <v>3543.74</v>
      </c>
      <c r="I248" s="363"/>
      <c r="J248" s="68" t="s">
        <v>491</v>
      </c>
      <c r="K248" s="58"/>
      <c r="L248" s="363">
        <v>3543.74</v>
      </c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  <c r="EV248" s="58"/>
      <c r="EW248" s="58"/>
      <c r="EX248" s="58"/>
      <c r="EY248" s="58"/>
      <c r="EZ248" s="58"/>
      <c r="FA248" s="58"/>
      <c r="FB248" s="58"/>
      <c r="FC248" s="58"/>
      <c r="FD248" s="58"/>
      <c r="FE248" s="58"/>
      <c r="FF248" s="58"/>
      <c r="FG248" s="58"/>
      <c r="FH248" s="58"/>
      <c r="FI248" s="58"/>
      <c r="FJ248" s="58"/>
      <c r="FK248" s="58"/>
      <c r="FL248" s="58"/>
      <c r="FM248" s="58"/>
      <c r="FN248" s="58"/>
      <c r="FO248" s="58"/>
      <c r="FP248" s="58"/>
      <c r="FQ248" s="58"/>
      <c r="FR248" s="58"/>
      <c r="FS248" s="58"/>
      <c r="FT248" s="58"/>
      <c r="FU248" s="58"/>
      <c r="FV248" s="58"/>
      <c r="FW248" s="58"/>
      <c r="FX248" s="58"/>
      <c r="FY248" s="58"/>
      <c r="FZ248" s="58"/>
      <c r="GA248" s="58"/>
      <c r="GB248" s="58"/>
      <c r="GC248" s="58"/>
      <c r="GD248" s="58"/>
      <c r="GE248" s="58"/>
      <c r="GF248" s="58"/>
      <c r="GG248" s="58"/>
      <c r="GH248" s="58"/>
      <c r="GI248" s="58"/>
      <c r="GJ248" s="58"/>
      <c r="GK248" s="58"/>
    </row>
    <row r="249" spans="1:193" s="74" customFormat="1">
      <c r="A249" s="286">
        <v>720</v>
      </c>
      <c r="B249" s="280">
        <v>200</v>
      </c>
      <c r="C249" s="280"/>
      <c r="D249" s="280"/>
      <c r="E249" s="280"/>
      <c r="F249" s="280"/>
      <c r="G249" s="63" t="s">
        <v>492</v>
      </c>
      <c r="H249" s="364"/>
      <c r="I249" s="364"/>
      <c r="J249" s="68" t="s">
        <v>493</v>
      </c>
      <c r="K249" s="58"/>
      <c r="L249" s="364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  <c r="EN249" s="58"/>
      <c r="EO249" s="58"/>
      <c r="EP249" s="58"/>
      <c r="EQ249" s="58"/>
      <c r="ER249" s="58"/>
      <c r="ES249" s="58"/>
      <c r="ET249" s="58"/>
      <c r="EU249" s="58"/>
      <c r="EV249" s="58"/>
      <c r="EW249" s="58"/>
      <c r="EX249" s="58"/>
      <c r="EY249" s="58"/>
      <c r="EZ249" s="58"/>
      <c r="FA249" s="58"/>
      <c r="FB249" s="58"/>
      <c r="FC249" s="58"/>
      <c r="FD249" s="58"/>
      <c r="FE249" s="58"/>
      <c r="FF249" s="58"/>
      <c r="FG249" s="58"/>
      <c r="FH249" s="58"/>
      <c r="FI249" s="58"/>
      <c r="FJ249" s="58"/>
      <c r="FK249" s="58"/>
      <c r="FL249" s="58"/>
      <c r="FM249" s="58"/>
      <c r="FN249" s="58"/>
      <c r="FO249" s="58"/>
      <c r="FP249" s="58"/>
      <c r="FQ249" s="58"/>
      <c r="FR249" s="58"/>
      <c r="FS249" s="58"/>
      <c r="FT249" s="58"/>
      <c r="FU249" s="58"/>
      <c r="FV249" s="58"/>
      <c r="FW249" s="58"/>
      <c r="FX249" s="58"/>
      <c r="FY249" s="58"/>
      <c r="FZ249" s="58"/>
      <c r="GA249" s="58"/>
      <c r="GB249" s="58"/>
      <c r="GC249" s="58"/>
      <c r="GD249" s="58"/>
      <c r="GE249" s="58"/>
      <c r="GF249" s="58"/>
      <c r="GG249" s="58"/>
      <c r="GH249" s="58"/>
      <c r="GI249" s="58"/>
      <c r="GJ249" s="58"/>
      <c r="GK249" s="58"/>
    </row>
    <row r="250" spans="1:193" s="74" customFormat="1">
      <c r="A250" s="286">
        <v>720</v>
      </c>
      <c r="B250" s="280">
        <v>200</v>
      </c>
      <c r="C250" s="280">
        <v>100</v>
      </c>
      <c r="D250" s="280"/>
      <c r="E250" s="280"/>
      <c r="F250" s="280"/>
      <c r="G250" s="63" t="s">
        <v>494</v>
      </c>
      <c r="H250" s="363">
        <v>621639.07999999996</v>
      </c>
      <c r="I250" s="363"/>
      <c r="J250" s="68" t="s">
        <v>495</v>
      </c>
      <c r="K250" s="58"/>
      <c r="L250" s="363">
        <v>621639.07999999996</v>
      </c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  <c r="EN250" s="58"/>
      <c r="EO250" s="58"/>
      <c r="EP250" s="58"/>
      <c r="EQ250" s="58"/>
      <c r="ER250" s="58"/>
      <c r="ES250" s="58"/>
      <c r="ET250" s="58"/>
      <c r="EU250" s="58"/>
      <c r="EV250" s="58"/>
      <c r="EW250" s="58"/>
      <c r="EX250" s="58"/>
      <c r="EY250" s="58"/>
      <c r="EZ250" s="58"/>
      <c r="FA250" s="58"/>
      <c r="FB250" s="58"/>
      <c r="FC250" s="58"/>
      <c r="FD250" s="58"/>
      <c r="FE250" s="58"/>
      <c r="FF250" s="58"/>
      <c r="FG250" s="58"/>
      <c r="FH250" s="58"/>
      <c r="FI250" s="58"/>
      <c r="FJ250" s="58"/>
      <c r="FK250" s="58"/>
      <c r="FL250" s="58"/>
      <c r="FM250" s="58"/>
      <c r="FN250" s="58"/>
      <c r="FO250" s="58"/>
      <c r="FP250" s="58"/>
      <c r="FQ250" s="58"/>
      <c r="FR250" s="58"/>
      <c r="FS250" s="58"/>
      <c r="FT250" s="58"/>
      <c r="FU250" s="58"/>
      <c r="FV250" s="58"/>
      <c r="FW250" s="58"/>
      <c r="FX250" s="58"/>
      <c r="FY250" s="58"/>
      <c r="FZ250" s="58"/>
      <c r="GA250" s="58"/>
      <c r="GB250" s="58"/>
      <c r="GC250" s="58"/>
      <c r="GD250" s="58"/>
      <c r="GE250" s="58"/>
      <c r="GF250" s="58"/>
      <c r="GG250" s="58"/>
      <c r="GH250" s="58"/>
      <c r="GI250" s="58"/>
      <c r="GJ250" s="58"/>
      <c r="GK250" s="58"/>
    </row>
    <row r="251" spans="1:193" s="74" customFormat="1">
      <c r="A251" s="286">
        <v>720</v>
      </c>
      <c r="B251" s="280">
        <v>200</v>
      </c>
      <c r="C251" s="280">
        <v>200</v>
      </c>
      <c r="D251" s="280"/>
      <c r="E251" s="280"/>
      <c r="F251" s="280"/>
      <c r="G251" s="63" t="s">
        <v>496</v>
      </c>
      <c r="H251" s="364"/>
      <c r="I251" s="364"/>
      <c r="J251" s="68" t="s">
        <v>497</v>
      </c>
      <c r="K251" s="58"/>
      <c r="L251" s="364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  <c r="EN251" s="58"/>
      <c r="EO251" s="58"/>
      <c r="EP251" s="58"/>
      <c r="EQ251" s="58"/>
      <c r="ER251" s="58"/>
      <c r="ES251" s="58"/>
      <c r="ET251" s="58"/>
      <c r="EU251" s="58"/>
      <c r="EV251" s="58"/>
      <c r="EW251" s="58"/>
      <c r="EX251" s="58"/>
      <c r="EY251" s="58"/>
      <c r="EZ251" s="58"/>
      <c r="FA251" s="58"/>
      <c r="FB251" s="58"/>
      <c r="FC251" s="58"/>
      <c r="FD251" s="58"/>
      <c r="FE251" s="58"/>
      <c r="FF251" s="58"/>
      <c r="FG251" s="58"/>
      <c r="FH251" s="58"/>
      <c r="FI251" s="58"/>
      <c r="FJ251" s="58"/>
      <c r="FK251" s="58"/>
      <c r="FL251" s="58"/>
      <c r="FM251" s="58"/>
      <c r="FN251" s="58"/>
      <c r="FO251" s="58"/>
      <c r="FP251" s="58"/>
      <c r="FQ251" s="58"/>
      <c r="FR251" s="58"/>
      <c r="FS251" s="58"/>
      <c r="FT251" s="58"/>
      <c r="FU251" s="58"/>
      <c r="FV251" s="58"/>
      <c r="FW251" s="58"/>
      <c r="FX251" s="58"/>
      <c r="FY251" s="58"/>
      <c r="FZ251" s="58"/>
      <c r="GA251" s="58"/>
      <c r="GB251" s="58"/>
      <c r="GC251" s="58"/>
      <c r="GD251" s="58"/>
      <c r="GE251" s="58"/>
      <c r="GF251" s="58"/>
      <c r="GG251" s="58"/>
      <c r="GH251" s="58"/>
      <c r="GI251" s="58"/>
      <c r="GJ251" s="58"/>
      <c r="GK251" s="58"/>
    </row>
    <row r="252" spans="1:193" s="74" customFormat="1">
      <c r="A252" s="286">
        <v>720</v>
      </c>
      <c r="B252" s="280">
        <v>200</v>
      </c>
      <c r="C252" s="280">
        <v>200</v>
      </c>
      <c r="D252" s="281">
        <v>50</v>
      </c>
      <c r="E252" s="280"/>
      <c r="F252" s="280"/>
      <c r="G252" s="66" t="s">
        <v>498</v>
      </c>
      <c r="H252" s="367">
        <v>0</v>
      </c>
      <c r="I252" s="367"/>
      <c r="J252" s="68" t="s">
        <v>499</v>
      </c>
      <c r="K252" s="58"/>
      <c r="L252" s="367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  <c r="EN252" s="58"/>
      <c r="EO252" s="58"/>
      <c r="EP252" s="58"/>
      <c r="EQ252" s="58"/>
      <c r="ER252" s="58"/>
      <c r="ES252" s="58"/>
      <c r="ET252" s="58"/>
      <c r="EU252" s="58"/>
      <c r="EV252" s="58"/>
      <c r="EW252" s="58"/>
      <c r="EX252" s="58"/>
      <c r="EY252" s="58"/>
      <c r="EZ252" s="58"/>
      <c r="FA252" s="58"/>
      <c r="FB252" s="58"/>
      <c r="FC252" s="58"/>
      <c r="FD252" s="58"/>
      <c r="FE252" s="58"/>
      <c r="FF252" s="58"/>
      <c r="FG252" s="58"/>
      <c r="FH252" s="58"/>
      <c r="FI252" s="58"/>
      <c r="FJ252" s="58"/>
      <c r="FK252" s="58"/>
      <c r="FL252" s="58"/>
      <c r="FM252" s="58"/>
      <c r="FN252" s="58"/>
      <c r="FO252" s="58"/>
      <c r="FP252" s="58"/>
      <c r="FQ252" s="58"/>
      <c r="FR252" s="58"/>
      <c r="FS252" s="58"/>
      <c r="FT252" s="58"/>
      <c r="FU252" s="58"/>
      <c r="FV252" s="58"/>
      <c r="FW252" s="58"/>
      <c r="FX252" s="58"/>
      <c r="FY252" s="58"/>
      <c r="FZ252" s="58"/>
      <c r="GA252" s="58"/>
      <c r="GB252" s="58"/>
      <c r="GC252" s="58"/>
      <c r="GD252" s="58"/>
      <c r="GE252" s="58"/>
      <c r="GF252" s="58"/>
      <c r="GG252" s="58"/>
      <c r="GH252" s="58"/>
      <c r="GI252" s="58"/>
      <c r="GJ252" s="58"/>
      <c r="GK252" s="58"/>
    </row>
    <row r="253" spans="1:193" s="74" customFormat="1">
      <c r="A253" s="286">
        <v>720</v>
      </c>
      <c r="B253" s="280">
        <v>200</v>
      </c>
      <c r="C253" s="280">
        <v>200</v>
      </c>
      <c r="D253" s="281">
        <v>100</v>
      </c>
      <c r="E253" s="281"/>
      <c r="F253" s="281"/>
      <c r="G253" s="66" t="s">
        <v>500</v>
      </c>
      <c r="H253" s="363">
        <v>150318.18</v>
      </c>
      <c r="I253" s="363"/>
      <c r="J253" s="68" t="s">
        <v>501</v>
      </c>
      <c r="K253" s="58"/>
      <c r="L253" s="363">
        <v>139434.03</v>
      </c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  <c r="EN253" s="58"/>
      <c r="EO253" s="58"/>
      <c r="EP253" s="58"/>
      <c r="EQ253" s="58"/>
      <c r="ER253" s="58"/>
      <c r="ES253" s="58"/>
      <c r="ET253" s="58"/>
      <c r="EU253" s="58"/>
      <c r="EV253" s="58"/>
      <c r="EW253" s="58"/>
      <c r="EX253" s="58"/>
      <c r="EY253" s="58"/>
      <c r="EZ253" s="58"/>
      <c r="FA253" s="58"/>
      <c r="FB253" s="58"/>
      <c r="FC253" s="58"/>
      <c r="FD253" s="58"/>
      <c r="FE253" s="58"/>
      <c r="FF253" s="58"/>
      <c r="FG253" s="58"/>
      <c r="FH253" s="58"/>
      <c r="FI253" s="58"/>
      <c r="FJ253" s="58"/>
      <c r="FK253" s="58"/>
      <c r="FL253" s="58"/>
      <c r="FM253" s="58"/>
      <c r="FN253" s="58"/>
      <c r="FO253" s="58"/>
      <c r="FP253" s="58"/>
      <c r="FQ253" s="58"/>
      <c r="FR253" s="58"/>
      <c r="FS253" s="58"/>
      <c r="FT253" s="58"/>
      <c r="FU253" s="58"/>
      <c r="FV253" s="58"/>
      <c r="FW253" s="58"/>
      <c r="FX253" s="58"/>
      <c r="FY253" s="58"/>
      <c r="FZ253" s="58"/>
      <c r="GA253" s="58"/>
      <c r="GB253" s="58"/>
      <c r="GC253" s="58"/>
      <c r="GD253" s="58"/>
      <c r="GE253" s="58"/>
      <c r="GF253" s="58"/>
      <c r="GG253" s="58"/>
      <c r="GH253" s="58"/>
      <c r="GI253" s="58"/>
      <c r="GJ253" s="58"/>
      <c r="GK253" s="58"/>
    </row>
    <row r="254" spans="1:193">
      <c r="A254" s="286">
        <v>720</v>
      </c>
      <c r="B254" s="280">
        <v>200</v>
      </c>
      <c r="C254" s="280">
        <v>200</v>
      </c>
      <c r="D254" s="280">
        <v>200</v>
      </c>
      <c r="E254" s="280"/>
      <c r="F254" s="280"/>
      <c r="G254" s="63" t="s">
        <v>502</v>
      </c>
      <c r="H254" s="364"/>
      <c r="I254" s="364"/>
      <c r="J254" s="68" t="s">
        <v>503</v>
      </c>
      <c r="L254" s="364"/>
    </row>
    <row r="255" spans="1:193" s="74" customFormat="1">
      <c r="A255" s="286">
        <v>720</v>
      </c>
      <c r="B255" s="280">
        <v>200</v>
      </c>
      <c r="C255" s="280">
        <v>200</v>
      </c>
      <c r="D255" s="280">
        <v>200</v>
      </c>
      <c r="E255" s="281">
        <v>10</v>
      </c>
      <c r="F255" s="293"/>
      <c r="G255" s="66" t="s">
        <v>504</v>
      </c>
      <c r="H255" s="363">
        <v>48348.6</v>
      </c>
      <c r="I255" s="363"/>
      <c r="J255" s="68" t="s">
        <v>505</v>
      </c>
      <c r="K255" s="58"/>
      <c r="L255" s="363">
        <v>30866.5</v>
      </c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  <c r="FV255" s="58"/>
      <c r="FW255" s="58"/>
      <c r="FX255" s="58"/>
      <c r="FY255" s="58"/>
      <c r="FZ255" s="58"/>
      <c r="GA255" s="58"/>
      <c r="GB255" s="58"/>
      <c r="GC255" s="58"/>
      <c r="GD255" s="58"/>
      <c r="GE255" s="58"/>
      <c r="GF255" s="58"/>
      <c r="GG255" s="58"/>
      <c r="GH255" s="58"/>
      <c r="GI255" s="58"/>
      <c r="GJ255" s="58"/>
      <c r="GK255" s="58"/>
    </row>
    <row r="256" spans="1:193" s="74" customFormat="1">
      <c r="A256" s="286">
        <v>720</v>
      </c>
      <c r="B256" s="280">
        <v>200</v>
      </c>
      <c r="C256" s="280">
        <v>200</v>
      </c>
      <c r="D256" s="280">
        <v>200</v>
      </c>
      <c r="E256" s="281">
        <v>20</v>
      </c>
      <c r="F256" s="293"/>
      <c r="G256" s="66" t="s">
        <v>506</v>
      </c>
      <c r="H256" s="363">
        <v>9608.0300000000007</v>
      </c>
      <c r="I256" s="363"/>
      <c r="J256" s="68" t="s">
        <v>507</v>
      </c>
      <c r="K256" s="58"/>
      <c r="L256" s="363">
        <v>105.3</v>
      </c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  <c r="EN256" s="58"/>
      <c r="EO256" s="58"/>
      <c r="EP256" s="58"/>
      <c r="EQ256" s="58"/>
      <c r="ER256" s="58"/>
      <c r="ES256" s="58"/>
      <c r="ET256" s="58"/>
      <c r="EU256" s="58"/>
      <c r="EV256" s="58"/>
      <c r="EW256" s="58"/>
      <c r="EX256" s="58"/>
      <c r="EY256" s="58"/>
      <c r="EZ256" s="58"/>
      <c r="FA256" s="58"/>
      <c r="FB256" s="58"/>
      <c r="FC256" s="58"/>
      <c r="FD256" s="58"/>
      <c r="FE256" s="58"/>
      <c r="FF256" s="58"/>
      <c r="FG256" s="58"/>
      <c r="FH256" s="58"/>
      <c r="FI256" s="58"/>
      <c r="FJ256" s="58"/>
      <c r="FK256" s="58"/>
      <c r="FL256" s="58"/>
      <c r="FM256" s="58"/>
      <c r="FN256" s="58"/>
      <c r="FO256" s="58"/>
      <c r="FP256" s="58"/>
      <c r="FQ256" s="58"/>
      <c r="FR256" s="58"/>
      <c r="FS256" s="58"/>
      <c r="FT256" s="58"/>
      <c r="FU256" s="58"/>
      <c r="FV256" s="58"/>
      <c r="FW256" s="58"/>
      <c r="FX256" s="58"/>
      <c r="FY256" s="58"/>
      <c r="FZ256" s="58"/>
      <c r="GA256" s="58"/>
      <c r="GB256" s="58"/>
      <c r="GC256" s="58"/>
      <c r="GD256" s="58"/>
      <c r="GE256" s="58"/>
      <c r="GF256" s="58"/>
      <c r="GG256" s="58"/>
      <c r="GH256" s="58"/>
      <c r="GI256" s="58"/>
      <c r="GJ256" s="58"/>
      <c r="GK256" s="58"/>
    </row>
    <row r="257" spans="1:193" s="74" customFormat="1">
      <c r="A257" s="286">
        <v>720</v>
      </c>
      <c r="B257" s="280">
        <v>200</v>
      </c>
      <c r="C257" s="280">
        <v>200</v>
      </c>
      <c r="D257" s="280">
        <v>200</v>
      </c>
      <c r="E257" s="281">
        <v>30</v>
      </c>
      <c r="F257" s="293"/>
      <c r="G257" s="66" t="s">
        <v>508</v>
      </c>
      <c r="H257" s="363">
        <v>21375.9</v>
      </c>
      <c r="I257" s="363"/>
      <c r="J257" s="68" t="s">
        <v>509</v>
      </c>
      <c r="K257" s="58"/>
      <c r="L257" s="363">
        <v>0</v>
      </c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  <c r="EN257" s="58"/>
      <c r="EO257" s="58"/>
      <c r="EP257" s="58"/>
      <c r="EQ257" s="58"/>
      <c r="ER257" s="58"/>
      <c r="ES257" s="58"/>
      <c r="ET257" s="58"/>
      <c r="EU257" s="58"/>
      <c r="EV257" s="58"/>
      <c r="EW257" s="58"/>
      <c r="EX257" s="58"/>
      <c r="EY257" s="58"/>
      <c r="EZ257" s="58"/>
      <c r="FA257" s="58"/>
      <c r="FB257" s="58"/>
      <c r="FC257" s="58"/>
      <c r="FD257" s="58"/>
      <c r="FE257" s="58"/>
      <c r="FF257" s="58"/>
      <c r="FG257" s="58"/>
      <c r="FH257" s="58"/>
      <c r="FI257" s="58"/>
      <c r="FJ257" s="58"/>
      <c r="FK257" s="58"/>
      <c r="FL257" s="58"/>
      <c r="FM257" s="58"/>
      <c r="FN257" s="58"/>
      <c r="FO257" s="58"/>
      <c r="FP257" s="58"/>
      <c r="FQ257" s="58"/>
      <c r="FR257" s="58"/>
      <c r="FS257" s="58"/>
      <c r="FT257" s="58"/>
      <c r="FU257" s="58"/>
      <c r="FV257" s="58"/>
      <c r="FW257" s="58"/>
      <c r="FX257" s="58"/>
      <c r="FY257" s="58"/>
      <c r="FZ257" s="58"/>
      <c r="GA257" s="58"/>
      <c r="GB257" s="58"/>
      <c r="GC257" s="58"/>
      <c r="GD257" s="58"/>
      <c r="GE257" s="58"/>
      <c r="GF257" s="58"/>
      <c r="GG257" s="58"/>
      <c r="GH257" s="58"/>
      <c r="GI257" s="58"/>
      <c r="GJ257" s="58"/>
      <c r="GK257" s="58"/>
    </row>
    <row r="258" spans="1:193" s="74" customFormat="1">
      <c r="A258" s="286">
        <v>720</v>
      </c>
      <c r="B258" s="280">
        <v>200</v>
      </c>
      <c r="C258" s="280">
        <v>200</v>
      </c>
      <c r="D258" s="280">
        <v>200</v>
      </c>
      <c r="E258" s="281">
        <v>40</v>
      </c>
      <c r="F258" s="293"/>
      <c r="G258" s="66" t="s">
        <v>510</v>
      </c>
      <c r="H258" s="363">
        <v>724.26</v>
      </c>
      <c r="I258" s="363"/>
      <c r="J258" s="68" t="s">
        <v>511</v>
      </c>
      <c r="K258" s="58"/>
      <c r="L258" s="363">
        <v>0</v>
      </c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  <c r="EN258" s="58"/>
      <c r="EO258" s="58"/>
      <c r="EP258" s="58"/>
      <c r="EQ258" s="58"/>
      <c r="ER258" s="58"/>
      <c r="ES258" s="58"/>
      <c r="ET258" s="58"/>
      <c r="EU258" s="58"/>
      <c r="EV258" s="58"/>
      <c r="EW258" s="58"/>
      <c r="EX258" s="58"/>
      <c r="EY258" s="58"/>
      <c r="EZ258" s="58"/>
      <c r="FA258" s="58"/>
      <c r="FB258" s="58"/>
      <c r="FC258" s="58"/>
      <c r="FD258" s="58"/>
      <c r="FE258" s="58"/>
      <c r="FF258" s="58"/>
      <c r="FG258" s="58"/>
      <c r="FH258" s="58"/>
      <c r="FI258" s="58"/>
      <c r="FJ258" s="58"/>
      <c r="FK258" s="58"/>
      <c r="FL258" s="58"/>
      <c r="FM258" s="58"/>
      <c r="FN258" s="58"/>
      <c r="FO258" s="58"/>
      <c r="FP258" s="58"/>
      <c r="FQ258" s="58"/>
      <c r="FR258" s="58"/>
      <c r="FS258" s="58"/>
      <c r="FT258" s="58"/>
      <c r="FU258" s="58"/>
      <c r="FV258" s="58"/>
      <c r="FW258" s="58"/>
      <c r="FX258" s="58"/>
      <c r="FY258" s="58"/>
      <c r="FZ258" s="58"/>
      <c r="GA258" s="58"/>
      <c r="GB258" s="58"/>
      <c r="GC258" s="58"/>
      <c r="GD258" s="58"/>
      <c r="GE258" s="58"/>
      <c r="GF258" s="58"/>
      <c r="GG258" s="58"/>
      <c r="GH258" s="58"/>
      <c r="GI258" s="58"/>
      <c r="GJ258" s="58"/>
      <c r="GK258" s="58"/>
    </row>
    <row r="259" spans="1:193" s="74" customFormat="1" ht="25.5">
      <c r="A259" s="286">
        <v>720</v>
      </c>
      <c r="B259" s="280">
        <v>200</v>
      </c>
      <c r="C259" s="280">
        <v>200</v>
      </c>
      <c r="D259" s="280">
        <v>200</v>
      </c>
      <c r="E259" s="281">
        <v>50</v>
      </c>
      <c r="F259" s="293"/>
      <c r="G259" s="66" t="s">
        <v>512</v>
      </c>
      <c r="H259" s="363">
        <v>25740.62</v>
      </c>
      <c r="I259" s="363"/>
      <c r="J259" s="68" t="s">
        <v>513</v>
      </c>
      <c r="K259" s="58"/>
      <c r="L259" s="363">
        <v>15492.96</v>
      </c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  <c r="EN259" s="58"/>
      <c r="EO259" s="58"/>
      <c r="EP259" s="58"/>
      <c r="EQ259" s="58"/>
      <c r="ER259" s="58"/>
      <c r="ES259" s="58"/>
      <c r="ET259" s="58"/>
      <c r="EU259" s="58"/>
      <c r="EV259" s="58"/>
      <c r="EW259" s="58"/>
      <c r="EX259" s="58"/>
      <c r="EY259" s="58"/>
      <c r="EZ259" s="58"/>
      <c r="FA259" s="58"/>
      <c r="FB259" s="58"/>
      <c r="FC259" s="58"/>
      <c r="FD259" s="58"/>
      <c r="FE259" s="58"/>
      <c r="FF259" s="58"/>
      <c r="FG259" s="58"/>
      <c r="FH259" s="58"/>
      <c r="FI259" s="58"/>
      <c r="FJ259" s="58"/>
      <c r="FK259" s="58"/>
      <c r="FL259" s="58"/>
      <c r="FM259" s="58"/>
      <c r="FN259" s="58"/>
      <c r="FO259" s="58"/>
      <c r="FP259" s="58"/>
      <c r="FQ259" s="58"/>
      <c r="FR259" s="58"/>
      <c r="FS259" s="58"/>
      <c r="FT259" s="58"/>
      <c r="FU259" s="58"/>
      <c r="FV259" s="58"/>
      <c r="FW259" s="58"/>
      <c r="FX259" s="58"/>
      <c r="FY259" s="58"/>
      <c r="FZ259" s="58"/>
      <c r="GA259" s="58"/>
      <c r="GB259" s="58"/>
      <c r="GC259" s="58"/>
      <c r="GD259" s="58"/>
      <c r="GE259" s="58"/>
      <c r="GF259" s="58"/>
      <c r="GG259" s="58"/>
      <c r="GH259" s="58"/>
      <c r="GI259" s="58"/>
      <c r="GJ259" s="58"/>
      <c r="GK259" s="58"/>
    </row>
    <row r="260" spans="1:193" s="74" customFormat="1">
      <c r="A260" s="286">
        <v>720</v>
      </c>
      <c r="B260" s="280">
        <v>200</v>
      </c>
      <c r="C260" s="280">
        <v>200</v>
      </c>
      <c r="D260" s="280">
        <v>200</v>
      </c>
      <c r="E260" s="281">
        <v>60</v>
      </c>
      <c r="F260" s="293"/>
      <c r="G260" s="66" t="s">
        <v>514</v>
      </c>
      <c r="H260" s="363">
        <v>873819.5</v>
      </c>
      <c r="I260" s="363"/>
      <c r="J260" s="68" t="s">
        <v>515</v>
      </c>
      <c r="K260" s="58"/>
      <c r="L260" s="363">
        <v>473471.94</v>
      </c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  <c r="EN260" s="58"/>
      <c r="EO260" s="58"/>
      <c r="EP260" s="58"/>
      <c r="EQ260" s="58"/>
      <c r="ER260" s="58"/>
      <c r="ES260" s="58"/>
      <c r="ET260" s="58"/>
      <c r="EU260" s="58"/>
      <c r="EV260" s="58"/>
      <c r="EW260" s="58"/>
      <c r="EX260" s="58"/>
      <c r="EY260" s="58"/>
      <c r="EZ260" s="58"/>
      <c r="FA260" s="58"/>
      <c r="FB260" s="58"/>
      <c r="FC260" s="58"/>
      <c r="FD260" s="58"/>
      <c r="FE260" s="58"/>
      <c r="FF260" s="58"/>
      <c r="FG260" s="58"/>
      <c r="FH260" s="58"/>
      <c r="FI260" s="58"/>
      <c r="FJ260" s="58"/>
      <c r="FK260" s="58"/>
      <c r="FL260" s="58"/>
      <c r="FM260" s="58"/>
      <c r="FN260" s="58"/>
      <c r="FO260" s="58"/>
      <c r="FP260" s="58"/>
      <c r="FQ260" s="58"/>
      <c r="FR260" s="58"/>
      <c r="FS260" s="58"/>
      <c r="FT260" s="58"/>
      <c r="FU260" s="58"/>
      <c r="FV260" s="58"/>
      <c r="FW260" s="58"/>
      <c r="FX260" s="58"/>
      <c r="FY260" s="58"/>
      <c r="FZ260" s="58"/>
      <c r="GA260" s="58"/>
      <c r="GB260" s="58"/>
      <c r="GC260" s="58"/>
      <c r="GD260" s="58"/>
      <c r="GE260" s="58"/>
      <c r="GF260" s="58"/>
      <c r="GG260" s="58"/>
      <c r="GH260" s="58"/>
      <c r="GI260" s="58"/>
      <c r="GJ260" s="58"/>
      <c r="GK260" s="58"/>
    </row>
    <row r="261" spans="1:193" s="74" customFormat="1">
      <c r="A261" s="286">
        <v>720</v>
      </c>
      <c r="B261" s="280">
        <v>200</v>
      </c>
      <c r="C261" s="280">
        <v>200</v>
      </c>
      <c r="D261" s="280">
        <v>200</v>
      </c>
      <c r="E261" s="281">
        <v>90</v>
      </c>
      <c r="F261" s="293"/>
      <c r="G261" s="66" t="s">
        <v>516</v>
      </c>
      <c r="H261" s="363">
        <v>703993</v>
      </c>
      <c r="I261" s="363"/>
      <c r="J261" s="68" t="s">
        <v>517</v>
      </c>
      <c r="K261" s="58"/>
      <c r="L261" s="363">
        <v>176793.57</v>
      </c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  <c r="EN261" s="58"/>
      <c r="EO261" s="58"/>
      <c r="EP261" s="58"/>
      <c r="EQ261" s="58"/>
      <c r="ER261" s="58"/>
      <c r="ES261" s="58"/>
      <c r="ET261" s="58"/>
      <c r="EU261" s="58"/>
      <c r="EV261" s="58"/>
      <c r="EW261" s="58"/>
      <c r="EX261" s="58"/>
      <c r="EY261" s="58"/>
      <c r="EZ261" s="58"/>
      <c r="FA261" s="58"/>
      <c r="FB261" s="58"/>
      <c r="FC261" s="58"/>
      <c r="FD261" s="58"/>
      <c r="FE261" s="58"/>
      <c r="FF261" s="58"/>
      <c r="FG261" s="58"/>
      <c r="FH261" s="58"/>
      <c r="FI261" s="58"/>
      <c r="FJ261" s="58"/>
      <c r="FK261" s="58"/>
      <c r="FL261" s="58"/>
      <c r="FM261" s="58"/>
      <c r="FN261" s="58"/>
      <c r="FO261" s="58"/>
      <c r="FP261" s="58"/>
      <c r="FQ261" s="58"/>
      <c r="FR261" s="58"/>
      <c r="FS261" s="58"/>
      <c r="FT261" s="58"/>
      <c r="FU261" s="58"/>
      <c r="FV261" s="58"/>
      <c r="FW261" s="58"/>
      <c r="FX261" s="58"/>
      <c r="FY261" s="58"/>
      <c r="FZ261" s="58"/>
      <c r="GA261" s="58"/>
      <c r="GB261" s="58"/>
      <c r="GC261" s="58"/>
      <c r="GD261" s="58"/>
      <c r="GE261" s="58"/>
      <c r="GF261" s="58"/>
      <c r="GG261" s="58"/>
      <c r="GH261" s="58"/>
      <c r="GI261" s="58"/>
      <c r="GJ261" s="58"/>
      <c r="GK261" s="58"/>
    </row>
    <row r="262" spans="1:193" s="74" customFormat="1">
      <c r="A262" s="286">
        <v>720</v>
      </c>
      <c r="B262" s="280">
        <v>200</v>
      </c>
      <c r="C262" s="280">
        <v>300</v>
      </c>
      <c r="D262" s="280"/>
      <c r="E262" s="280"/>
      <c r="F262" s="299"/>
      <c r="G262" s="63" t="s">
        <v>518</v>
      </c>
      <c r="H262" s="364"/>
      <c r="I262" s="364"/>
      <c r="J262" s="68"/>
      <c r="K262" s="58"/>
      <c r="L262" s="364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  <c r="EN262" s="58"/>
      <c r="EO262" s="58"/>
      <c r="EP262" s="58"/>
      <c r="EQ262" s="58"/>
      <c r="ER262" s="58"/>
      <c r="ES262" s="58"/>
      <c r="ET262" s="58"/>
      <c r="EU262" s="58"/>
      <c r="EV262" s="58"/>
      <c r="EW262" s="58"/>
      <c r="EX262" s="58"/>
      <c r="EY262" s="58"/>
      <c r="EZ262" s="58"/>
      <c r="FA262" s="58"/>
      <c r="FB262" s="58"/>
      <c r="FC262" s="58"/>
      <c r="FD262" s="58"/>
      <c r="FE262" s="58"/>
      <c r="FF262" s="58"/>
      <c r="FG262" s="58"/>
      <c r="FH262" s="58"/>
      <c r="FI262" s="58"/>
      <c r="FJ262" s="58"/>
      <c r="FK262" s="58"/>
      <c r="FL262" s="58"/>
      <c r="FM262" s="58"/>
      <c r="FN262" s="58"/>
      <c r="FO262" s="58"/>
      <c r="FP262" s="58"/>
      <c r="FQ262" s="58"/>
      <c r="FR262" s="58"/>
      <c r="FS262" s="58"/>
      <c r="FT262" s="58"/>
      <c r="FU262" s="58"/>
      <c r="FV262" s="58"/>
      <c r="FW262" s="58"/>
      <c r="FX262" s="58"/>
      <c r="FY262" s="58"/>
      <c r="FZ262" s="58"/>
      <c r="GA262" s="58"/>
      <c r="GB262" s="58"/>
      <c r="GC262" s="58"/>
      <c r="GD262" s="58"/>
      <c r="GE262" s="58"/>
      <c r="GF262" s="58"/>
      <c r="GG262" s="58"/>
      <c r="GH262" s="58"/>
      <c r="GI262" s="58"/>
      <c r="GJ262" s="58"/>
      <c r="GK262" s="58"/>
    </row>
    <row r="263" spans="1:193" s="74" customFormat="1">
      <c r="A263" s="286">
        <v>720</v>
      </c>
      <c r="B263" s="280">
        <v>200</v>
      </c>
      <c r="C263" s="280">
        <v>300</v>
      </c>
      <c r="D263" s="281">
        <v>100</v>
      </c>
      <c r="E263" s="281"/>
      <c r="F263" s="281"/>
      <c r="G263" s="66" t="s">
        <v>519</v>
      </c>
      <c r="H263" s="363"/>
      <c r="I263" s="363"/>
      <c r="J263" s="68" t="s">
        <v>520</v>
      </c>
      <c r="K263" s="58"/>
      <c r="L263" s="363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  <c r="EN263" s="58"/>
      <c r="EO263" s="58"/>
      <c r="EP263" s="58"/>
      <c r="EQ263" s="58"/>
      <c r="ER263" s="58"/>
      <c r="ES263" s="58"/>
      <c r="ET263" s="58"/>
      <c r="EU263" s="58"/>
      <c r="EV263" s="58"/>
      <c r="EW263" s="58"/>
      <c r="EX263" s="58"/>
      <c r="EY263" s="58"/>
      <c r="EZ263" s="58"/>
      <c r="FA263" s="58"/>
      <c r="FB263" s="58"/>
      <c r="FC263" s="58"/>
      <c r="FD263" s="58"/>
      <c r="FE263" s="58"/>
      <c r="FF263" s="58"/>
      <c r="FG263" s="58"/>
      <c r="FH263" s="58"/>
      <c r="FI263" s="58"/>
      <c r="FJ263" s="58"/>
      <c r="FK263" s="58"/>
      <c r="FL263" s="58"/>
      <c r="FM263" s="58"/>
      <c r="FN263" s="58"/>
      <c r="FO263" s="58"/>
      <c r="FP263" s="58"/>
      <c r="FQ263" s="58"/>
      <c r="FR263" s="58"/>
      <c r="FS263" s="58"/>
      <c r="FT263" s="58"/>
      <c r="FU263" s="58"/>
      <c r="FV263" s="58"/>
      <c r="FW263" s="58"/>
      <c r="FX263" s="58"/>
      <c r="FY263" s="58"/>
      <c r="FZ263" s="58"/>
      <c r="GA263" s="58"/>
      <c r="GB263" s="58"/>
      <c r="GC263" s="58"/>
      <c r="GD263" s="58"/>
      <c r="GE263" s="58"/>
      <c r="GF263" s="58"/>
      <c r="GG263" s="58"/>
      <c r="GH263" s="58"/>
      <c r="GI263" s="58"/>
      <c r="GJ263" s="58"/>
      <c r="GK263" s="58"/>
    </row>
    <row r="264" spans="1:193">
      <c r="A264" s="286">
        <v>720</v>
      </c>
      <c r="B264" s="280">
        <v>200</v>
      </c>
      <c r="C264" s="280">
        <v>300</v>
      </c>
      <c r="D264" s="280">
        <v>200</v>
      </c>
      <c r="E264" s="280"/>
      <c r="F264" s="280"/>
      <c r="G264" s="63" t="s">
        <v>521</v>
      </c>
      <c r="H264" s="364"/>
      <c r="I264" s="364"/>
      <c r="J264" s="68"/>
      <c r="L264" s="364"/>
    </row>
    <row r="265" spans="1:193" s="74" customFormat="1">
      <c r="A265" s="286">
        <v>720</v>
      </c>
      <c r="B265" s="280">
        <v>200</v>
      </c>
      <c r="C265" s="280">
        <v>300</v>
      </c>
      <c r="D265" s="280">
        <v>200</v>
      </c>
      <c r="E265" s="281">
        <v>10</v>
      </c>
      <c r="F265" s="281"/>
      <c r="G265" s="66" t="s">
        <v>522</v>
      </c>
      <c r="H265" s="363">
        <v>0</v>
      </c>
      <c r="I265" s="363"/>
      <c r="J265" s="68" t="s">
        <v>523</v>
      </c>
      <c r="K265" s="58"/>
      <c r="L265" s="363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  <c r="EN265" s="58"/>
      <c r="EO265" s="58"/>
      <c r="EP265" s="58"/>
      <c r="EQ265" s="58"/>
      <c r="ER265" s="58"/>
      <c r="ES265" s="58"/>
      <c r="ET265" s="58"/>
      <c r="EU265" s="58"/>
      <c r="EV265" s="58"/>
      <c r="EW265" s="58"/>
      <c r="EX265" s="58"/>
      <c r="EY265" s="58"/>
      <c r="EZ265" s="58"/>
      <c r="FA265" s="58"/>
      <c r="FB265" s="58"/>
      <c r="FC265" s="58"/>
      <c r="FD265" s="58"/>
      <c r="FE265" s="58"/>
      <c r="FF265" s="58"/>
      <c r="FG265" s="58"/>
      <c r="FH265" s="58"/>
      <c r="FI265" s="58"/>
      <c r="FJ265" s="58"/>
      <c r="FK265" s="58"/>
      <c r="FL265" s="58"/>
      <c r="FM265" s="58"/>
      <c r="FN265" s="58"/>
      <c r="FO265" s="58"/>
      <c r="FP265" s="58"/>
      <c r="FQ265" s="58"/>
      <c r="FR265" s="58"/>
      <c r="FS265" s="58"/>
      <c r="FT265" s="58"/>
      <c r="FU265" s="58"/>
      <c r="FV265" s="58"/>
      <c r="FW265" s="58"/>
      <c r="FX265" s="58"/>
      <c r="FY265" s="58"/>
      <c r="FZ265" s="58"/>
      <c r="GA265" s="58"/>
      <c r="GB265" s="58"/>
      <c r="GC265" s="58"/>
      <c r="GD265" s="58"/>
      <c r="GE265" s="58"/>
      <c r="GF265" s="58"/>
      <c r="GG265" s="58"/>
      <c r="GH265" s="58"/>
      <c r="GI265" s="58"/>
      <c r="GJ265" s="58"/>
      <c r="GK265" s="58"/>
    </row>
    <row r="266" spans="1:193" s="74" customFormat="1">
      <c r="A266" s="286">
        <v>720</v>
      </c>
      <c r="B266" s="280">
        <v>200</v>
      </c>
      <c r="C266" s="280">
        <v>300</v>
      </c>
      <c r="D266" s="280">
        <v>200</v>
      </c>
      <c r="E266" s="281">
        <v>20</v>
      </c>
      <c r="F266" s="281"/>
      <c r="G266" s="66" t="s">
        <v>524</v>
      </c>
      <c r="H266" s="363">
        <v>4.8899999999999997</v>
      </c>
      <c r="I266" s="363"/>
      <c r="J266" s="68" t="s">
        <v>525</v>
      </c>
      <c r="K266" s="58"/>
      <c r="L266" s="363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  <c r="EN266" s="58"/>
      <c r="EO266" s="58"/>
      <c r="EP266" s="58"/>
      <c r="EQ266" s="58"/>
      <c r="ER266" s="58"/>
      <c r="ES266" s="58"/>
      <c r="ET266" s="58"/>
      <c r="EU266" s="58"/>
      <c r="EV266" s="58"/>
      <c r="EW266" s="58"/>
      <c r="EX266" s="58"/>
      <c r="EY266" s="58"/>
      <c r="EZ266" s="58"/>
      <c r="FA266" s="58"/>
      <c r="FB266" s="58"/>
      <c r="FC266" s="58"/>
      <c r="FD266" s="58"/>
      <c r="FE266" s="58"/>
      <c r="FF266" s="58"/>
      <c r="FG266" s="58"/>
      <c r="FH266" s="58"/>
      <c r="FI266" s="58"/>
      <c r="FJ266" s="58"/>
      <c r="FK266" s="58"/>
      <c r="FL266" s="58"/>
      <c r="FM266" s="58"/>
      <c r="FN266" s="58"/>
      <c r="FO266" s="58"/>
      <c r="FP266" s="58"/>
      <c r="FQ266" s="58"/>
      <c r="FR266" s="58"/>
      <c r="FS266" s="58"/>
      <c r="FT266" s="58"/>
      <c r="FU266" s="58"/>
      <c r="FV266" s="58"/>
      <c r="FW266" s="58"/>
      <c r="FX266" s="58"/>
      <c r="FY266" s="58"/>
      <c r="FZ266" s="58"/>
      <c r="GA266" s="58"/>
      <c r="GB266" s="58"/>
      <c r="GC266" s="58"/>
      <c r="GD266" s="58"/>
      <c r="GE266" s="58"/>
      <c r="GF266" s="58"/>
      <c r="GG266" s="58"/>
      <c r="GH266" s="58"/>
      <c r="GI266" s="58"/>
      <c r="GJ266" s="58"/>
      <c r="GK266" s="58"/>
    </row>
    <row r="267" spans="1:193" s="74" customFormat="1">
      <c r="A267" s="286">
        <v>720</v>
      </c>
      <c r="B267" s="280">
        <v>200</v>
      </c>
      <c r="C267" s="280">
        <v>300</v>
      </c>
      <c r="D267" s="280">
        <v>200</v>
      </c>
      <c r="E267" s="281">
        <v>30</v>
      </c>
      <c r="F267" s="281"/>
      <c r="G267" s="66" t="s">
        <v>526</v>
      </c>
      <c r="H267" s="363">
        <v>0</v>
      </c>
      <c r="I267" s="363"/>
      <c r="J267" s="68" t="s">
        <v>527</v>
      </c>
      <c r="K267" s="58"/>
      <c r="L267" s="363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  <c r="EN267" s="58"/>
      <c r="EO267" s="58"/>
      <c r="EP267" s="58"/>
      <c r="EQ267" s="58"/>
      <c r="ER267" s="58"/>
      <c r="ES267" s="58"/>
      <c r="ET267" s="58"/>
      <c r="EU267" s="58"/>
      <c r="EV267" s="58"/>
      <c r="EW267" s="58"/>
      <c r="EX267" s="58"/>
      <c r="EY267" s="58"/>
      <c r="EZ267" s="58"/>
      <c r="FA267" s="58"/>
      <c r="FB267" s="58"/>
      <c r="FC267" s="58"/>
      <c r="FD267" s="58"/>
      <c r="FE267" s="58"/>
      <c r="FF267" s="58"/>
      <c r="FG267" s="58"/>
      <c r="FH267" s="58"/>
      <c r="FI267" s="58"/>
      <c r="FJ267" s="58"/>
      <c r="FK267" s="58"/>
      <c r="FL267" s="58"/>
      <c r="FM267" s="58"/>
      <c r="FN267" s="58"/>
      <c r="FO267" s="58"/>
      <c r="FP267" s="58"/>
      <c r="FQ267" s="58"/>
      <c r="FR267" s="58"/>
      <c r="FS267" s="58"/>
      <c r="FT267" s="58"/>
      <c r="FU267" s="58"/>
      <c r="FV267" s="58"/>
      <c r="FW267" s="58"/>
      <c r="FX267" s="58"/>
      <c r="FY267" s="58"/>
      <c r="FZ267" s="58"/>
      <c r="GA267" s="58"/>
      <c r="GB267" s="58"/>
      <c r="GC267" s="58"/>
      <c r="GD267" s="58"/>
      <c r="GE267" s="58"/>
      <c r="GF267" s="58"/>
      <c r="GG267" s="58"/>
      <c r="GH267" s="58"/>
      <c r="GI267" s="58"/>
      <c r="GJ267" s="58"/>
      <c r="GK267" s="58"/>
    </row>
    <row r="268" spans="1:193" s="74" customFormat="1">
      <c r="A268" s="286">
        <v>720</v>
      </c>
      <c r="B268" s="280">
        <v>200</v>
      </c>
      <c r="C268" s="280">
        <v>300</v>
      </c>
      <c r="D268" s="280">
        <v>200</v>
      </c>
      <c r="E268" s="281">
        <v>40</v>
      </c>
      <c r="F268" s="281"/>
      <c r="G268" s="66" t="s">
        <v>528</v>
      </c>
      <c r="H268" s="363">
        <v>0</v>
      </c>
      <c r="I268" s="363"/>
      <c r="J268" s="68" t="s">
        <v>529</v>
      </c>
      <c r="K268" s="58"/>
      <c r="L268" s="363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  <c r="EN268" s="58"/>
      <c r="EO268" s="58"/>
      <c r="EP268" s="58"/>
      <c r="EQ268" s="58"/>
      <c r="ER268" s="58"/>
      <c r="ES268" s="58"/>
      <c r="ET268" s="58"/>
      <c r="EU268" s="58"/>
      <c r="EV268" s="58"/>
      <c r="EW268" s="58"/>
      <c r="EX268" s="58"/>
      <c r="EY268" s="58"/>
      <c r="EZ268" s="58"/>
      <c r="FA268" s="58"/>
      <c r="FB268" s="58"/>
      <c r="FC268" s="58"/>
      <c r="FD268" s="58"/>
      <c r="FE268" s="58"/>
      <c r="FF268" s="58"/>
      <c r="FG268" s="58"/>
      <c r="FH268" s="58"/>
      <c r="FI268" s="58"/>
      <c r="FJ268" s="58"/>
      <c r="FK268" s="58"/>
      <c r="FL268" s="58"/>
      <c r="FM268" s="58"/>
      <c r="FN268" s="58"/>
      <c r="FO268" s="58"/>
      <c r="FP268" s="58"/>
      <c r="FQ268" s="58"/>
      <c r="FR268" s="58"/>
      <c r="FS268" s="58"/>
      <c r="FT268" s="58"/>
      <c r="FU268" s="58"/>
      <c r="FV268" s="58"/>
      <c r="FW268" s="58"/>
      <c r="FX268" s="58"/>
      <c r="FY268" s="58"/>
      <c r="FZ268" s="58"/>
      <c r="GA268" s="58"/>
      <c r="GB268" s="58"/>
      <c r="GC268" s="58"/>
      <c r="GD268" s="58"/>
      <c r="GE268" s="58"/>
      <c r="GF268" s="58"/>
      <c r="GG268" s="58"/>
      <c r="GH268" s="58"/>
      <c r="GI268" s="58"/>
      <c r="GJ268" s="58"/>
      <c r="GK268" s="58"/>
    </row>
    <row r="269" spans="1:193" s="74" customFormat="1" ht="25.5">
      <c r="A269" s="286">
        <v>720</v>
      </c>
      <c r="B269" s="280">
        <v>200</v>
      </c>
      <c r="C269" s="280">
        <v>300</v>
      </c>
      <c r="D269" s="280">
        <v>200</v>
      </c>
      <c r="E269" s="281">
        <v>50</v>
      </c>
      <c r="F269" s="281"/>
      <c r="G269" s="66" t="s">
        <v>530</v>
      </c>
      <c r="H269" s="363">
        <v>0</v>
      </c>
      <c r="I269" s="363"/>
      <c r="J269" s="68" t="s">
        <v>531</v>
      </c>
      <c r="K269" s="58"/>
      <c r="L269" s="363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  <c r="EN269" s="58"/>
      <c r="EO269" s="58"/>
      <c r="EP269" s="58"/>
      <c r="EQ269" s="58"/>
      <c r="ER269" s="58"/>
      <c r="ES269" s="58"/>
      <c r="ET269" s="58"/>
      <c r="EU269" s="58"/>
      <c r="EV269" s="58"/>
      <c r="EW269" s="58"/>
      <c r="EX269" s="58"/>
      <c r="EY269" s="58"/>
      <c r="EZ269" s="58"/>
      <c r="FA269" s="58"/>
      <c r="FB269" s="58"/>
      <c r="FC269" s="58"/>
      <c r="FD269" s="58"/>
      <c r="FE269" s="58"/>
      <c r="FF269" s="58"/>
      <c r="FG269" s="58"/>
      <c r="FH269" s="58"/>
      <c r="FI269" s="58"/>
      <c r="FJ269" s="58"/>
      <c r="FK269" s="58"/>
      <c r="FL269" s="58"/>
      <c r="FM269" s="58"/>
      <c r="FN269" s="58"/>
      <c r="FO269" s="58"/>
      <c r="FP269" s="58"/>
      <c r="FQ269" s="58"/>
      <c r="FR269" s="58"/>
      <c r="FS269" s="58"/>
      <c r="FT269" s="58"/>
      <c r="FU269" s="58"/>
      <c r="FV269" s="58"/>
      <c r="FW269" s="58"/>
      <c r="FX269" s="58"/>
      <c r="FY269" s="58"/>
      <c r="FZ269" s="58"/>
      <c r="GA269" s="58"/>
      <c r="GB269" s="58"/>
      <c r="GC269" s="58"/>
      <c r="GD269" s="58"/>
      <c r="GE269" s="58"/>
      <c r="GF269" s="58"/>
      <c r="GG269" s="58"/>
      <c r="GH269" s="58"/>
      <c r="GI269" s="58"/>
      <c r="GJ269" s="58"/>
      <c r="GK269" s="58"/>
    </row>
    <row r="270" spans="1:193" s="74" customFormat="1">
      <c r="A270" s="286">
        <v>720</v>
      </c>
      <c r="B270" s="280">
        <v>200</v>
      </c>
      <c r="C270" s="280">
        <v>300</v>
      </c>
      <c r="D270" s="280">
        <v>200</v>
      </c>
      <c r="E270" s="281">
        <v>60</v>
      </c>
      <c r="F270" s="281"/>
      <c r="G270" s="66" t="s">
        <v>532</v>
      </c>
      <c r="H270" s="363">
        <v>184215.19</v>
      </c>
      <c r="I270" s="363"/>
      <c r="J270" s="68" t="s">
        <v>533</v>
      </c>
      <c r="K270" s="58"/>
      <c r="L270" s="363">
        <v>264.14999999999998</v>
      </c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  <c r="EN270" s="58"/>
      <c r="EO270" s="58"/>
      <c r="EP270" s="58"/>
      <c r="EQ270" s="58"/>
      <c r="ER270" s="58"/>
      <c r="ES270" s="58"/>
      <c r="ET270" s="58"/>
      <c r="EU270" s="58"/>
      <c r="EV270" s="58"/>
      <c r="EW270" s="58"/>
      <c r="EX270" s="58"/>
      <c r="EY270" s="58"/>
      <c r="EZ270" s="58"/>
      <c r="FA270" s="58"/>
      <c r="FB270" s="58"/>
      <c r="FC270" s="58"/>
      <c r="FD270" s="58"/>
      <c r="FE270" s="58"/>
      <c r="FF270" s="58"/>
      <c r="FG270" s="58"/>
      <c r="FH270" s="58"/>
      <c r="FI270" s="58"/>
      <c r="FJ270" s="58"/>
      <c r="FK270" s="58"/>
      <c r="FL270" s="58"/>
      <c r="FM270" s="58"/>
      <c r="FN270" s="58"/>
      <c r="FO270" s="58"/>
      <c r="FP270" s="58"/>
      <c r="FQ270" s="58"/>
      <c r="FR270" s="58"/>
      <c r="FS270" s="58"/>
      <c r="FT270" s="58"/>
      <c r="FU270" s="58"/>
      <c r="FV270" s="58"/>
      <c r="FW270" s="58"/>
      <c r="FX270" s="58"/>
      <c r="FY270" s="58"/>
      <c r="FZ270" s="58"/>
      <c r="GA270" s="58"/>
      <c r="GB270" s="58"/>
      <c r="GC270" s="58"/>
      <c r="GD270" s="58"/>
      <c r="GE270" s="58"/>
      <c r="GF270" s="58"/>
      <c r="GG270" s="58"/>
      <c r="GH270" s="58"/>
      <c r="GI270" s="58"/>
      <c r="GJ270" s="58"/>
      <c r="GK270" s="58"/>
    </row>
    <row r="271" spans="1:193" s="74" customFormat="1">
      <c r="A271" s="286">
        <v>720</v>
      </c>
      <c r="B271" s="280">
        <v>200</v>
      </c>
      <c r="C271" s="280">
        <v>300</v>
      </c>
      <c r="D271" s="280">
        <v>200</v>
      </c>
      <c r="E271" s="281">
        <v>90</v>
      </c>
      <c r="F271" s="281"/>
      <c r="G271" s="66" t="s">
        <v>534</v>
      </c>
      <c r="H271" s="363">
        <v>1173736.95</v>
      </c>
      <c r="I271" s="363"/>
      <c r="J271" s="68" t="s">
        <v>535</v>
      </c>
      <c r="K271" s="58"/>
      <c r="L271" s="363">
        <v>181</v>
      </c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  <c r="EN271" s="58"/>
      <c r="EO271" s="58"/>
      <c r="EP271" s="58"/>
      <c r="EQ271" s="58"/>
      <c r="ER271" s="58"/>
      <c r="ES271" s="58"/>
      <c r="ET271" s="58"/>
      <c r="EU271" s="58"/>
      <c r="EV271" s="58"/>
      <c r="EW271" s="58"/>
      <c r="EX271" s="58"/>
      <c r="EY271" s="58"/>
      <c r="EZ271" s="58"/>
      <c r="FA271" s="58"/>
      <c r="FB271" s="58"/>
      <c r="FC271" s="58"/>
      <c r="FD271" s="58"/>
      <c r="FE271" s="58"/>
      <c r="FF271" s="58"/>
      <c r="FG271" s="58"/>
      <c r="FH271" s="58"/>
      <c r="FI271" s="58"/>
      <c r="FJ271" s="58"/>
      <c r="FK271" s="58"/>
      <c r="FL271" s="58"/>
      <c r="FM271" s="58"/>
      <c r="FN271" s="58"/>
      <c r="FO271" s="58"/>
      <c r="FP271" s="58"/>
      <c r="FQ271" s="58"/>
      <c r="FR271" s="58"/>
      <c r="FS271" s="58"/>
      <c r="FT271" s="58"/>
      <c r="FU271" s="58"/>
      <c r="FV271" s="58"/>
      <c r="FW271" s="58"/>
      <c r="FX271" s="58"/>
      <c r="FY271" s="58"/>
      <c r="FZ271" s="58"/>
      <c r="GA271" s="58"/>
      <c r="GB271" s="58"/>
      <c r="GC271" s="58"/>
      <c r="GD271" s="58"/>
      <c r="GE271" s="58"/>
      <c r="GF271" s="58"/>
      <c r="GG271" s="58"/>
      <c r="GH271" s="58"/>
      <c r="GI271" s="58"/>
      <c r="GJ271" s="58"/>
      <c r="GK271" s="58"/>
    </row>
    <row r="272" spans="1:193" s="74" customFormat="1" ht="13.5" thickBot="1">
      <c r="A272" s="300">
        <v>720</v>
      </c>
      <c r="B272" s="301">
        <v>200</v>
      </c>
      <c r="C272" s="302">
        <v>400</v>
      </c>
      <c r="D272" s="302"/>
      <c r="E272" s="302"/>
      <c r="F272" s="302"/>
      <c r="G272" s="75" t="s">
        <v>492</v>
      </c>
      <c r="H272" s="368">
        <v>843.97</v>
      </c>
      <c r="I272" s="368"/>
      <c r="J272" s="76" t="s">
        <v>536</v>
      </c>
      <c r="K272" s="58"/>
      <c r="L272" s="368">
        <v>47.69</v>
      </c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  <c r="EN272" s="58"/>
      <c r="EO272" s="58"/>
      <c r="EP272" s="58"/>
      <c r="EQ272" s="58"/>
      <c r="ER272" s="58"/>
      <c r="ES272" s="58"/>
      <c r="ET272" s="58"/>
      <c r="EU272" s="58"/>
      <c r="EV272" s="58"/>
      <c r="EW272" s="58"/>
      <c r="EX272" s="58"/>
      <c r="EY272" s="58"/>
      <c r="EZ272" s="58"/>
      <c r="FA272" s="58"/>
      <c r="FB272" s="58"/>
      <c r="FC272" s="58"/>
      <c r="FD272" s="58"/>
      <c r="FE272" s="58"/>
      <c r="FF272" s="58"/>
      <c r="FG272" s="58"/>
      <c r="FH272" s="58"/>
      <c r="FI272" s="58"/>
      <c r="FJ272" s="58"/>
      <c r="FK272" s="58"/>
      <c r="FL272" s="58"/>
      <c r="FM272" s="58"/>
      <c r="FN272" s="58"/>
      <c r="FO272" s="58"/>
      <c r="FP272" s="58"/>
      <c r="FQ272" s="58"/>
      <c r="FR272" s="58"/>
      <c r="FS272" s="58"/>
      <c r="FT272" s="58"/>
      <c r="FU272" s="58"/>
      <c r="FV272" s="58"/>
      <c r="FW272" s="58"/>
      <c r="FX272" s="58"/>
      <c r="FY272" s="58"/>
      <c r="FZ272" s="58"/>
      <c r="GA272" s="58"/>
      <c r="GB272" s="58"/>
      <c r="GC272" s="58"/>
      <c r="GD272" s="58"/>
      <c r="GE272" s="58"/>
      <c r="GF272" s="58"/>
      <c r="GG272" s="58"/>
      <c r="GH272" s="58"/>
      <c r="GI272" s="58"/>
      <c r="GJ272" s="58"/>
      <c r="GK272" s="58"/>
    </row>
    <row r="273" spans="1:193" s="74" customFormat="1">
      <c r="A273" s="78"/>
      <c r="B273" s="78"/>
      <c r="C273" s="78"/>
      <c r="D273" s="78"/>
      <c r="E273" s="78"/>
      <c r="F273" s="78"/>
      <c r="G273" s="77" t="s">
        <v>537</v>
      </c>
      <c r="H273" s="369">
        <f>SUM(H3:H272)</f>
        <v>913961715.88000047</v>
      </c>
      <c r="I273" s="369">
        <f>SUM(I3:I272)</f>
        <v>0</v>
      </c>
      <c r="J273" s="78"/>
      <c r="K273" s="58"/>
      <c r="L273" s="369">
        <f>SUM(L3:L272)</f>
        <v>411346931.35723352</v>
      </c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  <c r="EN273" s="58"/>
      <c r="EO273" s="58"/>
      <c r="EP273" s="58"/>
      <c r="EQ273" s="58"/>
      <c r="ER273" s="58"/>
      <c r="ES273" s="58"/>
      <c r="ET273" s="58"/>
      <c r="EU273" s="58"/>
      <c r="EV273" s="58"/>
      <c r="EW273" s="58"/>
      <c r="EX273" s="58"/>
      <c r="EY273" s="58"/>
      <c r="EZ273" s="58"/>
      <c r="FA273" s="58"/>
      <c r="FB273" s="58"/>
      <c r="FC273" s="58"/>
      <c r="FD273" s="58"/>
      <c r="FE273" s="58"/>
      <c r="FF273" s="58"/>
      <c r="FG273" s="58"/>
      <c r="FH273" s="58"/>
      <c r="FI273" s="58"/>
      <c r="FJ273" s="58"/>
      <c r="FK273" s="58"/>
      <c r="FL273" s="58"/>
      <c r="FM273" s="58"/>
      <c r="FN273" s="58"/>
      <c r="FO273" s="58"/>
      <c r="FP273" s="58"/>
      <c r="FQ273" s="58"/>
      <c r="FR273" s="58"/>
      <c r="FS273" s="58"/>
      <c r="FT273" s="58"/>
      <c r="FU273" s="58"/>
      <c r="FV273" s="58"/>
      <c r="FW273" s="58"/>
      <c r="FX273" s="58"/>
      <c r="FY273" s="58"/>
      <c r="FZ273" s="58"/>
      <c r="GA273" s="58"/>
      <c r="GB273" s="58"/>
      <c r="GC273" s="58"/>
      <c r="GD273" s="58"/>
      <c r="GE273" s="58"/>
      <c r="GF273" s="58"/>
      <c r="GG273" s="58"/>
      <c r="GH273" s="58"/>
      <c r="GI273" s="58"/>
      <c r="GJ273" s="58"/>
      <c r="GK273" s="58"/>
    </row>
    <row r="274" spans="1:193" s="74" customFormat="1">
      <c r="A274" s="78"/>
      <c r="B274" s="78"/>
      <c r="C274" s="78"/>
      <c r="D274" s="78"/>
      <c r="E274" s="78"/>
      <c r="F274" s="78"/>
      <c r="G274" s="77" t="s">
        <v>538</v>
      </c>
      <c r="H274" s="369">
        <f>+'Alimentazione CE Costi'!H895</f>
        <v>913883870.4399997</v>
      </c>
      <c r="I274" s="369">
        <f>+'Alimentazione CE Costi'!I895</f>
        <v>0</v>
      </c>
      <c r="J274" s="78"/>
      <c r="K274" s="58"/>
      <c r="L274" s="369">
        <f>+'Alimentazione CE Costi'!L895</f>
        <v>411639774.24613768</v>
      </c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  <c r="EN274" s="58"/>
      <c r="EO274" s="58"/>
      <c r="EP274" s="58"/>
      <c r="EQ274" s="58"/>
      <c r="ER274" s="58"/>
      <c r="ES274" s="58"/>
      <c r="ET274" s="58"/>
      <c r="EU274" s="58"/>
      <c r="EV274" s="58"/>
      <c r="EW274" s="58"/>
      <c r="EX274" s="58"/>
      <c r="EY274" s="58"/>
      <c r="EZ274" s="58"/>
      <c r="FA274" s="58"/>
      <c r="FB274" s="58"/>
      <c r="FC274" s="58"/>
      <c r="FD274" s="58"/>
      <c r="FE274" s="58"/>
      <c r="FF274" s="58"/>
      <c r="FG274" s="58"/>
      <c r="FH274" s="58"/>
      <c r="FI274" s="58"/>
      <c r="FJ274" s="58"/>
      <c r="FK274" s="58"/>
      <c r="FL274" s="58"/>
      <c r="FM274" s="58"/>
      <c r="FN274" s="58"/>
      <c r="FO274" s="58"/>
      <c r="FP274" s="58"/>
      <c r="FQ274" s="58"/>
      <c r="FR274" s="58"/>
      <c r="FS274" s="58"/>
      <c r="FT274" s="58"/>
      <c r="FU274" s="58"/>
      <c r="FV274" s="58"/>
      <c r="FW274" s="58"/>
      <c r="FX274" s="58"/>
      <c r="FY274" s="58"/>
      <c r="FZ274" s="58"/>
      <c r="GA274" s="58"/>
      <c r="GB274" s="58"/>
      <c r="GC274" s="58"/>
      <c r="GD274" s="58"/>
      <c r="GE274" s="58"/>
      <c r="GF274" s="58"/>
      <c r="GG274" s="58"/>
      <c r="GH274" s="58"/>
      <c r="GI274" s="58"/>
      <c r="GJ274" s="58"/>
      <c r="GK274" s="58"/>
    </row>
    <row r="275" spans="1:193" s="74" customFormat="1">
      <c r="A275" s="78"/>
      <c r="B275" s="78"/>
      <c r="C275" s="78"/>
      <c r="D275" s="78"/>
      <c r="E275" s="78"/>
      <c r="F275" s="78"/>
      <c r="G275" s="77" t="s">
        <v>539</v>
      </c>
      <c r="H275" s="369">
        <f>+H273-H274</f>
        <v>77845.440000772476</v>
      </c>
      <c r="I275" s="369">
        <f>+I273-I274</f>
        <v>0</v>
      </c>
      <c r="J275" s="78"/>
      <c r="K275" s="58"/>
      <c r="L275" s="369">
        <f>+L273-L274</f>
        <v>-292842.8889041543</v>
      </c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  <c r="EN275" s="58"/>
      <c r="EO275" s="58"/>
      <c r="EP275" s="58"/>
      <c r="EQ275" s="58"/>
      <c r="ER275" s="58"/>
      <c r="ES275" s="58"/>
      <c r="ET275" s="58"/>
      <c r="EU275" s="58"/>
      <c r="EV275" s="58"/>
      <c r="EW275" s="58"/>
      <c r="EX275" s="58"/>
      <c r="EY275" s="58"/>
      <c r="EZ275" s="58"/>
      <c r="FA275" s="58"/>
      <c r="FB275" s="58"/>
      <c r="FC275" s="58"/>
      <c r="FD275" s="58"/>
      <c r="FE275" s="58"/>
      <c r="FF275" s="58"/>
      <c r="FG275" s="58"/>
      <c r="FH275" s="58"/>
      <c r="FI275" s="58"/>
      <c r="FJ275" s="58"/>
      <c r="FK275" s="58"/>
      <c r="FL275" s="58"/>
      <c r="FM275" s="58"/>
      <c r="FN275" s="58"/>
      <c r="FO275" s="58"/>
      <c r="FP275" s="58"/>
      <c r="FQ275" s="58"/>
      <c r="FR275" s="58"/>
      <c r="FS275" s="58"/>
      <c r="FT275" s="58"/>
      <c r="FU275" s="58"/>
      <c r="FV275" s="58"/>
      <c r="FW275" s="58"/>
      <c r="FX275" s="58"/>
      <c r="FY275" s="58"/>
      <c r="FZ275" s="58"/>
      <c r="GA275" s="58"/>
      <c r="GB275" s="58"/>
      <c r="GC275" s="58"/>
      <c r="GD275" s="58"/>
      <c r="GE275" s="58"/>
      <c r="GF275" s="58"/>
      <c r="GG275" s="58"/>
      <c r="GH275" s="58"/>
      <c r="GI275" s="58"/>
      <c r="GJ275" s="58"/>
      <c r="GK275" s="58"/>
    </row>
    <row r="276" spans="1:193" s="74" customFormat="1">
      <c r="A276" s="78"/>
      <c r="B276" s="78"/>
      <c r="C276" s="78"/>
      <c r="D276" s="78"/>
      <c r="E276" s="78"/>
      <c r="F276" s="78"/>
      <c r="G276" s="77"/>
      <c r="H276" s="319"/>
      <c r="I276" s="319"/>
      <c r="J276" s="78"/>
      <c r="K276" s="58"/>
      <c r="L276" s="319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  <c r="EN276" s="58"/>
      <c r="EO276" s="58"/>
      <c r="EP276" s="58"/>
      <c r="EQ276" s="58"/>
      <c r="ER276" s="58"/>
      <c r="ES276" s="58"/>
      <c r="ET276" s="58"/>
      <c r="EU276" s="58"/>
      <c r="EV276" s="58"/>
      <c r="EW276" s="58"/>
      <c r="EX276" s="58"/>
      <c r="EY276" s="58"/>
      <c r="EZ276" s="58"/>
      <c r="FA276" s="58"/>
      <c r="FB276" s="58"/>
      <c r="FC276" s="58"/>
      <c r="FD276" s="58"/>
      <c r="FE276" s="58"/>
      <c r="FF276" s="58"/>
      <c r="FG276" s="58"/>
      <c r="FH276" s="58"/>
      <c r="FI276" s="58"/>
      <c r="FJ276" s="58"/>
      <c r="FK276" s="58"/>
      <c r="FL276" s="58"/>
      <c r="FM276" s="58"/>
      <c r="FN276" s="58"/>
      <c r="FO276" s="58"/>
      <c r="FP276" s="58"/>
      <c r="FQ276" s="58"/>
      <c r="FR276" s="58"/>
      <c r="FS276" s="58"/>
      <c r="FT276" s="58"/>
      <c r="FU276" s="58"/>
      <c r="FV276" s="58"/>
      <c r="FW276" s="58"/>
      <c r="FX276" s="58"/>
      <c r="FY276" s="58"/>
      <c r="FZ276" s="58"/>
      <c r="GA276" s="58"/>
      <c r="GB276" s="58"/>
      <c r="GC276" s="58"/>
      <c r="GD276" s="58"/>
      <c r="GE276" s="58"/>
      <c r="GF276" s="58"/>
      <c r="GG276" s="58"/>
      <c r="GH276" s="58"/>
      <c r="GI276" s="58"/>
      <c r="GJ276" s="58"/>
      <c r="GK276" s="58"/>
    </row>
    <row r="277" spans="1:193" s="74" customFormat="1">
      <c r="A277" s="78"/>
      <c r="B277" s="78"/>
      <c r="C277" s="78"/>
      <c r="D277" s="78"/>
      <c r="E277" s="78"/>
      <c r="F277" s="78"/>
      <c r="G277" s="77"/>
      <c r="H277" s="369"/>
      <c r="I277" s="369"/>
      <c r="J277" s="78"/>
      <c r="K277" s="58"/>
      <c r="L277" s="369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  <c r="EN277" s="58"/>
      <c r="EO277" s="58"/>
      <c r="EP277" s="58"/>
      <c r="EQ277" s="58"/>
      <c r="ER277" s="58"/>
      <c r="ES277" s="58"/>
      <c r="ET277" s="58"/>
      <c r="EU277" s="58"/>
      <c r="EV277" s="58"/>
      <c r="EW277" s="58"/>
      <c r="EX277" s="58"/>
      <c r="EY277" s="58"/>
      <c r="EZ277" s="58"/>
      <c r="FA277" s="58"/>
      <c r="FB277" s="58"/>
      <c r="FC277" s="58"/>
      <c r="FD277" s="58"/>
      <c r="FE277" s="58"/>
      <c r="FF277" s="58"/>
      <c r="FG277" s="58"/>
      <c r="FH277" s="58"/>
      <c r="FI277" s="58"/>
      <c r="FJ277" s="58"/>
      <c r="FK277" s="58"/>
      <c r="FL277" s="58"/>
      <c r="FM277" s="58"/>
      <c r="FN277" s="58"/>
      <c r="FO277" s="58"/>
      <c r="FP277" s="58"/>
      <c r="FQ277" s="58"/>
      <c r="FR277" s="58"/>
      <c r="FS277" s="58"/>
      <c r="FT277" s="58"/>
      <c r="FU277" s="58"/>
      <c r="FV277" s="58"/>
      <c r="FW277" s="58"/>
      <c r="FX277" s="58"/>
      <c r="FY277" s="58"/>
      <c r="FZ277" s="58"/>
      <c r="GA277" s="58"/>
      <c r="GB277" s="58"/>
      <c r="GC277" s="58"/>
      <c r="GD277" s="58"/>
      <c r="GE277" s="58"/>
      <c r="GF277" s="58"/>
      <c r="GG277" s="58"/>
      <c r="GH277" s="58"/>
      <c r="GI277" s="58"/>
      <c r="GJ277" s="58"/>
      <c r="GK277" s="58"/>
    </row>
    <row r="278" spans="1:193" s="74" customFormat="1">
      <c r="A278" s="78"/>
      <c r="B278" s="78"/>
      <c r="C278" s="78"/>
      <c r="D278" s="78"/>
      <c r="E278" s="78"/>
      <c r="F278" s="78"/>
      <c r="G278" s="77"/>
      <c r="H278" s="369"/>
      <c r="I278" s="369"/>
      <c r="J278" s="78"/>
      <c r="K278" s="58"/>
      <c r="L278" s="369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  <c r="EN278" s="58"/>
      <c r="EO278" s="58"/>
      <c r="EP278" s="58"/>
      <c r="EQ278" s="58"/>
      <c r="ER278" s="58"/>
      <c r="ES278" s="58"/>
      <c r="ET278" s="58"/>
      <c r="EU278" s="58"/>
      <c r="EV278" s="58"/>
      <c r="EW278" s="58"/>
      <c r="EX278" s="58"/>
      <c r="EY278" s="58"/>
      <c r="EZ278" s="58"/>
      <c r="FA278" s="58"/>
      <c r="FB278" s="58"/>
      <c r="FC278" s="58"/>
      <c r="FD278" s="58"/>
      <c r="FE278" s="58"/>
      <c r="FF278" s="58"/>
      <c r="FG278" s="58"/>
      <c r="FH278" s="58"/>
      <c r="FI278" s="58"/>
      <c r="FJ278" s="58"/>
      <c r="FK278" s="58"/>
      <c r="FL278" s="58"/>
      <c r="FM278" s="58"/>
      <c r="FN278" s="58"/>
      <c r="FO278" s="58"/>
      <c r="FP278" s="58"/>
      <c r="FQ278" s="58"/>
      <c r="FR278" s="58"/>
      <c r="FS278" s="58"/>
      <c r="FT278" s="58"/>
      <c r="FU278" s="58"/>
      <c r="FV278" s="58"/>
      <c r="FW278" s="58"/>
      <c r="FX278" s="58"/>
      <c r="FY278" s="58"/>
      <c r="FZ278" s="58"/>
      <c r="GA278" s="58"/>
      <c r="GB278" s="58"/>
      <c r="GC278" s="58"/>
      <c r="GD278" s="58"/>
      <c r="GE278" s="58"/>
      <c r="GF278" s="58"/>
      <c r="GG278" s="58"/>
      <c r="GH278" s="58"/>
      <c r="GI278" s="58"/>
      <c r="GJ278" s="58"/>
      <c r="GK278" s="58"/>
    </row>
    <row r="279" spans="1:193" s="74" customFormat="1">
      <c r="A279" s="78"/>
      <c r="B279" s="78"/>
      <c r="C279" s="78"/>
      <c r="D279" s="78"/>
      <c r="E279" s="78"/>
      <c r="F279" s="78"/>
      <c r="G279" s="77"/>
      <c r="H279" s="369"/>
      <c r="I279" s="369"/>
      <c r="J279" s="78"/>
      <c r="K279" s="58"/>
      <c r="L279" s="369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  <c r="EN279" s="58"/>
      <c r="EO279" s="58"/>
      <c r="EP279" s="58"/>
      <c r="EQ279" s="58"/>
      <c r="ER279" s="58"/>
      <c r="ES279" s="58"/>
      <c r="ET279" s="58"/>
      <c r="EU279" s="58"/>
      <c r="EV279" s="58"/>
      <c r="EW279" s="58"/>
      <c r="EX279" s="58"/>
      <c r="EY279" s="58"/>
      <c r="EZ279" s="58"/>
      <c r="FA279" s="58"/>
      <c r="FB279" s="58"/>
      <c r="FC279" s="58"/>
      <c r="FD279" s="58"/>
      <c r="FE279" s="58"/>
      <c r="FF279" s="58"/>
      <c r="FG279" s="58"/>
      <c r="FH279" s="58"/>
      <c r="FI279" s="58"/>
      <c r="FJ279" s="58"/>
      <c r="FK279" s="58"/>
      <c r="FL279" s="58"/>
      <c r="FM279" s="58"/>
      <c r="FN279" s="58"/>
      <c r="FO279" s="58"/>
      <c r="FP279" s="58"/>
      <c r="FQ279" s="58"/>
      <c r="FR279" s="58"/>
      <c r="FS279" s="58"/>
      <c r="FT279" s="58"/>
      <c r="FU279" s="58"/>
      <c r="FV279" s="58"/>
      <c r="FW279" s="58"/>
      <c r="FX279" s="58"/>
      <c r="FY279" s="58"/>
      <c r="FZ279" s="58"/>
      <c r="GA279" s="58"/>
      <c r="GB279" s="58"/>
      <c r="GC279" s="58"/>
      <c r="GD279" s="58"/>
      <c r="GE279" s="58"/>
      <c r="GF279" s="58"/>
      <c r="GG279" s="58"/>
      <c r="GH279" s="58"/>
      <c r="GI279" s="58"/>
      <c r="GJ279" s="58"/>
      <c r="GK279" s="58"/>
    </row>
    <row r="280" spans="1:193" s="74" customFormat="1">
      <c r="A280" s="78"/>
      <c r="B280" s="78"/>
      <c r="C280" s="78"/>
      <c r="D280" s="78"/>
      <c r="E280" s="78"/>
      <c r="F280" s="78"/>
      <c r="G280" s="77"/>
      <c r="H280" s="369"/>
      <c r="I280" s="369"/>
      <c r="J280" s="78"/>
      <c r="K280" s="58"/>
      <c r="L280" s="369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  <c r="EN280" s="58"/>
      <c r="EO280" s="58"/>
      <c r="EP280" s="58"/>
      <c r="EQ280" s="58"/>
      <c r="ER280" s="58"/>
      <c r="ES280" s="58"/>
      <c r="ET280" s="58"/>
      <c r="EU280" s="58"/>
      <c r="EV280" s="58"/>
      <c r="EW280" s="58"/>
      <c r="EX280" s="58"/>
      <c r="EY280" s="58"/>
      <c r="EZ280" s="58"/>
      <c r="FA280" s="58"/>
      <c r="FB280" s="58"/>
      <c r="FC280" s="58"/>
      <c r="FD280" s="58"/>
      <c r="FE280" s="58"/>
      <c r="FF280" s="58"/>
      <c r="FG280" s="58"/>
      <c r="FH280" s="58"/>
      <c r="FI280" s="58"/>
      <c r="FJ280" s="58"/>
      <c r="FK280" s="58"/>
      <c r="FL280" s="58"/>
      <c r="FM280" s="58"/>
      <c r="FN280" s="58"/>
      <c r="FO280" s="58"/>
      <c r="FP280" s="58"/>
      <c r="FQ280" s="58"/>
      <c r="FR280" s="58"/>
      <c r="FS280" s="58"/>
      <c r="FT280" s="58"/>
      <c r="FU280" s="58"/>
      <c r="FV280" s="58"/>
      <c r="FW280" s="58"/>
      <c r="FX280" s="58"/>
      <c r="FY280" s="58"/>
      <c r="FZ280" s="58"/>
      <c r="GA280" s="58"/>
      <c r="GB280" s="58"/>
      <c r="GC280" s="58"/>
      <c r="GD280" s="58"/>
      <c r="GE280" s="58"/>
      <c r="GF280" s="58"/>
      <c r="GG280" s="58"/>
      <c r="GH280" s="58"/>
      <c r="GI280" s="58"/>
      <c r="GJ280" s="58"/>
      <c r="GK280" s="58"/>
    </row>
    <row r="281" spans="1:193" s="74" customFormat="1">
      <c r="A281" s="78"/>
      <c r="B281" s="78"/>
      <c r="C281" s="78"/>
      <c r="D281" s="78"/>
      <c r="E281" s="78"/>
      <c r="F281" s="78"/>
      <c r="G281" s="77"/>
      <c r="H281" s="369"/>
      <c r="I281" s="369"/>
      <c r="J281" s="78"/>
      <c r="K281" s="58"/>
      <c r="L281" s="369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  <c r="EN281" s="58"/>
      <c r="EO281" s="58"/>
      <c r="EP281" s="58"/>
      <c r="EQ281" s="58"/>
      <c r="ER281" s="58"/>
      <c r="ES281" s="58"/>
      <c r="ET281" s="58"/>
      <c r="EU281" s="58"/>
      <c r="EV281" s="58"/>
      <c r="EW281" s="58"/>
      <c r="EX281" s="58"/>
      <c r="EY281" s="58"/>
      <c r="EZ281" s="58"/>
      <c r="FA281" s="58"/>
      <c r="FB281" s="58"/>
      <c r="FC281" s="58"/>
      <c r="FD281" s="58"/>
      <c r="FE281" s="58"/>
      <c r="FF281" s="58"/>
      <c r="FG281" s="58"/>
      <c r="FH281" s="58"/>
      <c r="FI281" s="58"/>
      <c r="FJ281" s="58"/>
      <c r="FK281" s="58"/>
      <c r="FL281" s="58"/>
      <c r="FM281" s="58"/>
      <c r="FN281" s="58"/>
      <c r="FO281" s="58"/>
      <c r="FP281" s="58"/>
      <c r="FQ281" s="58"/>
      <c r="FR281" s="58"/>
      <c r="FS281" s="58"/>
      <c r="FT281" s="58"/>
      <c r="FU281" s="58"/>
      <c r="FV281" s="58"/>
      <c r="FW281" s="58"/>
      <c r="FX281" s="58"/>
      <c r="FY281" s="58"/>
      <c r="FZ281" s="58"/>
      <c r="GA281" s="58"/>
      <c r="GB281" s="58"/>
      <c r="GC281" s="58"/>
      <c r="GD281" s="58"/>
      <c r="GE281" s="58"/>
      <c r="GF281" s="58"/>
      <c r="GG281" s="58"/>
      <c r="GH281" s="58"/>
      <c r="GI281" s="58"/>
      <c r="GJ281" s="58"/>
      <c r="GK281" s="58"/>
    </row>
    <row r="282" spans="1:193" s="74" customFormat="1">
      <c r="A282" s="78"/>
      <c r="B282" s="78"/>
      <c r="C282" s="78"/>
      <c r="D282" s="78"/>
      <c r="E282" s="78"/>
      <c r="F282" s="78"/>
      <c r="G282" s="77"/>
      <c r="H282" s="369"/>
      <c r="I282" s="369"/>
      <c r="J282" s="78"/>
      <c r="K282" s="58"/>
      <c r="L282" s="369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  <c r="EN282" s="58"/>
      <c r="EO282" s="58"/>
      <c r="EP282" s="58"/>
      <c r="EQ282" s="58"/>
      <c r="ER282" s="58"/>
      <c r="ES282" s="58"/>
      <c r="ET282" s="58"/>
      <c r="EU282" s="58"/>
      <c r="EV282" s="58"/>
      <c r="EW282" s="58"/>
      <c r="EX282" s="58"/>
      <c r="EY282" s="58"/>
      <c r="EZ282" s="58"/>
      <c r="FA282" s="58"/>
      <c r="FB282" s="58"/>
      <c r="FC282" s="58"/>
      <c r="FD282" s="58"/>
      <c r="FE282" s="58"/>
      <c r="FF282" s="58"/>
      <c r="FG282" s="58"/>
      <c r="FH282" s="58"/>
      <c r="FI282" s="58"/>
      <c r="FJ282" s="58"/>
      <c r="FK282" s="58"/>
      <c r="FL282" s="58"/>
      <c r="FM282" s="58"/>
      <c r="FN282" s="58"/>
      <c r="FO282" s="58"/>
      <c r="FP282" s="58"/>
      <c r="FQ282" s="58"/>
      <c r="FR282" s="58"/>
      <c r="FS282" s="58"/>
      <c r="FT282" s="58"/>
      <c r="FU282" s="58"/>
      <c r="FV282" s="58"/>
      <c r="FW282" s="58"/>
      <c r="FX282" s="58"/>
      <c r="FY282" s="58"/>
      <c r="FZ282" s="58"/>
      <c r="GA282" s="58"/>
      <c r="GB282" s="58"/>
      <c r="GC282" s="58"/>
      <c r="GD282" s="58"/>
      <c r="GE282" s="58"/>
      <c r="GF282" s="58"/>
      <c r="GG282" s="58"/>
      <c r="GH282" s="58"/>
      <c r="GI282" s="58"/>
      <c r="GJ282" s="58"/>
      <c r="GK282" s="58"/>
    </row>
    <row r="283" spans="1:193" s="74" customFormat="1">
      <c r="A283" s="78"/>
      <c r="B283" s="78"/>
      <c r="C283" s="78"/>
      <c r="D283" s="78"/>
      <c r="E283" s="78"/>
      <c r="F283" s="78"/>
      <c r="G283" s="77"/>
      <c r="H283" s="369"/>
      <c r="I283" s="369"/>
      <c r="J283" s="78"/>
      <c r="K283" s="58"/>
      <c r="L283" s="369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  <c r="EN283" s="58"/>
      <c r="EO283" s="58"/>
      <c r="EP283" s="58"/>
      <c r="EQ283" s="58"/>
      <c r="ER283" s="58"/>
      <c r="ES283" s="58"/>
      <c r="ET283" s="58"/>
      <c r="EU283" s="58"/>
      <c r="EV283" s="58"/>
      <c r="EW283" s="58"/>
      <c r="EX283" s="58"/>
      <c r="EY283" s="58"/>
      <c r="EZ283" s="58"/>
      <c r="FA283" s="58"/>
      <c r="FB283" s="58"/>
      <c r="FC283" s="58"/>
      <c r="FD283" s="58"/>
      <c r="FE283" s="58"/>
      <c r="FF283" s="58"/>
      <c r="FG283" s="58"/>
      <c r="FH283" s="58"/>
      <c r="FI283" s="58"/>
      <c r="FJ283" s="58"/>
      <c r="FK283" s="58"/>
      <c r="FL283" s="58"/>
      <c r="FM283" s="58"/>
      <c r="FN283" s="58"/>
      <c r="FO283" s="58"/>
      <c r="FP283" s="58"/>
      <c r="FQ283" s="58"/>
      <c r="FR283" s="58"/>
      <c r="FS283" s="58"/>
      <c r="FT283" s="58"/>
      <c r="FU283" s="58"/>
      <c r="FV283" s="58"/>
      <c r="FW283" s="58"/>
      <c r="FX283" s="58"/>
      <c r="FY283" s="58"/>
      <c r="FZ283" s="58"/>
      <c r="GA283" s="58"/>
      <c r="GB283" s="58"/>
      <c r="GC283" s="58"/>
      <c r="GD283" s="58"/>
      <c r="GE283" s="58"/>
      <c r="GF283" s="58"/>
      <c r="GG283" s="58"/>
      <c r="GH283" s="58"/>
      <c r="GI283" s="58"/>
      <c r="GJ283" s="58"/>
      <c r="GK283" s="58"/>
    </row>
    <row r="284" spans="1:193" s="74" customFormat="1">
      <c r="A284" s="78"/>
      <c r="B284" s="78"/>
      <c r="C284" s="78"/>
      <c r="D284" s="78"/>
      <c r="E284" s="78"/>
      <c r="F284" s="78"/>
      <c r="G284" s="77"/>
      <c r="H284" s="369"/>
      <c r="I284" s="369"/>
      <c r="J284" s="78"/>
      <c r="K284" s="58"/>
      <c r="L284" s="369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  <c r="EN284" s="58"/>
      <c r="EO284" s="58"/>
      <c r="EP284" s="58"/>
      <c r="EQ284" s="58"/>
      <c r="ER284" s="58"/>
      <c r="ES284" s="58"/>
      <c r="ET284" s="58"/>
      <c r="EU284" s="58"/>
      <c r="EV284" s="58"/>
      <c r="EW284" s="58"/>
      <c r="EX284" s="58"/>
      <c r="EY284" s="58"/>
      <c r="EZ284" s="58"/>
      <c r="FA284" s="58"/>
      <c r="FB284" s="58"/>
      <c r="FC284" s="58"/>
      <c r="FD284" s="58"/>
      <c r="FE284" s="58"/>
      <c r="FF284" s="58"/>
      <c r="FG284" s="58"/>
      <c r="FH284" s="58"/>
      <c r="FI284" s="58"/>
      <c r="FJ284" s="58"/>
      <c r="FK284" s="58"/>
      <c r="FL284" s="58"/>
      <c r="FM284" s="58"/>
      <c r="FN284" s="58"/>
      <c r="FO284" s="58"/>
      <c r="FP284" s="58"/>
      <c r="FQ284" s="58"/>
      <c r="FR284" s="58"/>
      <c r="FS284" s="58"/>
      <c r="FT284" s="58"/>
      <c r="FU284" s="58"/>
      <c r="FV284" s="58"/>
      <c r="FW284" s="58"/>
      <c r="FX284" s="58"/>
      <c r="FY284" s="58"/>
      <c r="FZ284" s="58"/>
      <c r="GA284" s="58"/>
      <c r="GB284" s="58"/>
      <c r="GC284" s="58"/>
      <c r="GD284" s="58"/>
      <c r="GE284" s="58"/>
      <c r="GF284" s="58"/>
      <c r="GG284" s="58"/>
      <c r="GH284" s="58"/>
      <c r="GI284" s="58"/>
      <c r="GJ284" s="58"/>
      <c r="GK284" s="58"/>
    </row>
    <row r="285" spans="1:193" s="74" customFormat="1">
      <c r="A285" s="78"/>
      <c r="B285" s="78"/>
      <c r="C285" s="78"/>
      <c r="D285" s="78"/>
      <c r="E285" s="78"/>
      <c r="F285" s="78"/>
      <c r="G285" s="77"/>
      <c r="H285" s="369"/>
      <c r="I285" s="369"/>
      <c r="J285" s="78"/>
      <c r="K285" s="58"/>
      <c r="L285" s="369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  <c r="EN285" s="58"/>
      <c r="EO285" s="58"/>
      <c r="EP285" s="58"/>
      <c r="EQ285" s="58"/>
      <c r="ER285" s="58"/>
      <c r="ES285" s="58"/>
      <c r="ET285" s="58"/>
      <c r="EU285" s="58"/>
      <c r="EV285" s="58"/>
      <c r="EW285" s="58"/>
      <c r="EX285" s="58"/>
      <c r="EY285" s="58"/>
      <c r="EZ285" s="58"/>
      <c r="FA285" s="58"/>
      <c r="FB285" s="58"/>
      <c r="FC285" s="58"/>
      <c r="FD285" s="58"/>
      <c r="FE285" s="58"/>
      <c r="FF285" s="58"/>
      <c r="FG285" s="58"/>
      <c r="FH285" s="58"/>
      <c r="FI285" s="58"/>
      <c r="FJ285" s="58"/>
      <c r="FK285" s="58"/>
      <c r="FL285" s="58"/>
      <c r="FM285" s="58"/>
      <c r="FN285" s="58"/>
      <c r="FO285" s="58"/>
      <c r="FP285" s="58"/>
      <c r="FQ285" s="58"/>
      <c r="FR285" s="58"/>
      <c r="FS285" s="58"/>
      <c r="FT285" s="58"/>
      <c r="FU285" s="58"/>
      <c r="FV285" s="58"/>
      <c r="FW285" s="58"/>
      <c r="FX285" s="58"/>
      <c r="FY285" s="58"/>
      <c r="FZ285" s="58"/>
      <c r="GA285" s="58"/>
      <c r="GB285" s="58"/>
      <c r="GC285" s="58"/>
      <c r="GD285" s="58"/>
      <c r="GE285" s="58"/>
      <c r="GF285" s="58"/>
      <c r="GG285" s="58"/>
      <c r="GH285" s="58"/>
      <c r="GI285" s="58"/>
      <c r="GJ285" s="58"/>
      <c r="GK285" s="58"/>
    </row>
    <row r="286" spans="1:193" s="74" customFormat="1">
      <c r="A286" s="78"/>
      <c r="B286" s="78"/>
      <c r="C286" s="78"/>
      <c r="D286" s="78"/>
      <c r="E286" s="78"/>
      <c r="F286" s="78"/>
      <c r="G286" s="77"/>
      <c r="H286" s="369"/>
      <c r="I286" s="369"/>
      <c r="J286" s="78"/>
      <c r="K286" s="58"/>
      <c r="L286" s="369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  <c r="EN286" s="58"/>
      <c r="EO286" s="58"/>
      <c r="EP286" s="58"/>
      <c r="EQ286" s="58"/>
      <c r="ER286" s="58"/>
      <c r="ES286" s="58"/>
      <c r="ET286" s="58"/>
      <c r="EU286" s="58"/>
      <c r="EV286" s="58"/>
      <c r="EW286" s="58"/>
      <c r="EX286" s="58"/>
      <c r="EY286" s="58"/>
      <c r="EZ286" s="58"/>
      <c r="FA286" s="58"/>
      <c r="FB286" s="58"/>
      <c r="FC286" s="58"/>
      <c r="FD286" s="58"/>
      <c r="FE286" s="58"/>
      <c r="FF286" s="58"/>
      <c r="FG286" s="58"/>
      <c r="FH286" s="58"/>
      <c r="FI286" s="58"/>
      <c r="FJ286" s="58"/>
      <c r="FK286" s="58"/>
      <c r="FL286" s="58"/>
      <c r="FM286" s="58"/>
      <c r="FN286" s="58"/>
      <c r="FO286" s="58"/>
      <c r="FP286" s="58"/>
      <c r="FQ286" s="58"/>
      <c r="FR286" s="58"/>
      <c r="FS286" s="58"/>
      <c r="FT286" s="58"/>
      <c r="FU286" s="58"/>
      <c r="FV286" s="58"/>
      <c r="FW286" s="58"/>
      <c r="FX286" s="58"/>
      <c r="FY286" s="58"/>
      <c r="FZ286" s="58"/>
      <c r="GA286" s="58"/>
      <c r="GB286" s="58"/>
      <c r="GC286" s="58"/>
      <c r="GD286" s="58"/>
      <c r="GE286" s="58"/>
      <c r="GF286" s="58"/>
      <c r="GG286" s="58"/>
      <c r="GH286" s="58"/>
      <c r="GI286" s="58"/>
      <c r="GJ286" s="58"/>
      <c r="GK286" s="58"/>
    </row>
    <row r="287" spans="1:193" s="74" customFormat="1">
      <c r="A287" s="78"/>
      <c r="B287" s="78"/>
      <c r="C287" s="78"/>
      <c r="D287" s="78"/>
      <c r="E287" s="78"/>
      <c r="F287" s="78"/>
      <c r="G287" s="77"/>
      <c r="H287" s="369"/>
      <c r="I287" s="369"/>
      <c r="J287" s="78"/>
      <c r="K287" s="58"/>
      <c r="L287" s="369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  <c r="EN287" s="58"/>
      <c r="EO287" s="58"/>
      <c r="EP287" s="58"/>
      <c r="EQ287" s="58"/>
      <c r="ER287" s="58"/>
      <c r="ES287" s="58"/>
      <c r="ET287" s="58"/>
      <c r="EU287" s="58"/>
      <c r="EV287" s="58"/>
      <c r="EW287" s="58"/>
      <c r="EX287" s="58"/>
      <c r="EY287" s="58"/>
      <c r="EZ287" s="58"/>
      <c r="FA287" s="58"/>
      <c r="FB287" s="58"/>
      <c r="FC287" s="58"/>
      <c r="FD287" s="58"/>
      <c r="FE287" s="58"/>
      <c r="FF287" s="58"/>
      <c r="FG287" s="58"/>
      <c r="FH287" s="58"/>
      <c r="FI287" s="58"/>
      <c r="FJ287" s="58"/>
      <c r="FK287" s="58"/>
      <c r="FL287" s="58"/>
      <c r="FM287" s="58"/>
      <c r="FN287" s="58"/>
      <c r="FO287" s="58"/>
      <c r="FP287" s="58"/>
      <c r="FQ287" s="58"/>
      <c r="FR287" s="58"/>
      <c r="FS287" s="58"/>
      <c r="FT287" s="58"/>
      <c r="FU287" s="58"/>
      <c r="FV287" s="58"/>
      <c r="FW287" s="58"/>
      <c r="FX287" s="58"/>
      <c r="FY287" s="58"/>
      <c r="FZ287" s="58"/>
      <c r="GA287" s="58"/>
      <c r="GB287" s="58"/>
      <c r="GC287" s="58"/>
      <c r="GD287" s="58"/>
      <c r="GE287" s="58"/>
      <c r="GF287" s="58"/>
      <c r="GG287" s="58"/>
      <c r="GH287" s="58"/>
      <c r="GI287" s="58"/>
      <c r="GJ287" s="58"/>
      <c r="GK287" s="58"/>
    </row>
    <row r="288" spans="1:193" s="74" customFormat="1">
      <c r="A288" s="78"/>
      <c r="B288" s="78"/>
      <c r="C288" s="78"/>
      <c r="D288" s="78"/>
      <c r="E288" s="78"/>
      <c r="F288" s="78"/>
      <c r="G288" s="77"/>
      <c r="H288" s="369"/>
      <c r="I288" s="369"/>
      <c r="J288" s="78"/>
      <c r="K288" s="58"/>
      <c r="L288" s="369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  <c r="EN288" s="58"/>
      <c r="EO288" s="58"/>
      <c r="EP288" s="58"/>
      <c r="EQ288" s="58"/>
      <c r="ER288" s="58"/>
      <c r="ES288" s="58"/>
      <c r="ET288" s="58"/>
      <c r="EU288" s="58"/>
      <c r="EV288" s="58"/>
      <c r="EW288" s="58"/>
      <c r="EX288" s="58"/>
      <c r="EY288" s="58"/>
      <c r="EZ288" s="58"/>
      <c r="FA288" s="58"/>
      <c r="FB288" s="58"/>
      <c r="FC288" s="58"/>
      <c r="FD288" s="58"/>
      <c r="FE288" s="58"/>
      <c r="FF288" s="58"/>
      <c r="FG288" s="58"/>
      <c r="FH288" s="58"/>
      <c r="FI288" s="58"/>
      <c r="FJ288" s="58"/>
      <c r="FK288" s="58"/>
      <c r="FL288" s="58"/>
      <c r="FM288" s="58"/>
      <c r="FN288" s="58"/>
      <c r="FO288" s="58"/>
      <c r="FP288" s="58"/>
      <c r="FQ288" s="58"/>
      <c r="FR288" s="58"/>
      <c r="FS288" s="58"/>
      <c r="FT288" s="58"/>
      <c r="FU288" s="58"/>
      <c r="FV288" s="58"/>
      <c r="FW288" s="58"/>
      <c r="FX288" s="58"/>
      <c r="FY288" s="58"/>
      <c r="FZ288" s="58"/>
      <c r="GA288" s="58"/>
      <c r="GB288" s="58"/>
      <c r="GC288" s="58"/>
      <c r="GD288" s="58"/>
      <c r="GE288" s="58"/>
      <c r="GF288" s="58"/>
      <c r="GG288" s="58"/>
      <c r="GH288" s="58"/>
      <c r="GI288" s="58"/>
      <c r="GJ288" s="58"/>
      <c r="GK288" s="58"/>
    </row>
    <row r="289" spans="1:193" s="74" customFormat="1">
      <c r="A289" s="78"/>
      <c r="B289" s="78"/>
      <c r="C289" s="78"/>
      <c r="D289" s="78"/>
      <c r="E289" s="78"/>
      <c r="F289" s="78"/>
      <c r="G289" s="77"/>
      <c r="H289" s="369"/>
      <c r="I289" s="369"/>
      <c r="J289" s="78"/>
      <c r="K289" s="58"/>
      <c r="L289" s="369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  <c r="EN289" s="58"/>
      <c r="EO289" s="58"/>
      <c r="EP289" s="58"/>
      <c r="EQ289" s="58"/>
      <c r="ER289" s="58"/>
      <c r="ES289" s="58"/>
      <c r="ET289" s="58"/>
      <c r="EU289" s="58"/>
      <c r="EV289" s="58"/>
      <c r="EW289" s="58"/>
      <c r="EX289" s="58"/>
      <c r="EY289" s="58"/>
      <c r="EZ289" s="58"/>
      <c r="FA289" s="58"/>
      <c r="FB289" s="58"/>
      <c r="FC289" s="58"/>
      <c r="FD289" s="58"/>
      <c r="FE289" s="58"/>
      <c r="FF289" s="58"/>
      <c r="FG289" s="58"/>
      <c r="FH289" s="58"/>
      <c r="FI289" s="58"/>
      <c r="FJ289" s="58"/>
      <c r="FK289" s="58"/>
      <c r="FL289" s="58"/>
      <c r="FM289" s="58"/>
      <c r="FN289" s="58"/>
      <c r="FO289" s="58"/>
      <c r="FP289" s="58"/>
      <c r="FQ289" s="58"/>
      <c r="FR289" s="58"/>
      <c r="FS289" s="58"/>
      <c r="FT289" s="58"/>
      <c r="FU289" s="58"/>
      <c r="FV289" s="58"/>
      <c r="FW289" s="58"/>
      <c r="FX289" s="58"/>
      <c r="FY289" s="58"/>
      <c r="FZ289" s="58"/>
      <c r="GA289" s="58"/>
      <c r="GB289" s="58"/>
      <c r="GC289" s="58"/>
      <c r="GD289" s="58"/>
      <c r="GE289" s="58"/>
      <c r="GF289" s="58"/>
      <c r="GG289" s="58"/>
      <c r="GH289" s="58"/>
      <c r="GI289" s="58"/>
      <c r="GJ289" s="58"/>
      <c r="GK289" s="58"/>
    </row>
    <row r="290" spans="1:193" s="74" customFormat="1">
      <c r="A290" s="78"/>
      <c r="B290" s="78"/>
      <c r="C290" s="78"/>
      <c r="D290" s="78"/>
      <c r="E290" s="78"/>
      <c r="F290" s="78"/>
      <c r="G290" s="77"/>
      <c r="H290" s="369"/>
      <c r="I290" s="369"/>
      <c r="J290" s="78"/>
      <c r="K290" s="58"/>
      <c r="L290" s="369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  <c r="EN290" s="58"/>
      <c r="EO290" s="58"/>
      <c r="EP290" s="58"/>
      <c r="EQ290" s="58"/>
      <c r="ER290" s="58"/>
      <c r="ES290" s="58"/>
      <c r="ET290" s="58"/>
      <c r="EU290" s="58"/>
      <c r="EV290" s="58"/>
      <c r="EW290" s="58"/>
      <c r="EX290" s="58"/>
      <c r="EY290" s="58"/>
      <c r="EZ290" s="58"/>
      <c r="FA290" s="58"/>
      <c r="FB290" s="58"/>
      <c r="FC290" s="58"/>
      <c r="FD290" s="58"/>
      <c r="FE290" s="58"/>
      <c r="FF290" s="58"/>
      <c r="FG290" s="58"/>
      <c r="FH290" s="58"/>
      <c r="FI290" s="58"/>
      <c r="FJ290" s="58"/>
      <c r="FK290" s="58"/>
      <c r="FL290" s="58"/>
      <c r="FM290" s="58"/>
      <c r="FN290" s="58"/>
      <c r="FO290" s="58"/>
      <c r="FP290" s="58"/>
      <c r="FQ290" s="58"/>
      <c r="FR290" s="58"/>
      <c r="FS290" s="58"/>
      <c r="FT290" s="58"/>
      <c r="FU290" s="58"/>
      <c r="FV290" s="58"/>
      <c r="FW290" s="58"/>
      <c r="FX290" s="58"/>
      <c r="FY290" s="58"/>
      <c r="FZ290" s="58"/>
      <c r="GA290" s="58"/>
      <c r="GB290" s="58"/>
      <c r="GC290" s="58"/>
      <c r="GD290" s="58"/>
      <c r="GE290" s="58"/>
      <c r="GF290" s="58"/>
      <c r="GG290" s="58"/>
      <c r="GH290" s="58"/>
      <c r="GI290" s="58"/>
      <c r="GJ290" s="58"/>
      <c r="GK290" s="58"/>
    </row>
    <row r="291" spans="1:193" s="74" customFormat="1">
      <c r="A291" s="78"/>
      <c r="B291" s="78"/>
      <c r="C291" s="78"/>
      <c r="D291" s="78"/>
      <c r="E291" s="78"/>
      <c r="F291" s="78"/>
      <c r="G291" s="77"/>
      <c r="H291" s="369"/>
      <c r="I291" s="369"/>
      <c r="J291" s="78"/>
      <c r="K291" s="58"/>
      <c r="L291" s="369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  <c r="EN291" s="58"/>
      <c r="EO291" s="58"/>
      <c r="EP291" s="58"/>
      <c r="EQ291" s="58"/>
      <c r="ER291" s="58"/>
      <c r="ES291" s="58"/>
      <c r="ET291" s="58"/>
      <c r="EU291" s="58"/>
      <c r="EV291" s="58"/>
      <c r="EW291" s="58"/>
      <c r="EX291" s="58"/>
      <c r="EY291" s="58"/>
      <c r="EZ291" s="58"/>
      <c r="FA291" s="58"/>
      <c r="FB291" s="58"/>
      <c r="FC291" s="58"/>
      <c r="FD291" s="58"/>
      <c r="FE291" s="58"/>
      <c r="FF291" s="58"/>
      <c r="FG291" s="58"/>
      <c r="FH291" s="58"/>
      <c r="FI291" s="58"/>
      <c r="FJ291" s="58"/>
      <c r="FK291" s="58"/>
      <c r="FL291" s="58"/>
      <c r="FM291" s="58"/>
      <c r="FN291" s="58"/>
      <c r="FO291" s="58"/>
      <c r="FP291" s="58"/>
      <c r="FQ291" s="58"/>
      <c r="FR291" s="58"/>
      <c r="FS291" s="58"/>
      <c r="FT291" s="58"/>
      <c r="FU291" s="58"/>
      <c r="FV291" s="58"/>
      <c r="FW291" s="58"/>
      <c r="FX291" s="58"/>
      <c r="FY291" s="58"/>
      <c r="FZ291" s="58"/>
      <c r="GA291" s="58"/>
      <c r="GB291" s="58"/>
      <c r="GC291" s="58"/>
      <c r="GD291" s="58"/>
      <c r="GE291" s="58"/>
      <c r="GF291" s="58"/>
      <c r="GG291" s="58"/>
      <c r="GH291" s="58"/>
      <c r="GI291" s="58"/>
      <c r="GJ291" s="58"/>
      <c r="GK291" s="58"/>
    </row>
    <row r="292" spans="1:193" s="74" customFormat="1">
      <c r="A292" s="78"/>
      <c r="B292" s="78"/>
      <c r="C292" s="78"/>
      <c r="D292" s="78"/>
      <c r="E292" s="78"/>
      <c r="F292" s="78"/>
      <c r="G292" s="77"/>
      <c r="H292" s="369"/>
      <c r="I292" s="369"/>
      <c r="J292" s="78"/>
      <c r="K292" s="58"/>
      <c r="L292" s="369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  <c r="EN292" s="58"/>
      <c r="EO292" s="58"/>
      <c r="EP292" s="58"/>
      <c r="EQ292" s="58"/>
      <c r="ER292" s="58"/>
      <c r="ES292" s="58"/>
      <c r="ET292" s="58"/>
      <c r="EU292" s="58"/>
      <c r="EV292" s="58"/>
      <c r="EW292" s="58"/>
      <c r="EX292" s="58"/>
      <c r="EY292" s="58"/>
      <c r="EZ292" s="58"/>
      <c r="FA292" s="58"/>
      <c r="FB292" s="58"/>
      <c r="FC292" s="58"/>
      <c r="FD292" s="58"/>
      <c r="FE292" s="58"/>
      <c r="FF292" s="58"/>
      <c r="FG292" s="58"/>
      <c r="FH292" s="58"/>
      <c r="FI292" s="58"/>
      <c r="FJ292" s="58"/>
      <c r="FK292" s="58"/>
      <c r="FL292" s="58"/>
      <c r="FM292" s="58"/>
      <c r="FN292" s="58"/>
      <c r="FO292" s="58"/>
      <c r="FP292" s="58"/>
      <c r="FQ292" s="58"/>
      <c r="FR292" s="58"/>
      <c r="FS292" s="58"/>
      <c r="FT292" s="58"/>
      <c r="FU292" s="58"/>
      <c r="FV292" s="58"/>
      <c r="FW292" s="58"/>
      <c r="FX292" s="58"/>
      <c r="FY292" s="58"/>
      <c r="FZ292" s="58"/>
      <c r="GA292" s="58"/>
      <c r="GB292" s="58"/>
      <c r="GC292" s="58"/>
      <c r="GD292" s="58"/>
      <c r="GE292" s="58"/>
      <c r="GF292" s="58"/>
      <c r="GG292" s="58"/>
      <c r="GH292" s="58"/>
      <c r="GI292" s="58"/>
      <c r="GJ292" s="58"/>
      <c r="GK292" s="58"/>
    </row>
    <row r="293" spans="1:193" s="74" customFormat="1">
      <c r="A293" s="78"/>
      <c r="B293" s="78"/>
      <c r="C293" s="78"/>
      <c r="D293" s="78"/>
      <c r="E293" s="78"/>
      <c r="F293" s="78"/>
      <c r="G293" s="77"/>
      <c r="H293" s="369"/>
      <c r="I293" s="369"/>
      <c r="J293" s="78"/>
      <c r="K293" s="58"/>
      <c r="L293" s="369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  <c r="EN293" s="58"/>
      <c r="EO293" s="58"/>
      <c r="EP293" s="58"/>
      <c r="EQ293" s="58"/>
      <c r="ER293" s="58"/>
      <c r="ES293" s="58"/>
      <c r="ET293" s="58"/>
      <c r="EU293" s="58"/>
      <c r="EV293" s="58"/>
      <c r="EW293" s="58"/>
      <c r="EX293" s="58"/>
      <c r="EY293" s="58"/>
      <c r="EZ293" s="58"/>
      <c r="FA293" s="58"/>
      <c r="FB293" s="58"/>
      <c r="FC293" s="58"/>
      <c r="FD293" s="58"/>
      <c r="FE293" s="58"/>
      <c r="FF293" s="58"/>
      <c r="FG293" s="58"/>
      <c r="FH293" s="58"/>
      <c r="FI293" s="58"/>
      <c r="FJ293" s="58"/>
      <c r="FK293" s="58"/>
      <c r="FL293" s="58"/>
      <c r="FM293" s="58"/>
      <c r="FN293" s="58"/>
      <c r="FO293" s="58"/>
      <c r="FP293" s="58"/>
      <c r="FQ293" s="58"/>
      <c r="FR293" s="58"/>
      <c r="FS293" s="58"/>
      <c r="FT293" s="58"/>
      <c r="FU293" s="58"/>
      <c r="FV293" s="58"/>
      <c r="FW293" s="58"/>
      <c r="FX293" s="58"/>
      <c r="FY293" s="58"/>
      <c r="FZ293" s="58"/>
      <c r="GA293" s="58"/>
      <c r="GB293" s="58"/>
      <c r="GC293" s="58"/>
      <c r="GD293" s="58"/>
      <c r="GE293" s="58"/>
      <c r="GF293" s="58"/>
      <c r="GG293" s="58"/>
      <c r="GH293" s="58"/>
      <c r="GI293" s="58"/>
      <c r="GJ293" s="58"/>
      <c r="GK293" s="58"/>
    </row>
    <row r="294" spans="1:193" s="74" customFormat="1">
      <c r="A294" s="78"/>
      <c r="B294" s="78"/>
      <c r="C294" s="78"/>
      <c r="D294" s="78"/>
      <c r="E294" s="78"/>
      <c r="F294" s="78"/>
      <c r="G294" s="77"/>
      <c r="H294" s="369"/>
      <c r="I294" s="369"/>
      <c r="J294" s="78"/>
      <c r="K294" s="58"/>
      <c r="L294" s="369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  <c r="EN294" s="58"/>
      <c r="EO294" s="58"/>
      <c r="EP294" s="58"/>
      <c r="EQ294" s="58"/>
      <c r="ER294" s="58"/>
      <c r="ES294" s="58"/>
      <c r="ET294" s="58"/>
      <c r="EU294" s="58"/>
      <c r="EV294" s="58"/>
      <c r="EW294" s="58"/>
      <c r="EX294" s="58"/>
      <c r="EY294" s="58"/>
      <c r="EZ294" s="58"/>
      <c r="FA294" s="58"/>
      <c r="FB294" s="58"/>
      <c r="FC294" s="58"/>
      <c r="FD294" s="58"/>
      <c r="FE294" s="58"/>
      <c r="FF294" s="58"/>
      <c r="FG294" s="58"/>
      <c r="FH294" s="58"/>
      <c r="FI294" s="58"/>
      <c r="FJ294" s="58"/>
      <c r="FK294" s="58"/>
      <c r="FL294" s="58"/>
      <c r="FM294" s="58"/>
      <c r="FN294" s="58"/>
      <c r="FO294" s="58"/>
      <c r="FP294" s="58"/>
      <c r="FQ294" s="58"/>
      <c r="FR294" s="58"/>
      <c r="FS294" s="58"/>
      <c r="FT294" s="58"/>
      <c r="FU294" s="58"/>
      <c r="FV294" s="58"/>
      <c r="FW294" s="58"/>
      <c r="FX294" s="58"/>
      <c r="FY294" s="58"/>
      <c r="FZ294" s="58"/>
      <c r="GA294" s="58"/>
      <c r="GB294" s="58"/>
      <c r="GC294" s="58"/>
      <c r="GD294" s="58"/>
      <c r="GE294" s="58"/>
      <c r="GF294" s="58"/>
      <c r="GG294" s="58"/>
      <c r="GH294" s="58"/>
      <c r="GI294" s="58"/>
      <c r="GJ294" s="58"/>
      <c r="GK294" s="58"/>
    </row>
    <row r="295" spans="1:193" s="74" customFormat="1">
      <c r="A295" s="78"/>
      <c r="B295" s="78"/>
      <c r="C295" s="78"/>
      <c r="D295" s="78"/>
      <c r="E295" s="78"/>
      <c r="F295" s="78"/>
      <c r="G295" s="77"/>
      <c r="H295" s="369"/>
      <c r="I295" s="369"/>
      <c r="J295" s="78"/>
      <c r="K295" s="58"/>
      <c r="L295" s="369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  <c r="EN295" s="58"/>
      <c r="EO295" s="58"/>
      <c r="EP295" s="58"/>
      <c r="EQ295" s="58"/>
      <c r="ER295" s="58"/>
      <c r="ES295" s="58"/>
      <c r="ET295" s="58"/>
      <c r="EU295" s="58"/>
      <c r="EV295" s="58"/>
      <c r="EW295" s="58"/>
      <c r="EX295" s="58"/>
      <c r="EY295" s="58"/>
      <c r="EZ295" s="58"/>
      <c r="FA295" s="58"/>
      <c r="FB295" s="58"/>
      <c r="FC295" s="58"/>
      <c r="FD295" s="58"/>
      <c r="FE295" s="58"/>
      <c r="FF295" s="58"/>
      <c r="FG295" s="58"/>
      <c r="FH295" s="58"/>
      <c r="FI295" s="58"/>
      <c r="FJ295" s="58"/>
      <c r="FK295" s="58"/>
      <c r="FL295" s="58"/>
      <c r="FM295" s="58"/>
      <c r="FN295" s="58"/>
      <c r="FO295" s="58"/>
      <c r="FP295" s="58"/>
      <c r="FQ295" s="58"/>
      <c r="FR295" s="58"/>
      <c r="FS295" s="58"/>
      <c r="FT295" s="58"/>
      <c r="FU295" s="58"/>
      <c r="FV295" s="58"/>
      <c r="FW295" s="58"/>
      <c r="FX295" s="58"/>
      <c r="FY295" s="58"/>
      <c r="FZ295" s="58"/>
      <c r="GA295" s="58"/>
      <c r="GB295" s="58"/>
      <c r="GC295" s="58"/>
      <c r="GD295" s="58"/>
      <c r="GE295" s="58"/>
      <c r="GF295" s="58"/>
      <c r="GG295" s="58"/>
      <c r="GH295" s="58"/>
      <c r="GI295" s="58"/>
      <c r="GJ295" s="58"/>
      <c r="GK295" s="58"/>
    </row>
    <row r="296" spans="1:193" s="74" customFormat="1">
      <c r="A296" s="78"/>
      <c r="B296" s="78"/>
      <c r="C296" s="78"/>
      <c r="D296" s="78"/>
      <c r="E296" s="78"/>
      <c r="F296" s="78"/>
      <c r="G296" s="77"/>
      <c r="H296" s="369"/>
      <c r="I296" s="369"/>
      <c r="J296" s="78"/>
      <c r="K296" s="58"/>
      <c r="L296" s="369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  <c r="EN296" s="58"/>
      <c r="EO296" s="58"/>
      <c r="EP296" s="58"/>
      <c r="EQ296" s="58"/>
      <c r="ER296" s="58"/>
      <c r="ES296" s="58"/>
      <c r="ET296" s="58"/>
      <c r="EU296" s="58"/>
      <c r="EV296" s="58"/>
      <c r="EW296" s="58"/>
      <c r="EX296" s="58"/>
      <c r="EY296" s="58"/>
      <c r="EZ296" s="58"/>
      <c r="FA296" s="58"/>
      <c r="FB296" s="58"/>
      <c r="FC296" s="58"/>
      <c r="FD296" s="58"/>
      <c r="FE296" s="58"/>
      <c r="FF296" s="58"/>
      <c r="FG296" s="58"/>
      <c r="FH296" s="58"/>
      <c r="FI296" s="58"/>
      <c r="FJ296" s="58"/>
      <c r="FK296" s="58"/>
      <c r="FL296" s="58"/>
      <c r="FM296" s="58"/>
      <c r="FN296" s="58"/>
      <c r="FO296" s="58"/>
      <c r="FP296" s="58"/>
      <c r="FQ296" s="58"/>
      <c r="FR296" s="58"/>
      <c r="FS296" s="58"/>
      <c r="FT296" s="58"/>
      <c r="FU296" s="58"/>
      <c r="FV296" s="58"/>
      <c r="FW296" s="58"/>
      <c r="FX296" s="58"/>
      <c r="FY296" s="58"/>
      <c r="FZ296" s="58"/>
      <c r="GA296" s="58"/>
      <c r="GB296" s="58"/>
      <c r="GC296" s="58"/>
      <c r="GD296" s="58"/>
      <c r="GE296" s="58"/>
      <c r="GF296" s="58"/>
      <c r="GG296" s="58"/>
      <c r="GH296" s="58"/>
      <c r="GI296" s="58"/>
      <c r="GJ296" s="58"/>
      <c r="GK296" s="58"/>
    </row>
    <row r="297" spans="1:193" s="74" customFormat="1">
      <c r="A297" s="78"/>
      <c r="B297" s="78"/>
      <c r="C297" s="78"/>
      <c r="D297" s="78"/>
      <c r="E297" s="78"/>
      <c r="F297" s="78"/>
      <c r="G297" s="77"/>
      <c r="H297" s="369"/>
      <c r="I297" s="369"/>
      <c r="J297" s="78"/>
      <c r="K297" s="58"/>
      <c r="L297" s="369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  <c r="EN297" s="58"/>
      <c r="EO297" s="58"/>
      <c r="EP297" s="58"/>
      <c r="EQ297" s="58"/>
      <c r="ER297" s="58"/>
      <c r="ES297" s="58"/>
      <c r="ET297" s="58"/>
      <c r="EU297" s="58"/>
      <c r="EV297" s="58"/>
      <c r="EW297" s="58"/>
      <c r="EX297" s="58"/>
      <c r="EY297" s="58"/>
      <c r="EZ297" s="58"/>
      <c r="FA297" s="58"/>
      <c r="FB297" s="58"/>
      <c r="FC297" s="58"/>
      <c r="FD297" s="58"/>
      <c r="FE297" s="58"/>
      <c r="FF297" s="58"/>
      <c r="FG297" s="58"/>
      <c r="FH297" s="58"/>
      <c r="FI297" s="58"/>
      <c r="FJ297" s="58"/>
      <c r="FK297" s="58"/>
      <c r="FL297" s="58"/>
      <c r="FM297" s="58"/>
      <c r="FN297" s="58"/>
      <c r="FO297" s="58"/>
      <c r="FP297" s="58"/>
      <c r="FQ297" s="58"/>
      <c r="FR297" s="58"/>
      <c r="FS297" s="58"/>
      <c r="FT297" s="58"/>
      <c r="FU297" s="58"/>
      <c r="FV297" s="58"/>
      <c r="FW297" s="58"/>
      <c r="FX297" s="58"/>
      <c r="FY297" s="58"/>
      <c r="FZ297" s="58"/>
      <c r="GA297" s="58"/>
      <c r="GB297" s="58"/>
      <c r="GC297" s="58"/>
      <c r="GD297" s="58"/>
      <c r="GE297" s="58"/>
      <c r="GF297" s="58"/>
      <c r="GG297" s="58"/>
      <c r="GH297" s="58"/>
      <c r="GI297" s="58"/>
      <c r="GJ297" s="58"/>
      <c r="GK297" s="58"/>
    </row>
    <row r="298" spans="1:193" s="74" customFormat="1">
      <c r="A298" s="78"/>
      <c r="B298" s="78"/>
      <c r="C298" s="78"/>
      <c r="D298" s="78"/>
      <c r="E298" s="78"/>
      <c r="F298" s="78"/>
      <c r="G298" s="77"/>
      <c r="H298" s="369"/>
      <c r="I298" s="369"/>
      <c r="J298" s="78"/>
      <c r="K298" s="58"/>
      <c r="L298" s="369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  <c r="EN298" s="58"/>
      <c r="EO298" s="58"/>
      <c r="EP298" s="58"/>
      <c r="EQ298" s="58"/>
      <c r="ER298" s="58"/>
      <c r="ES298" s="58"/>
      <c r="ET298" s="58"/>
      <c r="EU298" s="58"/>
      <c r="EV298" s="58"/>
      <c r="EW298" s="58"/>
      <c r="EX298" s="58"/>
      <c r="EY298" s="58"/>
      <c r="EZ298" s="58"/>
      <c r="FA298" s="58"/>
      <c r="FB298" s="58"/>
      <c r="FC298" s="58"/>
      <c r="FD298" s="58"/>
      <c r="FE298" s="58"/>
      <c r="FF298" s="58"/>
      <c r="FG298" s="58"/>
      <c r="FH298" s="58"/>
      <c r="FI298" s="58"/>
      <c r="FJ298" s="58"/>
      <c r="FK298" s="58"/>
      <c r="FL298" s="58"/>
      <c r="FM298" s="58"/>
      <c r="FN298" s="58"/>
      <c r="FO298" s="58"/>
      <c r="FP298" s="58"/>
      <c r="FQ298" s="58"/>
      <c r="FR298" s="58"/>
      <c r="FS298" s="58"/>
      <c r="FT298" s="58"/>
      <c r="FU298" s="58"/>
      <c r="FV298" s="58"/>
      <c r="FW298" s="58"/>
      <c r="FX298" s="58"/>
      <c r="FY298" s="58"/>
      <c r="FZ298" s="58"/>
      <c r="GA298" s="58"/>
      <c r="GB298" s="58"/>
      <c r="GC298" s="58"/>
      <c r="GD298" s="58"/>
      <c r="GE298" s="58"/>
      <c r="GF298" s="58"/>
      <c r="GG298" s="58"/>
      <c r="GH298" s="58"/>
      <c r="GI298" s="58"/>
      <c r="GJ298" s="58"/>
      <c r="GK298" s="58"/>
    </row>
    <row r="299" spans="1:193" s="74" customFormat="1">
      <c r="A299" s="78"/>
      <c r="B299" s="78"/>
      <c r="C299" s="78"/>
      <c r="D299" s="78"/>
      <c r="E299" s="78"/>
      <c r="F299" s="78"/>
      <c r="G299" s="77"/>
      <c r="H299" s="369"/>
      <c r="I299" s="369"/>
      <c r="J299" s="78"/>
      <c r="K299" s="58"/>
      <c r="L299" s="369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  <c r="EN299" s="58"/>
      <c r="EO299" s="58"/>
      <c r="EP299" s="58"/>
      <c r="EQ299" s="58"/>
      <c r="ER299" s="58"/>
      <c r="ES299" s="58"/>
      <c r="ET299" s="58"/>
      <c r="EU299" s="58"/>
      <c r="EV299" s="58"/>
      <c r="EW299" s="58"/>
      <c r="EX299" s="58"/>
      <c r="EY299" s="58"/>
      <c r="EZ299" s="58"/>
      <c r="FA299" s="58"/>
      <c r="FB299" s="58"/>
      <c r="FC299" s="58"/>
      <c r="FD299" s="58"/>
      <c r="FE299" s="58"/>
      <c r="FF299" s="58"/>
      <c r="FG299" s="58"/>
      <c r="FH299" s="58"/>
      <c r="FI299" s="58"/>
      <c r="FJ299" s="58"/>
      <c r="FK299" s="58"/>
      <c r="FL299" s="58"/>
      <c r="FM299" s="58"/>
      <c r="FN299" s="58"/>
      <c r="FO299" s="58"/>
      <c r="FP299" s="58"/>
      <c r="FQ299" s="58"/>
      <c r="FR299" s="58"/>
      <c r="FS299" s="58"/>
      <c r="FT299" s="58"/>
      <c r="FU299" s="58"/>
      <c r="FV299" s="58"/>
      <c r="FW299" s="58"/>
      <c r="FX299" s="58"/>
      <c r="FY299" s="58"/>
      <c r="FZ299" s="58"/>
      <c r="GA299" s="58"/>
      <c r="GB299" s="58"/>
      <c r="GC299" s="58"/>
      <c r="GD299" s="58"/>
      <c r="GE299" s="58"/>
      <c r="GF299" s="58"/>
      <c r="GG299" s="58"/>
      <c r="GH299" s="58"/>
      <c r="GI299" s="58"/>
      <c r="GJ299" s="58"/>
      <c r="GK299" s="58"/>
    </row>
    <row r="300" spans="1:193" s="74" customFormat="1">
      <c r="A300" s="78"/>
      <c r="B300" s="78"/>
      <c r="C300" s="78"/>
      <c r="D300" s="78"/>
      <c r="E300" s="78"/>
      <c r="F300" s="78"/>
      <c r="G300" s="77"/>
      <c r="H300" s="369"/>
      <c r="I300" s="369"/>
      <c r="J300" s="78"/>
      <c r="K300" s="58"/>
      <c r="L300" s="369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  <c r="EN300" s="58"/>
      <c r="EO300" s="58"/>
      <c r="EP300" s="58"/>
      <c r="EQ300" s="58"/>
      <c r="ER300" s="58"/>
      <c r="ES300" s="58"/>
      <c r="ET300" s="58"/>
      <c r="EU300" s="58"/>
      <c r="EV300" s="58"/>
      <c r="EW300" s="58"/>
      <c r="EX300" s="58"/>
      <c r="EY300" s="58"/>
      <c r="EZ300" s="58"/>
      <c r="FA300" s="58"/>
      <c r="FB300" s="58"/>
      <c r="FC300" s="58"/>
      <c r="FD300" s="58"/>
      <c r="FE300" s="58"/>
      <c r="FF300" s="58"/>
      <c r="FG300" s="58"/>
      <c r="FH300" s="58"/>
      <c r="FI300" s="58"/>
      <c r="FJ300" s="58"/>
      <c r="FK300" s="58"/>
      <c r="FL300" s="58"/>
      <c r="FM300" s="58"/>
      <c r="FN300" s="58"/>
      <c r="FO300" s="58"/>
      <c r="FP300" s="58"/>
      <c r="FQ300" s="58"/>
      <c r="FR300" s="58"/>
      <c r="FS300" s="58"/>
      <c r="FT300" s="58"/>
      <c r="FU300" s="58"/>
      <c r="FV300" s="58"/>
      <c r="FW300" s="58"/>
      <c r="FX300" s="58"/>
      <c r="FY300" s="58"/>
      <c r="FZ300" s="58"/>
      <c r="GA300" s="58"/>
      <c r="GB300" s="58"/>
      <c r="GC300" s="58"/>
      <c r="GD300" s="58"/>
      <c r="GE300" s="58"/>
      <c r="GF300" s="58"/>
      <c r="GG300" s="58"/>
      <c r="GH300" s="58"/>
      <c r="GI300" s="58"/>
      <c r="GJ300" s="58"/>
      <c r="GK300" s="58"/>
    </row>
    <row r="301" spans="1:193" s="74" customFormat="1">
      <c r="A301" s="78"/>
      <c r="B301" s="78"/>
      <c r="C301" s="78"/>
      <c r="D301" s="78"/>
      <c r="E301" s="78"/>
      <c r="F301" s="78"/>
      <c r="G301" s="77"/>
      <c r="H301" s="369"/>
      <c r="I301" s="369"/>
      <c r="J301" s="78"/>
      <c r="K301" s="58"/>
      <c r="L301" s="369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  <c r="EN301" s="58"/>
      <c r="EO301" s="58"/>
      <c r="EP301" s="58"/>
      <c r="EQ301" s="58"/>
      <c r="ER301" s="58"/>
      <c r="ES301" s="58"/>
      <c r="ET301" s="58"/>
      <c r="EU301" s="58"/>
      <c r="EV301" s="58"/>
      <c r="EW301" s="58"/>
      <c r="EX301" s="58"/>
      <c r="EY301" s="58"/>
      <c r="EZ301" s="58"/>
      <c r="FA301" s="58"/>
      <c r="FB301" s="58"/>
      <c r="FC301" s="58"/>
      <c r="FD301" s="58"/>
      <c r="FE301" s="58"/>
      <c r="FF301" s="58"/>
      <c r="FG301" s="58"/>
      <c r="FH301" s="58"/>
      <c r="FI301" s="58"/>
      <c r="FJ301" s="58"/>
      <c r="FK301" s="58"/>
      <c r="FL301" s="58"/>
      <c r="FM301" s="58"/>
      <c r="FN301" s="58"/>
      <c r="FO301" s="58"/>
      <c r="FP301" s="58"/>
      <c r="FQ301" s="58"/>
      <c r="FR301" s="58"/>
      <c r="FS301" s="58"/>
      <c r="FT301" s="58"/>
      <c r="FU301" s="58"/>
      <c r="FV301" s="58"/>
      <c r="FW301" s="58"/>
      <c r="FX301" s="58"/>
      <c r="FY301" s="58"/>
      <c r="FZ301" s="58"/>
      <c r="GA301" s="58"/>
      <c r="GB301" s="58"/>
      <c r="GC301" s="58"/>
      <c r="GD301" s="58"/>
      <c r="GE301" s="58"/>
      <c r="GF301" s="58"/>
      <c r="GG301" s="58"/>
      <c r="GH301" s="58"/>
      <c r="GI301" s="58"/>
      <c r="GJ301" s="58"/>
      <c r="GK301" s="58"/>
    </row>
    <row r="302" spans="1:193" s="74" customFormat="1">
      <c r="A302" s="78"/>
      <c r="B302" s="78"/>
      <c r="C302" s="78"/>
      <c r="D302" s="78"/>
      <c r="E302" s="78"/>
      <c r="F302" s="78"/>
      <c r="G302" s="77"/>
      <c r="H302" s="369"/>
      <c r="I302" s="369"/>
      <c r="J302" s="78"/>
      <c r="K302" s="58"/>
      <c r="L302" s="369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  <c r="EM302" s="58"/>
      <c r="EN302" s="58"/>
      <c r="EO302" s="58"/>
      <c r="EP302" s="58"/>
      <c r="EQ302" s="58"/>
      <c r="ER302" s="58"/>
      <c r="ES302" s="58"/>
      <c r="ET302" s="58"/>
      <c r="EU302" s="58"/>
      <c r="EV302" s="58"/>
      <c r="EW302" s="58"/>
      <c r="EX302" s="58"/>
      <c r="EY302" s="58"/>
      <c r="EZ302" s="58"/>
      <c r="FA302" s="58"/>
      <c r="FB302" s="58"/>
      <c r="FC302" s="58"/>
      <c r="FD302" s="58"/>
      <c r="FE302" s="58"/>
      <c r="FF302" s="58"/>
      <c r="FG302" s="58"/>
      <c r="FH302" s="58"/>
      <c r="FI302" s="58"/>
      <c r="FJ302" s="58"/>
      <c r="FK302" s="58"/>
      <c r="FL302" s="58"/>
      <c r="FM302" s="58"/>
      <c r="FN302" s="58"/>
      <c r="FO302" s="58"/>
      <c r="FP302" s="58"/>
      <c r="FQ302" s="58"/>
      <c r="FR302" s="58"/>
      <c r="FS302" s="58"/>
      <c r="FT302" s="58"/>
      <c r="FU302" s="58"/>
      <c r="FV302" s="58"/>
      <c r="FW302" s="58"/>
      <c r="FX302" s="58"/>
      <c r="FY302" s="58"/>
      <c r="FZ302" s="58"/>
      <c r="GA302" s="58"/>
      <c r="GB302" s="58"/>
      <c r="GC302" s="58"/>
      <c r="GD302" s="58"/>
      <c r="GE302" s="58"/>
      <c r="GF302" s="58"/>
      <c r="GG302" s="58"/>
      <c r="GH302" s="58"/>
      <c r="GI302" s="58"/>
      <c r="GJ302" s="58"/>
      <c r="GK302" s="58"/>
    </row>
    <row r="303" spans="1:193" s="74" customFormat="1">
      <c r="A303" s="78"/>
      <c r="B303" s="78"/>
      <c r="C303" s="78"/>
      <c r="D303" s="78"/>
      <c r="E303" s="78"/>
      <c r="F303" s="78"/>
      <c r="G303" s="77"/>
      <c r="H303" s="369"/>
      <c r="I303" s="369"/>
      <c r="J303" s="78"/>
      <c r="K303" s="58"/>
      <c r="L303" s="369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  <c r="EN303" s="58"/>
      <c r="EO303" s="58"/>
      <c r="EP303" s="58"/>
      <c r="EQ303" s="58"/>
      <c r="ER303" s="58"/>
      <c r="ES303" s="58"/>
      <c r="ET303" s="58"/>
      <c r="EU303" s="58"/>
      <c r="EV303" s="58"/>
      <c r="EW303" s="58"/>
      <c r="EX303" s="58"/>
      <c r="EY303" s="58"/>
      <c r="EZ303" s="58"/>
      <c r="FA303" s="58"/>
      <c r="FB303" s="58"/>
      <c r="FC303" s="58"/>
      <c r="FD303" s="58"/>
      <c r="FE303" s="58"/>
      <c r="FF303" s="58"/>
      <c r="FG303" s="58"/>
      <c r="FH303" s="58"/>
      <c r="FI303" s="58"/>
      <c r="FJ303" s="58"/>
      <c r="FK303" s="58"/>
      <c r="FL303" s="58"/>
      <c r="FM303" s="58"/>
      <c r="FN303" s="58"/>
      <c r="FO303" s="58"/>
      <c r="FP303" s="58"/>
      <c r="FQ303" s="58"/>
      <c r="FR303" s="58"/>
      <c r="FS303" s="58"/>
      <c r="FT303" s="58"/>
      <c r="FU303" s="58"/>
      <c r="FV303" s="58"/>
      <c r="FW303" s="58"/>
      <c r="FX303" s="58"/>
      <c r="FY303" s="58"/>
      <c r="FZ303" s="58"/>
      <c r="GA303" s="58"/>
      <c r="GB303" s="58"/>
      <c r="GC303" s="58"/>
      <c r="GD303" s="58"/>
      <c r="GE303" s="58"/>
      <c r="GF303" s="58"/>
      <c r="GG303" s="58"/>
      <c r="GH303" s="58"/>
      <c r="GI303" s="58"/>
      <c r="GJ303" s="58"/>
      <c r="GK303" s="58"/>
    </row>
    <row r="304" spans="1:193" s="74" customFormat="1">
      <c r="A304" s="78"/>
      <c r="B304" s="78"/>
      <c r="C304" s="78"/>
      <c r="D304" s="78"/>
      <c r="E304" s="78"/>
      <c r="F304" s="78"/>
      <c r="G304" s="77"/>
      <c r="H304" s="369"/>
      <c r="I304" s="369"/>
      <c r="J304" s="78"/>
      <c r="K304" s="58"/>
      <c r="L304" s="369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  <c r="EN304" s="58"/>
      <c r="EO304" s="58"/>
      <c r="EP304" s="58"/>
      <c r="EQ304" s="58"/>
      <c r="ER304" s="58"/>
      <c r="ES304" s="58"/>
      <c r="ET304" s="58"/>
      <c r="EU304" s="58"/>
      <c r="EV304" s="58"/>
      <c r="EW304" s="58"/>
      <c r="EX304" s="58"/>
      <c r="EY304" s="58"/>
      <c r="EZ304" s="58"/>
      <c r="FA304" s="58"/>
      <c r="FB304" s="58"/>
      <c r="FC304" s="58"/>
      <c r="FD304" s="58"/>
      <c r="FE304" s="58"/>
      <c r="FF304" s="58"/>
      <c r="FG304" s="58"/>
      <c r="FH304" s="58"/>
      <c r="FI304" s="58"/>
      <c r="FJ304" s="58"/>
      <c r="FK304" s="58"/>
      <c r="FL304" s="58"/>
      <c r="FM304" s="58"/>
      <c r="FN304" s="58"/>
      <c r="FO304" s="58"/>
      <c r="FP304" s="58"/>
      <c r="FQ304" s="58"/>
      <c r="FR304" s="58"/>
      <c r="FS304" s="58"/>
      <c r="FT304" s="58"/>
      <c r="FU304" s="58"/>
      <c r="FV304" s="58"/>
      <c r="FW304" s="58"/>
      <c r="FX304" s="58"/>
      <c r="FY304" s="58"/>
      <c r="FZ304" s="58"/>
      <c r="GA304" s="58"/>
      <c r="GB304" s="58"/>
      <c r="GC304" s="58"/>
      <c r="GD304" s="58"/>
      <c r="GE304" s="58"/>
      <c r="GF304" s="58"/>
      <c r="GG304" s="58"/>
      <c r="GH304" s="58"/>
      <c r="GI304" s="58"/>
      <c r="GJ304" s="58"/>
      <c r="GK304" s="58"/>
    </row>
    <row r="305" spans="1:193" s="74" customFormat="1">
      <c r="A305" s="78"/>
      <c r="B305" s="78"/>
      <c r="C305" s="78"/>
      <c r="D305" s="78"/>
      <c r="E305" s="78"/>
      <c r="F305" s="78"/>
      <c r="G305" s="77"/>
      <c r="H305" s="369"/>
      <c r="I305" s="369"/>
      <c r="J305" s="78"/>
      <c r="K305" s="58"/>
      <c r="L305" s="369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  <c r="EN305" s="58"/>
      <c r="EO305" s="58"/>
      <c r="EP305" s="58"/>
      <c r="EQ305" s="58"/>
      <c r="ER305" s="58"/>
      <c r="ES305" s="58"/>
      <c r="ET305" s="58"/>
      <c r="EU305" s="58"/>
      <c r="EV305" s="58"/>
      <c r="EW305" s="58"/>
      <c r="EX305" s="58"/>
      <c r="EY305" s="58"/>
      <c r="EZ305" s="58"/>
      <c r="FA305" s="58"/>
      <c r="FB305" s="58"/>
      <c r="FC305" s="58"/>
      <c r="FD305" s="58"/>
      <c r="FE305" s="58"/>
      <c r="FF305" s="58"/>
      <c r="FG305" s="58"/>
      <c r="FH305" s="58"/>
      <c r="FI305" s="58"/>
      <c r="FJ305" s="58"/>
      <c r="FK305" s="58"/>
      <c r="FL305" s="58"/>
      <c r="FM305" s="58"/>
      <c r="FN305" s="58"/>
      <c r="FO305" s="58"/>
      <c r="FP305" s="58"/>
      <c r="FQ305" s="58"/>
      <c r="FR305" s="58"/>
      <c r="FS305" s="58"/>
      <c r="FT305" s="58"/>
      <c r="FU305" s="58"/>
      <c r="FV305" s="58"/>
      <c r="FW305" s="58"/>
      <c r="FX305" s="58"/>
      <c r="FY305" s="58"/>
      <c r="FZ305" s="58"/>
      <c r="GA305" s="58"/>
      <c r="GB305" s="58"/>
      <c r="GC305" s="58"/>
      <c r="GD305" s="58"/>
      <c r="GE305" s="58"/>
      <c r="GF305" s="58"/>
      <c r="GG305" s="58"/>
      <c r="GH305" s="58"/>
      <c r="GI305" s="58"/>
      <c r="GJ305" s="58"/>
      <c r="GK305" s="58"/>
    </row>
    <row r="306" spans="1:193" s="74" customFormat="1">
      <c r="A306" s="78"/>
      <c r="B306" s="78"/>
      <c r="C306" s="78"/>
      <c r="D306" s="78"/>
      <c r="E306" s="78"/>
      <c r="F306" s="78"/>
      <c r="G306" s="77"/>
      <c r="H306" s="369"/>
      <c r="I306" s="369"/>
      <c r="J306" s="78"/>
      <c r="K306" s="58"/>
      <c r="L306" s="369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  <c r="EM306" s="58"/>
      <c r="EN306" s="58"/>
      <c r="EO306" s="58"/>
      <c r="EP306" s="58"/>
      <c r="EQ306" s="58"/>
      <c r="ER306" s="58"/>
      <c r="ES306" s="58"/>
      <c r="ET306" s="58"/>
      <c r="EU306" s="58"/>
      <c r="EV306" s="58"/>
      <c r="EW306" s="58"/>
      <c r="EX306" s="58"/>
      <c r="EY306" s="58"/>
      <c r="EZ306" s="58"/>
      <c r="FA306" s="58"/>
      <c r="FB306" s="58"/>
      <c r="FC306" s="58"/>
      <c r="FD306" s="58"/>
      <c r="FE306" s="58"/>
      <c r="FF306" s="58"/>
      <c r="FG306" s="58"/>
      <c r="FH306" s="58"/>
      <c r="FI306" s="58"/>
      <c r="FJ306" s="58"/>
      <c r="FK306" s="58"/>
      <c r="FL306" s="58"/>
      <c r="FM306" s="58"/>
      <c r="FN306" s="58"/>
      <c r="FO306" s="58"/>
      <c r="FP306" s="58"/>
      <c r="FQ306" s="58"/>
      <c r="FR306" s="58"/>
      <c r="FS306" s="58"/>
      <c r="FT306" s="58"/>
      <c r="FU306" s="58"/>
      <c r="FV306" s="58"/>
      <c r="FW306" s="58"/>
      <c r="FX306" s="58"/>
      <c r="FY306" s="58"/>
      <c r="FZ306" s="58"/>
      <c r="GA306" s="58"/>
      <c r="GB306" s="58"/>
      <c r="GC306" s="58"/>
      <c r="GD306" s="58"/>
      <c r="GE306" s="58"/>
      <c r="GF306" s="58"/>
      <c r="GG306" s="58"/>
      <c r="GH306" s="58"/>
      <c r="GI306" s="58"/>
      <c r="GJ306" s="58"/>
      <c r="GK306" s="58"/>
    </row>
    <row r="307" spans="1:193" s="74" customFormat="1">
      <c r="A307" s="78"/>
      <c r="B307" s="78"/>
      <c r="C307" s="78"/>
      <c r="D307" s="78"/>
      <c r="E307" s="78"/>
      <c r="F307" s="78"/>
      <c r="G307" s="77"/>
      <c r="H307" s="369"/>
      <c r="I307" s="369"/>
      <c r="J307" s="78"/>
      <c r="K307" s="58"/>
      <c r="L307" s="369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  <c r="EM307" s="58"/>
      <c r="EN307" s="58"/>
      <c r="EO307" s="58"/>
      <c r="EP307" s="58"/>
      <c r="EQ307" s="58"/>
      <c r="ER307" s="58"/>
      <c r="ES307" s="58"/>
      <c r="ET307" s="58"/>
      <c r="EU307" s="58"/>
      <c r="EV307" s="58"/>
      <c r="EW307" s="58"/>
      <c r="EX307" s="58"/>
      <c r="EY307" s="58"/>
      <c r="EZ307" s="58"/>
      <c r="FA307" s="58"/>
      <c r="FB307" s="58"/>
      <c r="FC307" s="58"/>
      <c r="FD307" s="58"/>
      <c r="FE307" s="58"/>
      <c r="FF307" s="58"/>
      <c r="FG307" s="58"/>
      <c r="FH307" s="58"/>
      <c r="FI307" s="58"/>
      <c r="FJ307" s="58"/>
      <c r="FK307" s="58"/>
      <c r="FL307" s="58"/>
      <c r="FM307" s="58"/>
      <c r="FN307" s="58"/>
      <c r="FO307" s="58"/>
      <c r="FP307" s="58"/>
      <c r="FQ307" s="58"/>
      <c r="FR307" s="58"/>
      <c r="FS307" s="58"/>
      <c r="FT307" s="58"/>
      <c r="FU307" s="58"/>
      <c r="FV307" s="58"/>
      <c r="FW307" s="58"/>
      <c r="FX307" s="58"/>
      <c r="FY307" s="58"/>
      <c r="FZ307" s="58"/>
      <c r="GA307" s="58"/>
      <c r="GB307" s="58"/>
      <c r="GC307" s="58"/>
      <c r="GD307" s="58"/>
      <c r="GE307" s="58"/>
      <c r="GF307" s="58"/>
      <c r="GG307" s="58"/>
      <c r="GH307" s="58"/>
      <c r="GI307" s="58"/>
      <c r="GJ307" s="58"/>
      <c r="GK307" s="58"/>
    </row>
    <row r="308" spans="1:193" s="74" customFormat="1">
      <c r="A308" s="78"/>
      <c r="B308" s="78"/>
      <c r="C308" s="78"/>
      <c r="D308" s="78"/>
      <c r="E308" s="78"/>
      <c r="F308" s="78"/>
      <c r="G308" s="77"/>
      <c r="H308" s="369"/>
      <c r="I308" s="369"/>
      <c r="J308" s="78"/>
      <c r="K308" s="58"/>
      <c r="L308" s="369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  <c r="EN308" s="58"/>
      <c r="EO308" s="58"/>
      <c r="EP308" s="58"/>
      <c r="EQ308" s="58"/>
      <c r="ER308" s="58"/>
      <c r="ES308" s="58"/>
      <c r="ET308" s="58"/>
      <c r="EU308" s="58"/>
      <c r="EV308" s="58"/>
      <c r="EW308" s="58"/>
      <c r="EX308" s="58"/>
      <c r="EY308" s="58"/>
      <c r="EZ308" s="58"/>
      <c r="FA308" s="58"/>
      <c r="FB308" s="58"/>
      <c r="FC308" s="58"/>
      <c r="FD308" s="58"/>
      <c r="FE308" s="58"/>
      <c r="FF308" s="58"/>
      <c r="FG308" s="58"/>
      <c r="FH308" s="58"/>
      <c r="FI308" s="58"/>
      <c r="FJ308" s="58"/>
      <c r="FK308" s="58"/>
      <c r="FL308" s="58"/>
      <c r="FM308" s="58"/>
      <c r="FN308" s="58"/>
      <c r="FO308" s="58"/>
      <c r="FP308" s="58"/>
      <c r="FQ308" s="58"/>
      <c r="FR308" s="58"/>
      <c r="FS308" s="58"/>
      <c r="FT308" s="58"/>
      <c r="FU308" s="58"/>
      <c r="FV308" s="58"/>
      <c r="FW308" s="58"/>
      <c r="FX308" s="58"/>
      <c r="FY308" s="58"/>
      <c r="FZ308" s="58"/>
      <c r="GA308" s="58"/>
      <c r="GB308" s="58"/>
      <c r="GC308" s="58"/>
      <c r="GD308" s="58"/>
      <c r="GE308" s="58"/>
      <c r="GF308" s="58"/>
      <c r="GG308" s="58"/>
      <c r="GH308" s="58"/>
      <c r="GI308" s="58"/>
      <c r="GJ308" s="58"/>
      <c r="GK308" s="58"/>
    </row>
    <row r="309" spans="1:193" s="74" customFormat="1">
      <c r="A309" s="78"/>
      <c r="B309" s="78"/>
      <c r="C309" s="78"/>
      <c r="D309" s="78"/>
      <c r="E309" s="78"/>
      <c r="F309" s="78"/>
      <c r="G309" s="77"/>
      <c r="H309" s="369"/>
      <c r="I309" s="369"/>
      <c r="J309" s="78"/>
      <c r="K309" s="58"/>
      <c r="L309" s="369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  <c r="EN309" s="58"/>
      <c r="EO309" s="58"/>
      <c r="EP309" s="58"/>
      <c r="EQ309" s="58"/>
      <c r="ER309" s="58"/>
      <c r="ES309" s="58"/>
      <c r="ET309" s="58"/>
      <c r="EU309" s="58"/>
      <c r="EV309" s="58"/>
      <c r="EW309" s="58"/>
      <c r="EX309" s="58"/>
      <c r="EY309" s="58"/>
      <c r="EZ309" s="58"/>
      <c r="FA309" s="58"/>
      <c r="FB309" s="58"/>
      <c r="FC309" s="58"/>
      <c r="FD309" s="58"/>
      <c r="FE309" s="58"/>
      <c r="FF309" s="58"/>
      <c r="FG309" s="58"/>
      <c r="FH309" s="58"/>
      <c r="FI309" s="58"/>
      <c r="FJ309" s="58"/>
      <c r="FK309" s="58"/>
      <c r="FL309" s="58"/>
      <c r="FM309" s="58"/>
      <c r="FN309" s="58"/>
      <c r="FO309" s="58"/>
      <c r="FP309" s="58"/>
      <c r="FQ309" s="58"/>
      <c r="FR309" s="58"/>
      <c r="FS309" s="58"/>
      <c r="FT309" s="58"/>
      <c r="FU309" s="58"/>
      <c r="FV309" s="58"/>
      <c r="FW309" s="58"/>
      <c r="FX309" s="58"/>
      <c r="FY309" s="58"/>
      <c r="FZ309" s="58"/>
      <c r="GA309" s="58"/>
      <c r="GB309" s="58"/>
      <c r="GC309" s="58"/>
      <c r="GD309" s="58"/>
      <c r="GE309" s="58"/>
      <c r="GF309" s="58"/>
      <c r="GG309" s="58"/>
      <c r="GH309" s="58"/>
      <c r="GI309" s="58"/>
      <c r="GJ309" s="58"/>
      <c r="GK309" s="58"/>
    </row>
    <row r="310" spans="1:193" s="74" customFormat="1">
      <c r="A310" s="78"/>
      <c r="B310" s="78"/>
      <c r="C310" s="78"/>
      <c r="D310" s="78"/>
      <c r="E310" s="78"/>
      <c r="F310" s="78"/>
      <c r="G310" s="77"/>
      <c r="H310" s="369"/>
      <c r="I310" s="369"/>
      <c r="J310" s="78"/>
      <c r="K310" s="58"/>
      <c r="L310" s="369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  <c r="EN310" s="58"/>
      <c r="EO310" s="58"/>
      <c r="EP310" s="58"/>
      <c r="EQ310" s="58"/>
      <c r="ER310" s="58"/>
      <c r="ES310" s="58"/>
      <c r="ET310" s="58"/>
      <c r="EU310" s="58"/>
      <c r="EV310" s="58"/>
      <c r="EW310" s="58"/>
      <c r="EX310" s="58"/>
      <c r="EY310" s="58"/>
      <c r="EZ310" s="58"/>
      <c r="FA310" s="58"/>
      <c r="FB310" s="58"/>
      <c r="FC310" s="58"/>
      <c r="FD310" s="58"/>
      <c r="FE310" s="58"/>
      <c r="FF310" s="58"/>
      <c r="FG310" s="58"/>
      <c r="FH310" s="58"/>
      <c r="FI310" s="58"/>
      <c r="FJ310" s="58"/>
      <c r="FK310" s="58"/>
      <c r="FL310" s="58"/>
      <c r="FM310" s="58"/>
      <c r="FN310" s="58"/>
      <c r="FO310" s="58"/>
      <c r="FP310" s="58"/>
      <c r="FQ310" s="58"/>
      <c r="FR310" s="58"/>
      <c r="FS310" s="58"/>
      <c r="FT310" s="58"/>
      <c r="FU310" s="58"/>
      <c r="FV310" s="58"/>
      <c r="FW310" s="58"/>
      <c r="FX310" s="58"/>
      <c r="FY310" s="58"/>
      <c r="FZ310" s="58"/>
      <c r="GA310" s="58"/>
      <c r="GB310" s="58"/>
      <c r="GC310" s="58"/>
      <c r="GD310" s="58"/>
      <c r="GE310" s="58"/>
      <c r="GF310" s="58"/>
      <c r="GG310" s="58"/>
      <c r="GH310" s="58"/>
      <c r="GI310" s="58"/>
      <c r="GJ310" s="58"/>
      <c r="GK310" s="58"/>
    </row>
    <row r="311" spans="1:193" s="74" customFormat="1">
      <c r="A311" s="78"/>
      <c r="B311" s="78"/>
      <c r="C311" s="78"/>
      <c r="D311" s="78"/>
      <c r="E311" s="78"/>
      <c r="F311" s="78"/>
      <c r="G311" s="77"/>
      <c r="H311" s="369"/>
      <c r="I311" s="369"/>
      <c r="J311" s="78"/>
      <c r="K311" s="58"/>
      <c r="L311" s="369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  <c r="EN311" s="58"/>
      <c r="EO311" s="58"/>
      <c r="EP311" s="58"/>
      <c r="EQ311" s="58"/>
      <c r="ER311" s="58"/>
      <c r="ES311" s="58"/>
      <c r="ET311" s="58"/>
      <c r="EU311" s="58"/>
      <c r="EV311" s="58"/>
      <c r="EW311" s="58"/>
      <c r="EX311" s="58"/>
      <c r="EY311" s="58"/>
      <c r="EZ311" s="58"/>
      <c r="FA311" s="58"/>
      <c r="FB311" s="58"/>
      <c r="FC311" s="58"/>
      <c r="FD311" s="58"/>
      <c r="FE311" s="58"/>
      <c r="FF311" s="58"/>
      <c r="FG311" s="58"/>
      <c r="FH311" s="58"/>
      <c r="FI311" s="58"/>
      <c r="FJ311" s="58"/>
      <c r="FK311" s="58"/>
      <c r="FL311" s="58"/>
      <c r="FM311" s="58"/>
      <c r="FN311" s="58"/>
      <c r="FO311" s="58"/>
      <c r="FP311" s="58"/>
      <c r="FQ311" s="58"/>
      <c r="FR311" s="58"/>
      <c r="FS311" s="58"/>
      <c r="FT311" s="58"/>
      <c r="FU311" s="58"/>
      <c r="FV311" s="58"/>
      <c r="FW311" s="58"/>
      <c r="FX311" s="58"/>
      <c r="FY311" s="58"/>
      <c r="FZ311" s="58"/>
      <c r="GA311" s="58"/>
      <c r="GB311" s="58"/>
      <c r="GC311" s="58"/>
      <c r="GD311" s="58"/>
      <c r="GE311" s="58"/>
      <c r="GF311" s="58"/>
      <c r="GG311" s="58"/>
      <c r="GH311" s="58"/>
      <c r="GI311" s="58"/>
      <c r="GJ311" s="58"/>
      <c r="GK311" s="58"/>
    </row>
    <row r="312" spans="1:193" s="74" customFormat="1">
      <c r="A312" s="78"/>
      <c r="B312" s="78"/>
      <c r="C312" s="78"/>
      <c r="D312" s="78"/>
      <c r="E312" s="78"/>
      <c r="F312" s="78"/>
      <c r="G312" s="77"/>
      <c r="H312" s="369"/>
      <c r="I312" s="369"/>
      <c r="J312" s="78"/>
      <c r="K312" s="58"/>
      <c r="L312" s="369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  <c r="EN312" s="58"/>
      <c r="EO312" s="58"/>
      <c r="EP312" s="58"/>
      <c r="EQ312" s="58"/>
      <c r="ER312" s="58"/>
      <c r="ES312" s="58"/>
      <c r="ET312" s="58"/>
      <c r="EU312" s="58"/>
      <c r="EV312" s="58"/>
      <c r="EW312" s="58"/>
      <c r="EX312" s="58"/>
      <c r="EY312" s="58"/>
      <c r="EZ312" s="58"/>
      <c r="FA312" s="58"/>
      <c r="FB312" s="58"/>
      <c r="FC312" s="58"/>
      <c r="FD312" s="58"/>
      <c r="FE312" s="58"/>
      <c r="FF312" s="58"/>
      <c r="FG312" s="58"/>
      <c r="FH312" s="58"/>
      <c r="FI312" s="58"/>
      <c r="FJ312" s="58"/>
      <c r="FK312" s="58"/>
      <c r="FL312" s="58"/>
      <c r="FM312" s="58"/>
      <c r="FN312" s="58"/>
      <c r="FO312" s="58"/>
      <c r="FP312" s="58"/>
      <c r="FQ312" s="58"/>
      <c r="FR312" s="58"/>
      <c r="FS312" s="58"/>
      <c r="FT312" s="58"/>
      <c r="FU312" s="58"/>
      <c r="FV312" s="58"/>
      <c r="FW312" s="58"/>
      <c r="FX312" s="58"/>
      <c r="FY312" s="58"/>
      <c r="FZ312" s="58"/>
      <c r="GA312" s="58"/>
      <c r="GB312" s="58"/>
      <c r="GC312" s="58"/>
      <c r="GD312" s="58"/>
      <c r="GE312" s="58"/>
      <c r="GF312" s="58"/>
      <c r="GG312" s="58"/>
      <c r="GH312" s="58"/>
      <c r="GI312" s="58"/>
      <c r="GJ312" s="58"/>
      <c r="GK312" s="58"/>
    </row>
    <row r="313" spans="1:193" s="74" customFormat="1">
      <c r="A313" s="78"/>
      <c r="B313" s="78"/>
      <c r="C313" s="78"/>
      <c r="D313" s="78"/>
      <c r="E313" s="78"/>
      <c r="F313" s="78"/>
      <c r="G313" s="67"/>
      <c r="H313" s="319"/>
      <c r="I313" s="319"/>
      <c r="J313" s="78"/>
      <c r="K313" s="58"/>
      <c r="L313" s="319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  <c r="EN313" s="58"/>
      <c r="EO313" s="58"/>
      <c r="EP313" s="58"/>
      <c r="EQ313" s="58"/>
      <c r="ER313" s="58"/>
      <c r="ES313" s="58"/>
      <c r="ET313" s="58"/>
      <c r="EU313" s="58"/>
      <c r="EV313" s="58"/>
      <c r="EW313" s="58"/>
      <c r="EX313" s="58"/>
      <c r="EY313" s="58"/>
      <c r="EZ313" s="58"/>
      <c r="FA313" s="58"/>
      <c r="FB313" s="58"/>
      <c r="FC313" s="58"/>
      <c r="FD313" s="58"/>
      <c r="FE313" s="58"/>
      <c r="FF313" s="58"/>
      <c r="FG313" s="58"/>
      <c r="FH313" s="58"/>
      <c r="FI313" s="58"/>
      <c r="FJ313" s="58"/>
      <c r="FK313" s="58"/>
      <c r="FL313" s="58"/>
      <c r="FM313" s="58"/>
      <c r="FN313" s="58"/>
      <c r="FO313" s="58"/>
      <c r="FP313" s="58"/>
      <c r="FQ313" s="58"/>
      <c r="FR313" s="58"/>
      <c r="FS313" s="58"/>
      <c r="FT313" s="58"/>
      <c r="FU313" s="58"/>
      <c r="FV313" s="58"/>
      <c r="FW313" s="58"/>
      <c r="FX313" s="58"/>
      <c r="FY313" s="58"/>
      <c r="FZ313" s="58"/>
      <c r="GA313" s="58"/>
      <c r="GB313" s="58"/>
      <c r="GC313" s="58"/>
      <c r="GD313" s="58"/>
      <c r="GE313" s="58"/>
      <c r="GF313" s="58"/>
      <c r="GG313" s="58"/>
      <c r="GH313" s="58"/>
      <c r="GI313" s="58"/>
      <c r="GJ313" s="58"/>
      <c r="GK313" s="58"/>
    </row>
    <row r="314" spans="1:193" s="74" customFormat="1">
      <c r="A314" s="78"/>
      <c r="B314" s="78"/>
      <c r="C314" s="78"/>
      <c r="D314" s="78"/>
      <c r="E314" s="78"/>
      <c r="F314" s="78"/>
      <c r="G314" s="67"/>
      <c r="H314" s="319"/>
      <c r="I314" s="319"/>
      <c r="J314" s="78"/>
      <c r="K314" s="58"/>
      <c r="L314" s="319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  <c r="EN314" s="58"/>
      <c r="EO314" s="58"/>
      <c r="EP314" s="58"/>
      <c r="EQ314" s="58"/>
      <c r="ER314" s="58"/>
      <c r="ES314" s="58"/>
      <c r="ET314" s="58"/>
      <c r="EU314" s="58"/>
      <c r="EV314" s="58"/>
      <c r="EW314" s="58"/>
      <c r="EX314" s="58"/>
      <c r="EY314" s="58"/>
      <c r="EZ314" s="58"/>
      <c r="FA314" s="58"/>
      <c r="FB314" s="58"/>
      <c r="FC314" s="58"/>
      <c r="FD314" s="58"/>
      <c r="FE314" s="58"/>
      <c r="FF314" s="58"/>
      <c r="FG314" s="58"/>
      <c r="FH314" s="58"/>
      <c r="FI314" s="58"/>
      <c r="FJ314" s="58"/>
      <c r="FK314" s="58"/>
      <c r="FL314" s="58"/>
      <c r="FM314" s="58"/>
      <c r="FN314" s="58"/>
      <c r="FO314" s="58"/>
      <c r="FP314" s="58"/>
      <c r="FQ314" s="58"/>
      <c r="FR314" s="58"/>
      <c r="FS314" s="58"/>
      <c r="FT314" s="58"/>
      <c r="FU314" s="58"/>
      <c r="FV314" s="58"/>
      <c r="FW314" s="58"/>
      <c r="FX314" s="58"/>
      <c r="FY314" s="58"/>
      <c r="FZ314" s="58"/>
      <c r="GA314" s="58"/>
      <c r="GB314" s="58"/>
      <c r="GC314" s="58"/>
      <c r="GD314" s="58"/>
      <c r="GE314" s="58"/>
      <c r="GF314" s="58"/>
      <c r="GG314" s="58"/>
      <c r="GH314" s="58"/>
      <c r="GI314" s="58"/>
      <c r="GJ314" s="58"/>
      <c r="GK314" s="58"/>
    </row>
    <row r="315" spans="1:193" s="74" customFormat="1">
      <c r="A315" s="78"/>
      <c r="B315" s="78"/>
      <c r="C315" s="78"/>
      <c r="D315" s="78"/>
      <c r="E315" s="78"/>
      <c r="F315" s="78"/>
      <c r="G315" s="67"/>
      <c r="H315" s="319"/>
      <c r="I315" s="319"/>
      <c r="J315" s="78"/>
      <c r="K315" s="58"/>
      <c r="L315" s="319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  <c r="EM315" s="58"/>
      <c r="EN315" s="58"/>
      <c r="EO315" s="58"/>
      <c r="EP315" s="58"/>
      <c r="EQ315" s="58"/>
      <c r="ER315" s="58"/>
      <c r="ES315" s="58"/>
      <c r="ET315" s="58"/>
      <c r="EU315" s="58"/>
      <c r="EV315" s="58"/>
      <c r="EW315" s="58"/>
      <c r="EX315" s="58"/>
      <c r="EY315" s="58"/>
      <c r="EZ315" s="58"/>
      <c r="FA315" s="58"/>
      <c r="FB315" s="58"/>
      <c r="FC315" s="58"/>
      <c r="FD315" s="58"/>
      <c r="FE315" s="58"/>
      <c r="FF315" s="58"/>
      <c r="FG315" s="58"/>
      <c r="FH315" s="58"/>
      <c r="FI315" s="58"/>
      <c r="FJ315" s="58"/>
      <c r="FK315" s="58"/>
      <c r="FL315" s="58"/>
      <c r="FM315" s="58"/>
      <c r="FN315" s="58"/>
      <c r="FO315" s="58"/>
      <c r="FP315" s="58"/>
      <c r="FQ315" s="58"/>
      <c r="FR315" s="58"/>
      <c r="FS315" s="58"/>
      <c r="FT315" s="58"/>
      <c r="FU315" s="58"/>
      <c r="FV315" s="58"/>
      <c r="FW315" s="58"/>
      <c r="FX315" s="58"/>
      <c r="FY315" s="58"/>
      <c r="FZ315" s="58"/>
      <c r="GA315" s="58"/>
      <c r="GB315" s="58"/>
      <c r="GC315" s="58"/>
      <c r="GD315" s="58"/>
      <c r="GE315" s="58"/>
      <c r="GF315" s="58"/>
      <c r="GG315" s="58"/>
      <c r="GH315" s="58"/>
      <c r="GI315" s="58"/>
      <c r="GJ315" s="58"/>
      <c r="GK315" s="58"/>
    </row>
    <row r="316" spans="1:193" s="74" customFormat="1">
      <c r="A316" s="78"/>
      <c r="B316" s="78"/>
      <c r="C316" s="78"/>
      <c r="D316" s="78"/>
      <c r="E316" s="78"/>
      <c r="F316" s="78"/>
      <c r="G316" s="67"/>
      <c r="H316" s="319"/>
      <c r="I316" s="319"/>
      <c r="J316" s="78"/>
      <c r="K316" s="58"/>
      <c r="L316" s="319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  <c r="EN316" s="58"/>
      <c r="EO316" s="58"/>
      <c r="EP316" s="58"/>
      <c r="EQ316" s="58"/>
      <c r="ER316" s="58"/>
      <c r="ES316" s="58"/>
      <c r="ET316" s="58"/>
      <c r="EU316" s="58"/>
      <c r="EV316" s="58"/>
      <c r="EW316" s="58"/>
      <c r="EX316" s="58"/>
      <c r="EY316" s="58"/>
      <c r="EZ316" s="58"/>
      <c r="FA316" s="58"/>
      <c r="FB316" s="58"/>
      <c r="FC316" s="58"/>
      <c r="FD316" s="58"/>
      <c r="FE316" s="58"/>
      <c r="FF316" s="58"/>
      <c r="FG316" s="58"/>
      <c r="FH316" s="58"/>
      <c r="FI316" s="58"/>
      <c r="FJ316" s="58"/>
      <c r="FK316" s="58"/>
      <c r="FL316" s="58"/>
      <c r="FM316" s="58"/>
      <c r="FN316" s="58"/>
      <c r="FO316" s="58"/>
      <c r="FP316" s="58"/>
      <c r="FQ316" s="58"/>
      <c r="FR316" s="58"/>
      <c r="FS316" s="58"/>
      <c r="FT316" s="58"/>
      <c r="FU316" s="58"/>
      <c r="FV316" s="58"/>
      <c r="FW316" s="58"/>
      <c r="FX316" s="58"/>
      <c r="FY316" s="58"/>
      <c r="FZ316" s="58"/>
      <c r="GA316" s="58"/>
      <c r="GB316" s="58"/>
      <c r="GC316" s="58"/>
      <c r="GD316" s="58"/>
      <c r="GE316" s="58"/>
      <c r="GF316" s="58"/>
      <c r="GG316" s="58"/>
      <c r="GH316" s="58"/>
      <c r="GI316" s="58"/>
      <c r="GJ316" s="58"/>
      <c r="GK316" s="58"/>
    </row>
    <row r="317" spans="1:193" s="74" customFormat="1">
      <c r="A317" s="78"/>
      <c r="B317" s="78"/>
      <c r="C317" s="78"/>
      <c r="D317" s="78"/>
      <c r="E317" s="78"/>
      <c r="F317" s="78"/>
      <c r="G317" s="67"/>
      <c r="H317" s="319"/>
      <c r="I317" s="319"/>
      <c r="J317" s="78"/>
      <c r="K317" s="58"/>
      <c r="L317" s="319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  <c r="EM317" s="58"/>
      <c r="EN317" s="58"/>
      <c r="EO317" s="58"/>
      <c r="EP317" s="58"/>
      <c r="EQ317" s="58"/>
      <c r="ER317" s="58"/>
      <c r="ES317" s="58"/>
      <c r="ET317" s="58"/>
      <c r="EU317" s="58"/>
      <c r="EV317" s="58"/>
      <c r="EW317" s="58"/>
      <c r="EX317" s="58"/>
      <c r="EY317" s="58"/>
      <c r="EZ317" s="58"/>
      <c r="FA317" s="58"/>
      <c r="FB317" s="58"/>
      <c r="FC317" s="58"/>
      <c r="FD317" s="58"/>
      <c r="FE317" s="58"/>
      <c r="FF317" s="58"/>
      <c r="FG317" s="58"/>
      <c r="FH317" s="58"/>
      <c r="FI317" s="58"/>
      <c r="FJ317" s="58"/>
      <c r="FK317" s="58"/>
      <c r="FL317" s="58"/>
      <c r="FM317" s="58"/>
      <c r="FN317" s="58"/>
      <c r="FO317" s="58"/>
      <c r="FP317" s="58"/>
      <c r="FQ317" s="58"/>
      <c r="FR317" s="58"/>
      <c r="FS317" s="58"/>
      <c r="FT317" s="58"/>
      <c r="FU317" s="58"/>
      <c r="FV317" s="58"/>
      <c r="FW317" s="58"/>
      <c r="FX317" s="58"/>
      <c r="FY317" s="58"/>
      <c r="FZ317" s="58"/>
      <c r="GA317" s="58"/>
      <c r="GB317" s="58"/>
      <c r="GC317" s="58"/>
      <c r="GD317" s="58"/>
      <c r="GE317" s="58"/>
      <c r="GF317" s="58"/>
      <c r="GG317" s="58"/>
      <c r="GH317" s="58"/>
      <c r="GI317" s="58"/>
      <c r="GJ317" s="58"/>
      <c r="GK317" s="58"/>
    </row>
    <row r="318" spans="1:193" s="74" customFormat="1">
      <c r="A318" s="78"/>
      <c r="B318" s="78"/>
      <c r="C318" s="78"/>
      <c r="D318" s="78"/>
      <c r="E318" s="78"/>
      <c r="F318" s="78"/>
      <c r="G318" s="67"/>
      <c r="H318" s="319"/>
      <c r="I318" s="319"/>
      <c r="J318" s="78"/>
      <c r="K318" s="58"/>
      <c r="L318" s="319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  <c r="EN318" s="58"/>
      <c r="EO318" s="58"/>
      <c r="EP318" s="58"/>
      <c r="EQ318" s="58"/>
      <c r="ER318" s="58"/>
      <c r="ES318" s="58"/>
      <c r="ET318" s="58"/>
      <c r="EU318" s="58"/>
      <c r="EV318" s="58"/>
      <c r="EW318" s="58"/>
      <c r="EX318" s="58"/>
      <c r="EY318" s="58"/>
      <c r="EZ318" s="58"/>
      <c r="FA318" s="58"/>
      <c r="FB318" s="58"/>
      <c r="FC318" s="58"/>
      <c r="FD318" s="58"/>
      <c r="FE318" s="58"/>
      <c r="FF318" s="58"/>
      <c r="FG318" s="58"/>
      <c r="FH318" s="58"/>
      <c r="FI318" s="58"/>
      <c r="FJ318" s="58"/>
      <c r="FK318" s="58"/>
      <c r="FL318" s="58"/>
      <c r="FM318" s="58"/>
      <c r="FN318" s="58"/>
      <c r="FO318" s="58"/>
      <c r="FP318" s="58"/>
      <c r="FQ318" s="58"/>
      <c r="FR318" s="58"/>
      <c r="FS318" s="58"/>
      <c r="FT318" s="58"/>
      <c r="FU318" s="58"/>
      <c r="FV318" s="58"/>
      <c r="FW318" s="58"/>
      <c r="FX318" s="58"/>
      <c r="FY318" s="58"/>
      <c r="FZ318" s="58"/>
      <c r="GA318" s="58"/>
      <c r="GB318" s="58"/>
      <c r="GC318" s="58"/>
      <c r="GD318" s="58"/>
      <c r="GE318" s="58"/>
      <c r="GF318" s="58"/>
      <c r="GG318" s="58"/>
      <c r="GH318" s="58"/>
      <c r="GI318" s="58"/>
      <c r="GJ318" s="58"/>
      <c r="GK318" s="58"/>
    </row>
    <row r="319" spans="1:193" s="74" customFormat="1">
      <c r="A319" s="78"/>
      <c r="B319" s="78"/>
      <c r="C319" s="78"/>
      <c r="D319" s="78"/>
      <c r="E319" s="78"/>
      <c r="F319" s="78"/>
      <c r="G319" s="67"/>
      <c r="H319" s="319"/>
      <c r="I319" s="319"/>
      <c r="J319" s="78"/>
      <c r="K319" s="58"/>
      <c r="L319" s="319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  <c r="EM319" s="58"/>
      <c r="EN319" s="58"/>
      <c r="EO319" s="58"/>
      <c r="EP319" s="58"/>
      <c r="EQ319" s="58"/>
      <c r="ER319" s="58"/>
      <c r="ES319" s="58"/>
      <c r="ET319" s="58"/>
      <c r="EU319" s="58"/>
      <c r="EV319" s="58"/>
      <c r="EW319" s="58"/>
      <c r="EX319" s="58"/>
      <c r="EY319" s="58"/>
      <c r="EZ319" s="58"/>
      <c r="FA319" s="58"/>
      <c r="FB319" s="58"/>
      <c r="FC319" s="58"/>
      <c r="FD319" s="58"/>
      <c r="FE319" s="58"/>
      <c r="FF319" s="58"/>
      <c r="FG319" s="58"/>
      <c r="FH319" s="58"/>
      <c r="FI319" s="58"/>
      <c r="FJ319" s="58"/>
      <c r="FK319" s="58"/>
      <c r="FL319" s="58"/>
      <c r="FM319" s="58"/>
      <c r="FN319" s="58"/>
      <c r="FO319" s="58"/>
      <c r="FP319" s="58"/>
      <c r="FQ319" s="58"/>
      <c r="FR319" s="58"/>
      <c r="FS319" s="58"/>
      <c r="FT319" s="58"/>
      <c r="FU319" s="58"/>
      <c r="FV319" s="58"/>
      <c r="FW319" s="58"/>
      <c r="FX319" s="58"/>
      <c r="FY319" s="58"/>
      <c r="FZ319" s="58"/>
      <c r="GA319" s="58"/>
      <c r="GB319" s="58"/>
      <c r="GC319" s="58"/>
      <c r="GD319" s="58"/>
      <c r="GE319" s="58"/>
      <c r="GF319" s="58"/>
      <c r="GG319" s="58"/>
      <c r="GH319" s="58"/>
      <c r="GI319" s="58"/>
      <c r="GJ319" s="58"/>
      <c r="GK319" s="58"/>
    </row>
    <row r="320" spans="1:193" s="74" customFormat="1">
      <c r="A320" s="78"/>
      <c r="B320" s="78"/>
      <c r="C320" s="78"/>
      <c r="D320" s="78"/>
      <c r="E320" s="78"/>
      <c r="F320" s="78"/>
      <c r="G320" s="67"/>
      <c r="H320" s="319"/>
      <c r="I320" s="319"/>
      <c r="J320" s="78"/>
      <c r="K320" s="58"/>
      <c r="L320" s="319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  <c r="EN320" s="58"/>
      <c r="EO320" s="58"/>
      <c r="EP320" s="58"/>
      <c r="EQ320" s="58"/>
      <c r="ER320" s="58"/>
      <c r="ES320" s="58"/>
      <c r="ET320" s="58"/>
      <c r="EU320" s="58"/>
      <c r="EV320" s="58"/>
      <c r="EW320" s="58"/>
      <c r="EX320" s="58"/>
      <c r="EY320" s="58"/>
      <c r="EZ320" s="58"/>
      <c r="FA320" s="58"/>
      <c r="FB320" s="58"/>
      <c r="FC320" s="58"/>
      <c r="FD320" s="58"/>
      <c r="FE320" s="58"/>
      <c r="FF320" s="58"/>
      <c r="FG320" s="58"/>
      <c r="FH320" s="58"/>
      <c r="FI320" s="58"/>
      <c r="FJ320" s="58"/>
      <c r="FK320" s="58"/>
      <c r="FL320" s="58"/>
      <c r="FM320" s="58"/>
      <c r="FN320" s="58"/>
      <c r="FO320" s="58"/>
      <c r="FP320" s="58"/>
      <c r="FQ320" s="58"/>
      <c r="FR320" s="58"/>
      <c r="FS320" s="58"/>
      <c r="FT320" s="58"/>
      <c r="FU320" s="58"/>
      <c r="FV320" s="58"/>
      <c r="FW320" s="58"/>
      <c r="FX320" s="58"/>
      <c r="FY320" s="58"/>
      <c r="FZ320" s="58"/>
      <c r="GA320" s="58"/>
      <c r="GB320" s="58"/>
      <c r="GC320" s="58"/>
      <c r="GD320" s="58"/>
      <c r="GE320" s="58"/>
      <c r="GF320" s="58"/>
      <c r="GG320" s="58"/>
      <c r="GH320" s="58"/>
      <c r="GI320" s="58"/>
      <c r="GJ320" s="58"/>
      <c r="GK320" s="58"/>
    </row>
    <row r="321" spans="1:193" s="74" customFormat="1">
      <c r="A321" s="78"/>
      <c r="B321" s="78"/>
      <c r="C321" s="78"/>
      <c r="D321" s="78"/>
      <c r="E321" s="78"/>
      <c r="F321" s="78"/>
      <c r="G321" s="67"/>
      <c r="H321" s="319"/>
      <c r="I321" s="319"/>
      <c r="J321" s="78"/>
      <c r="K321" s="58"/>
      <c r="L321" s="319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  <c r="EN321" s="58"/>
      <c r="EO321" s="58"/>
      <c r="EP321" s="58"/>
      <c r="EQ321" s="58"/>
      <c r="ER321" s="58"/>
      <c r="ES321" s="58"/>
      <c r="ET321" s="58"/>
      <c r="EU321" s="58"/>
      <c r="EV321" s="58"/>
      <c r="EW321" s="58"/>
      <c r="EX321" s="58"/>
      <c r="EY321" s="58"/>
      <c r="EZ321" s="58"/>
      <c r="FA321" s="58"/>
      <c r="FB321" s="58"/>
      <c r="FC321" s="58"/>
      <c r="FD321" s="58"/>
      <c r="FE321" s="58"/>
      <c r="FF321" s="58"/>
      <c r="FG321" s="58"/>
      <c r="FH321" s="58"/>
      <c r="FI321" s="58"/>
      <c r="FJ321" s="58"/>
      <c r="FK321" s="58"/>
      <c r="FL321" s="58"/>
      <c r="FM321" s="58"/>
      <c r="FN321" s="58"/>
      <c r="FO321" s="58"/>
      <c r="FP321" s="58"/>
      <c r="FQ321" s="58"/>
      <c r="FR321" s="58"/>
      <c r="FS321" s="58"/>
      <c r="FT321" s="58"/>
      <c r="FU321" s="58"/>
      <c r="FV321" s="58"/>
      <c r="FW321" s="58"/>
      <c r="FX321" s="58"/>
      <c r="FY321" s="58"/>
      <c r="FZ321" s="58"/>
      <c r="GA321" s="58"/>
      <c r="GB321" s="58"/>
      <c r="GC321" s="58"/>
      <c r="GD321" s="58"/>
      <c r="GE321" s="58"/>
      <c r="GF321" s="58"/>
      <c r="GG321" s="58"/>
      <c r="GH321" s="58"/>
      <c r="GI321" s="58"/>
      <c r="GJ321" s="58"/>
      <c r="GK321" s="58"/>
    </row>
    <row r="322" spans="1:193" s="74" customFormat="1">
      <c r="A322" s="78"/>
      <c r="B322" s="78"/>
      <c r="C322" s="78"/>
      <c r="D322" s="78"/>
      <c r="E322" s="78"/>
      <c r="F322" s="78"/>
      <c r="G322" s="67"/>
      <c r="H322" s="319"/>
      <c r="I322" s="319"/>
      <c r="J322" s="78"/>
      <c r="K322" s="58"/>
      <c r="L322" s="319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  <c r="EM322" s="58"/>
      <c r="EN322" s="58"/>
      <c r="EO322" s="58"/>
      <c r="EP322" s="58"/>
      <c r="EQ322" s="58"/>
      <c r="ER322" s="58"/>
      <c r="ES322" s="58"/>
      <c r="ET322" s="58"/>
      <c r="EU322" s="58"/>
      <c r="EV322" s="58"/>
      <c r="EW322" s="58"/>
      <c r="EX322" s="58"/>
      <c r="EY322" s="58"/>
      <c r="EZ322" s="58"/>
      <c r="FA322" s="58"/>
      <c r="FB322" s="58"/>
      <c r="FC322" s="58"/>
      <c r="FD322" s="58"/>
      <c r="FE322" s="58"/>
      <c r="FF322" s="58"/>
      <c r="FG322" s="58"/>
      <c r="FH322" s="58"/>
      <c r="FI322" s="58"/>
      <c r="FJ322" s="58"/>
      <c r="FK322" s="58"/>
      <c r="FL322" s="58"/>
      <c r="FM322" s="58"/>
      <c r="FN322" s="58"/>
      <c r="FO322" s="58"/>
      <c r="FP322" s="58"/>
      <c r="FQ322" s="58"/>
      <c r="FR322" s="58"/>
      <c r="FS322" s="58"/>
      <c r="FT322" s="58"/>
      <c r="FU322" s="58"/>
      <c r="FV322" s="58"/>
      <c r="FW322" s="58"/>
      <c r="FX322" s="58"/>
      <c r="FY322" s="58"/>
      <c r="FZ322" s="58"/>
      <c r="GA322" s="58"/>
      <c r="GB322" s="58"/>
      <c r="GC322" s="58"/>
      <c r="GD322" s="58"/>
      <c r="GE322" s="58"/>
      <c r="GF322" s="58"/>
      <c r="GG322" s="58"/>
      <c r="GH322" s="58"/>
      <c r="GI322" s="58"/>
      <c r="GJ322" s="58"/>
      <c r="GK322" s="58"/>
    </row>
    <row r="323" spans="1:193" s="74" customFormat="1">
      <c r="A323" s="78"/>
      <c r="B323" s="78"/>
      <c r="C323" s="78"/>
      <c r="D323" s="78"/>
      <c r="E323" s="78"/>
      <c r="F323" s="78"/>
      <c r="G323" s="67"/>
      <c r="H323" s="319"/>
      <c r="I323" s="319"/>
      <c r="J323" s="78"/>
      <c r="K323" s="58"/>
      <c r="L323" s="319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  <c r="EM323" s="58"/>
      <c r="EN323" s="58"/>
      <c r="EO323" s="58"/>
      <c r="EP323" s="58"/>
      <c r="EQ323" s="58"/>
      <c r="ER323" s="58"/>
      <c r="ES323" s="58"/>
      <c r="ET323" s="58"/>
      <c r="EU323" s="58"/>
      <c r="EV323" s="58"/>
      <c r="EW323" s="58"/>
      <c r="EX323" s="58"/>
      <c r="EY323" s="58"/>
      <c r="EZ323" s="58"/>
      <c r="FA323" s="58"/>
      <c r="FB323" s="58"/>
      <c r="FC323" s="58"/>
      <c r="FD323" s="58"/>
      <c r="FE323" s="58"/>
      <c r="FF323" s="58"/>
      <c r="FG323" s="58"/>
      <c r="FH323" s="58"/>
      <c r="FI323" s="58"/>
      <c r="FJ323" s="58"/>
      <c r="FK323" s="58"/>
      <c r="FL323" s="58"/>
      <c r="FM323" s="58"/>
      <c r="FN323" s="58"/>
      <c r="FO323" s="58"/>
      <c r="FP323" s="58"/>
      <c r="FQ323" s="58"/>
      <c r="FR323" s="58"/>
      <c r="FS323" s="58"/>
      <c r="FT323" s="58"/>
      <c r="FU323" s="58"/>
      <c r="FV323" s="58"/>
      <c r="FW323" s="58"/>
      <c r="FX323" s="58"/>
      <c r="FY323" s="58"/>
      <c r="FZ323" s="58"/>
      <c r="GA323" s="58"/>
      <c r="GB323" s="58"/>
      <c r="GC323" s="58"/>
      <c r="GD323" s="58"/>
      <c r="GE323" s="58"/>
      <c r="GF323" s="58"/>
      <c r="GG323" s="58"/>
      <c r="GH323" s="58"/>
      <c r="GI323" s="58"/>
      <c r="GJ323" s="58"/>
      <c r="GK323" s="58"/>
    </row>
    <row r="324" spans="1:193" s="74" customFormat="1">
      <c r="A324" s="78"/>
      <c r="B324" s="78"/>
      <c r="C324" s="78"/>
      <c r="D324" s="78"/>
      <c r="E324" s="78"/>
      <c r="F324" s="78"/>
      <c r="G324" s="67"/>
      <c r="H324" s="319"/>
      <c r="I324" s="319"/>
      <c r="J324" s="78"/>
      <c r="K324" s="58"/>
      <c r="L324" s="319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  <c r="EN324" s="58"/>
      <c r="EO324" s="58"/>
      <c r="EP324" s="58"/>
      <c r="EQ324" s="58"/>
      <c r="ER324" s="58"/>
      <c r="ES324" s="58"/>
      <c r="ET324" s="58"/>
      <c r="EU324" s="58"/>
      <c r="EV324" s="58"/>
      <c r="EW324" s="58"/>
      <c r="EX324" s="58"/>
      <c r="EY324" s="58"/>
      <c r="EZ324" s="58"/>
      <c r="FA324" s="58"/>
      <c r="FB324" s="58"/>
      <c r="FC324" s="58"/>
      <c r="FD324" s="58"/>
      <c r="FE324" s="58"/>
      <c r="FF324" s="58"/>
      <c r="FG324" s="58"/>
      <c r="FH324" s="58"/>
      <c r="FI324" s="58"/>
      <c r="FJ324" s="58"/>
      <c r="FK324" s="58"/>
      <c r="FL324" s="58"/>
      <c r="FM324" s="58"/>
      <c r="FN324" s="58"/>
      <c r="FO324" s="58"/>
      <c r="FP324" s="58"/>
      <c r="FQ324" s="58"/>
      <c r="FR324" s="58"/>
      <c r="FS324" s="58"/>
      <c r="FT324" s="58"/>
      <c r="FU324" s="58"/>
      <c r="FV324" s="58"/>
      <c r="FW324" s="58"/>
      <c r="FX324" s="58"/>
      <c r="FY324" s="58"/>
      <c r="FZ324" s="58"/>
      <c r="GA324" s="58"/>
      <c r="GB324" s="58"/>
      <c r="GC324" s="58"/>
      <c r="GD324" s="58"/>
      <c r="GE324" s="58"/>
      <c r="GF324" s="58"/>
      <c r="GG324" s="58"/>
      <c r="GH324" s="58"/>
      <c r="GI324" s="58"/>
      <c r="GJ324" s="58"/>
      <c r="GK324" s="58"/>
    </row>
    <row r="325" spans="1:193" s="74" customFormat="1">
      <c r="A325" s="78"/>
      <c r="B325" s="78"/>
      <c r="C325" s="78"/>
      <c r="D325" s="78"/>
      <c r="E325" s="78"/>
      <c r="F325" s="78"/>
      <c r="G325" s="67"/>
      <c r="H325" s="319"/>
      <c r="I325" s="319"/>
      <c r="J325" s="78"/>
      <c r="K325" s="58"/>
      <c r="L325" s="319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  <c r="EN325" s="58"/>
      <c r="EO325" s="58"/>
      <c r="EP325" s="58"/>
      <c r="EQ325" s="58"/>
      <c r="ER325" s="58"/>
      <c r="ES325" s="58"/>
      <c r="ET325" s="58"/>
      <c r="EU325" s="58"/>
      <c r="EV325" s="58"/>
      <c r="EW325" s="58"/>
      <c r="EX325" s="58"/>
      <c r="EY325" s="58"/>
      <c r="EZ325" s="58"/>
      <c r="FA325" s="58"/>
      <c r="FB325" s="58"/>
      <c r="FC325" s="58"/>
      <c r="FD325" s="58"/>
      <c r="FE325" s="58"/>
      <c r="FF325" s="58"/>
      <c r="FG325" s="58"/>
      <c r="FH325" s="58"/>
      <c r="FI325" s="58"/>
      <c r="FJ325" s="58"/>
      <c r="FK325" s="58"/>
      <c r="FL325" s="58"/>
      <c r="FM325" s="58"/>
      <c r="FN325" s="58"/>
      <c r="FO325" s="58"/>
      <c r="FP325" s="58"/>
      <c r="FQ325" s="58"/>
      <c r="FR325" s="58"/>
      <c r="FS325" s="58"/>
      <c r="FT325" s="58"/>
      <c r="FU325" s="58"/>
      <c r="FV325" s="58"/>
      <c r="FW325" s="58"/>
      <c r="FX325" s="58"/>
      <c r="FY325" s="58"/>
      <c r="FZ325" s="58"/>
      <c r="GA325" s="58"/>
      <c r="GB325" s="58"/>
      <c r="GC325" s="58"/>
      <c r="GD325" s="58"/>
      <c r="GE325" s="58"/>
      <c r="GF325" s="58"/>
      <c r="GG325" s="58"/>
      <c r="GH325" s="58"/>
      <c r="GI325" s="58"/>
      <c r="GJ325" s="58"/>
      <c r="GK325" s="58"/>
    </row>
    <row r="326" spans="1:193" s="74" customFormat="1">
      <c r="A326" s="78"/>
      <c r="B326" s="78"/>
      <c r="C326" s="78"/>
      <c r="D326" s="78"/>
      <c r="E326" s="78"/>
      <c r="F326" s="78"/>
      <c r="G326" s="67"/>
      <c r="H326" s="319"/>
      <c r="I326" s="319"/>
      <c r="J326" s="78"/>
      <c r="K326" s="58"/>
      <c r="L326" s="319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  <c r="EM326" s="58"/>
      <c r="EN326" s="58"/>
      <c r="EO326" s="58"/>
      <c r="EP326" s="58"/>
      <c r="EQ326" s="58"/>
      <c r="ER326" s="58"/>
      <c r="ES326" s="58"/>
      <c r="ET326" s="58"/>
      <c r="EU326" s="58"/>
      <c r="EV326" s="58"/>
      <c r="EW326" s="58"/>
      <c r="EX326" s="58"/>
      <c r="EY326" s="58"/>
      <c r="EZ326" s="58"/>
      <c r="FA326" s="58"/>
      <c r="FB326" s="58"/>
      <c r="FC326" s="58"/>
      <c r="FD326" s="58"/>
      <c r="FE326" s="58"/>
      <c r="FF326" s="58"/>
      <c r="FG326" s="58"/>
      <c r="FH326" s="58"/>
      <c r="FI326" s="58"/>
      <c r="FJ326" s="58"/>
      <c r="FK326" s="58"/>
      <c r="FL326" s="58"/>
      <c r="FM326" s="58"/>
      <c r="FN326" s="58"/>
      <c r="FO326" s="58"/>
      <c r="FP326" s="58"/>
      <c r="FQ326" s="58"/>
      <c r="FR326" s="58"/>
      <c r="FS326" s="58"/>
      <c r="FT326" s="58"/>
      <c r="FU326" s="58"/>
      <c r="FV326" s="58"/>
      <c r="FW326" s="58"/>
      <c r="FX326" s="58"/>
      <c r="FY326" s="58"/>
      <c r="FZ326" s="58"/>
      <c r="GA326" s="58"/>
      <c r="GB326" s="58"/>
      <c r="GC326" s="58"/>
      <c r="GD326" s="58"/>
      <c r="GE326" s="58"/>
      <c r="GF326" s="58"/>
      <c r="GG326" s="58"/>
      <c r="GH326" s="58"/>
      <c r="GI326" s="58"/>
      <c r="GJ326" s="58"/>
      <c r="GK326" s="58"/>
    </row>
    <row r="327" spans="1:193" s="74" customFormat="1">
      <c r="A327" s="78"/>
      <c r="B327" s="78"/>
      <c r="C327" s="78"/>
      <c r="D327" s="78"/>
      <c r="E327" s="78"/>
      <c r="F327" s="78"/>
      <c r="G327" s="67"/>
      <c r="H327" s="319"/>
      <c r="I327" s="319"/>
      <c r="J327" s="78"/>
      <c r="K327" s="58"/>
      <c r="L327" s="319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  <c r="EM327" s="58"/>
      <c r="EN327" s="58"/>
      <c r="EO327" s="58"/>
      <c r="EP327" s="58"/>
      <c r="EQ327" s="58"/>
      <c r="ER327" s="58"/>
      <c r="ES327" s="58"/>
      <c r="ET327" s="58"/>
      <c r="EU327" s="58"/>
      <c r="EV327" s="58"/>
      <c r="EW327" s="58"/>
      <c r="EX327" s="58"/>
      <c r="EY327" s="58"/>
      <c r="EZ327" s="58"/>
      <c r="FA327" s="58"/>
      <c r="FB327" s="58"/>
      <c r="FC327" s="58"/>
      <c r="FD327" s="58"/>
      <c r="FE327" s="58"/>
      <c r="FF327" s="58"/>
      <c r="FG327" s="58"/>
      <c r="FH327" s="58"/>
      <c r="FI327" s="58"/>
      <c r="FJ327" s="58"/>
      <c r="FK327" s="58"/>
      <c r="FL327" s="58"/>
      <c r="FM327" s="58"/>
      <c r="FN327" s="58"/>
      <c r="FO327" s="58"/>
      <c r="FP327" s="58"/>
      <c r="FQ327" s="58"/>
      <c r="FR327" s="58"/>
      <c r="FS327" s="58"/>
      <c r="FT327" s="58"/>
      <c r="FU327" s="58"/>
      <c r="FV327" s="58"/>
      <c r="FW327" s="58"/>
      <c r="FX327" s="58"/>
      <c r="FY327" s="58"/>
      <c r="FZ327" s="58"/>
      <c r="GA327" s="58"/>
      <c r="GB327" s="58"/>
      <c r="GC327" s="58"/>
      <c r="GD327" s="58"/>
      <c r="GE327" s="58"/>
      <c r="GF327" s="58"/>
      <c r="GG327" s="58"/>
      <c r="GH327" s="58"/>
      <c r="GI327" s="58"/>
      <c r="GJ327" s="58"/>
      <c r="GK327" s="58"/>
    </row>
    <row r="328" spans="1:193" s="74" customFormat="1">
      <c r="A328" s="78"/>
      <c r="B328" s="78"/>
      <c r="C328" s="78"/>
      <c r="D328" s="78"/>
      <c r="E328" s="78"/>
      <c r="F328" s="78"/>
      <c r="G328" s="67"/>
      <c r="H328" s="319"/>
      <c r="I328" s="319"/>
      <c r="J328" s="78"/>
      <c r="K328" s="58"/>
      <c r="L328" s="319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  <c r="EM328" s="58"/>
      <c r="EN328" s="58"/>
      <c r="EO328" s="58"/>
      <c r="EP328" s="58"/>
      <c r="EQ328" s="58"/>
      <c r="ER328" s="58"/>
      <c r="ES328" s="58"/>
      <c r="ET328" s="58"/>
      <c r="EU328" s="58"/>
      <c r="EV328" s="58"/>
      <c r="EW328" s="58"/>
      <c r="EX328" s="58"/>
      <c r="EY328" s="58"/>
      <c r="EZ328" s="58"/>
      <c r="FA328" s="58"/>
      <c r="FB328" s="58"/>
      <c r="FC328" s="58"/>
      <c r="FD328" s="58"/>
      <c r="FE328" s="58"/>
      <c r="FF328" s="58"/>
      <c r="FG328" s="58"/>
      <c r="FH328" s="58"/>
      <c r="FI328" s="58"/>
      <c r="FJ328" s="58"/>
      <c r="FK328" s="58"/>
      <c r="FL328" s="58"/>
      <c r="FM328" s="58"/>
      <c r="FN328" s="58"/>
      <c r="FO328" s="58"/>
      <c r="FP328" s="58"/>
      <c r="FQ328" s="58"/>
      <c r="FR328" s="58"/>
      <c r="FS328" s="58"/>
      <c r="FT328" s="58"/>
      <c r="FU328" s="58"/>
      <c r="FV328" s="58"/>
      <c r="FW328" s="58"/>
      <c r="FX328" s="58"/>
      <c r="FY328" s="58"/>
      <c r="FZ328" s="58"/>
      <c r="GA328" s="58"/>
      <c r="GB328" s="58"/>
      <c r="GC328" s="58"/>
      <c r="GD328" s="58"/>
      <c r="GE328" s="58"/>
      <c r="GF328" s="58"/>
      <c r="GG328" s="58"/>
      <c r="GH328" s="58"/>
      <c r="GI328" s="58"/>
      <c r="GJ328" s="58"/>
      <c r="GK328" s="58"/>
    </row>
    <row r="329" spans="1:193" s="74" customFormat="1">
      <c r="A329" s="78"/>
      <c r="B329" s="78"/>
      <c r="C329" s="78"/>
      <c r="D329" s="78"/>
      <c r="E329" s="78"/>
      <c r="F329" s="78"/>
      <c r="G329" s="67"/>
      <c r="H329" s="319"/>
      <c r="I329" s="319"/>
      <c r="J329" s="78"/>
      <c r="K329" s="58"/>
      <c r="L329" s="319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  <c r="EM329" s="58"/>
      <c r="EN329" s="58"/>
      <c r="EO329" s="58"/>
      <c r="EP329" s="58"/>
      <c r="EQ329" s="58"/>
      <c r="ER329" s="58"/>
      <c r="ES329" s="58"/>
      <c r="ET329" s="58"/>
      <c r="EU329" s="58"/>
      <c r="EV329" s="58"/>
      <c r="EW329" s="58"/>
      <c r="EX329" s="58"/>
      <c r="EY329" s="58"/>
      <c r="EZ329" s="58"/>
      <c r="FA329" s="58"/>
      <c r="FB329" s="58"/>
      <c r="FC329" s="58"/>
      <c r="FD329" s="58"/>
      <c r="FE329" s="58"/>
      <c r="FF329" s="58"/>
      <c r="FG329" s="58"/>
      <c r="FH329" s="58"/>
      <c r="FI329" s="58"/>
      <c r="FJ329" s="58"/>
      <c r="FK329" s="58"/>
      <c r="FL329" s="58"/>
      <c r="FM329" s="58"/>
      <c r="FN329" s="58"/>
      <c r="FO329" s="58"/>
      <c r="FP329" s="58"/>
      <c r="FQ329" s="58"/>
      <c r="FR329" s="58"/>
      <c r="FS329" s="58"/>
      <c r="FT329" s="58"/>
      <c r="FU329" s="58"/>
      <c r="FV329" s="58"/>
      <c r="FW329" s="58"/>
      <c r="FX329" s="58"/>
      <c r="FY329" s="58"/>
      <c r="FZ329" s="58"/>
      <c r="GA329" s="58"/>
      <c r="GB329" s="58"/>
      <c r="GC329" s="58"/>
      <c r="GD329" s="58"/>
      <c r="GE329" s="58"/>
      <c r="GF329" s="58"/>
      <c r="GG329" s="58"/>
      <c r="GH329" s="58"/>
      <c r="GI329" s="58"/>
      <c r="GJ329" s="58"/>
      <c r="GK329" s="58"/>
    </row>
    <row r="330" spans="1:193" s="74" customFormat="1">
      <c r="A330" s="78"/>
      <c r="B330" s="78"/>
      <c r="C330" s="78"/>
      <c r="D330" s="78"/>
      <c r="E330" s="78"/>
      <c r="F330" s="78"/>
      <c r="G330" s="67"/>
      <c r="H330" s="319"/>
      <c r="I330" s="319"/>
      <c r="J330" s="78"/>
      <c r="K330" s="58"/>
      <c r="L330" s="319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  <c r="EM330" s="58"/>
      <c r="EN330" s="58"/>
      <c r="EO330" s="58"/>
      <c r="EP330" s="58"/>
      <c r="EQ330" s="58"/>
      <c r="ER330" s="58"/>
      <c r="ES330" s="58"/>
      <c r="ET330" s="58"/>
      <c r="EU330" s="58"/>
      <c r="EV330" s="58"/>
      <c r="EW330" s="58"/>
      <c r="EX330" s="58"/>
      <c r="EY330" s="58"/>
      <c r="EZ330" s="58"/>
      <c r="FA330" s="58"/>
      <c r="FB330" s="58"/>
      <c r="FC330" s="58"/>
      <c r="FD330" s="58"/>
      <c r="FE330" s="58"/>
      <c r="FF330" s="58"/>
      <c r="FG330" s="58"/>
      <c r="FH330" s="58"/>
      <c r="FI330" s="58"/>
      <c r="FJ330" s="58"/>
      <c r="FK330" s="58"/>
      <c r="FL330" s="58"/>
      <c r="FM330" s="58"/>
      <c r="FN330" s="58"/>
      <c r="FO330" s="58"/>
      <c r="FP330" s="58"/>
      <c r="FQ330" s="58"/>
      <c r="FR330" s="58"/>
      <c r="FS330" s="58"/>
      <c r="FT330" s="58"/>
      <c r="FU330" s="58"/>
      <c r="FV330" s="58"/>
      <c r="FW330" s="58"/>
      <c r="FX330" s="58"/>
      <c r="FY330" s="58"/>
      <c r="FZ330" s="58"/>
      <c r="GA330" s="58"/>
      <c r="GB330" s="58"/>
      <c r="GC330" s="58"/>
      <c r="GD330" s="58"/>
      <c r="GE330" s="58"/>
      <c r="GF330" s="58"/>
      <c r="GG330" s="58"/>
      <c r="GH330" s="58"/>
      <c r="GI330" s="58"/>
      <c r="GJ330" s="58"/>
      <c r="GK330" s="58"/>
    </row>
    <row r="331" spans="1:193" s="74" customFormat="1">
      <c r="A331" s="78"/>
      <c r="B331" s="78"/>
      <c r="C331" s="78"/>
      <c r="D331" s="78"/>
      <c r="E331" s="78"/>
      <c r="F331" s="78"/>
      <c r="G331" s="67"/>
      <c r="H331" s="319"/>
      <c r="I331" s="319"/>
      <c r="J331" s="78"/>
      <c r="K331" s="58"/>
      <c r="L331" s="319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  <c r="EL331" s="58"/>
      <c r="EM331" s="58"/>
      <c r="EN331" s="58"/>
      <c r="EO331" s="58"/>
      <c r="EP331" s="58"/>
      <c r="EQ331" s="58"/>
      <c r="ER331" s="58"/>
      <c r="ES331" s="58"/>
      <c r="ET331" s="58"/>
      <c r="EU331" s="58"/>
      <c r="EV331" s="58"/>
      <c r="EW331" s="58"/>
      <c r="EX331" s="58"/>
      <c r="EY331" s="58"/>
      <c r="EZ331" s="58"/>
      <c r="FA331" s="58"/>
      <c r="FB331" s="58"/>
      <c r="FC331" s="58"/>
      <c r="FD331" s="58"/>
      <c r="FE331" s="58"/>
      <c r="FF331" s="58"/>
      <c r="FG331" s="58"/>
      <c r="FH331" s="58"/>
      <c r="FI331" s="58"/>
      <c r="FJ331" s="58"/>
      <c r="FK331" s="58"/>
      <c r="FL331" s="58"/>
      <c r="FM331" s="58"/>
      <c r="FN331" s="58"/>
      <c r="FO331" s="58"/>
      <c r="FP331" s="58"/>
      <c r="FQ331" s="58"/>
      <c r="FR331" s="58"/>
      <c r="FS331" s="58"/>
      <c r="FT331" s="58"/>
      <c r="FU331" s="58"/>
      <c r="FV331" s="58"/>
      <c r="FW331" s="58"/>
      <c r="FX331" s="58"/>
      <c r="FY331" s="58"/>
      <c r="FZ331" s="58"/>
      <c r="GA331" s="58"/>
      <c r="GB331" s="58"/>
      <c r="GC331" s="58"/>
      <c r="GD331" s="58"/>
      <c r="GE331" s="58"/>
      <c r="GF331" s="58"/>
      <c r="GG331" s="58"/>
      <c r="GH331" s="58"/>
      <c r="GI331" s="58"/>
      <c r="GJ331" s="58"/>
      <c r="GK331" s="58"/>
    </row>
    <row r="332" spans="1:193" s="74" customFormat="1">
      <c r="A332" s="78"/>
      <c r="B332" s="78"/>
      <c r="C332" s="78"/>
      <c r="D332" s="78"/>
      <c r="E332" s="78"/>
      <c r="F332" s="78"/>
      <c r="G332" s="67"/>
      <c r="H332" s="319"/>
      <c r="I332" s="319"/>
      <c r="J332" s="78"/>
      <c r="K332" s="58"/>
      <c r="L332" s="319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  <c r="EM332" s="58"/>
      <c r="EN332" s="58"/>
      <c r="EO332" s="58"/>
      <c r="EP332" s="58"/>
      <c r="EQ332" s="58"/>
      <c r="ER332" s="58"/>
      <c r="ES332" s="58"/>
      <c r="ET332" s="58"/>
      <c r="EU332" s="58"/>
      <c r="EV332" s="58"/>
      <c r="EW332" s="58"/>
      <c r="EX332" s="58"/>
      <c r="EY332" s="58"/>
      <c r="EZ332" s="58"/>
      <c r="FA332" s="58"/>
      <c r="FB332" s="58"/>
      <c r="FC332" s="58"/>
      <c r="FD332" s="58"/>
      <c r="FE332" s="58"/>
      <c r="FF332" s="58"/>
      <c r="FG332" s="58"/>
      <c r="FH332" s="58"/>
      <c r="FI332" s="58"/>
      <c r="FJ332" s="58"/>
      <c r="FK332" s="58"/>
      <c r="FL332" s="58"/>
      <c r="FM332" s="58"/>
      <c r="FN332" s="58"/>
      <c r="FO332" s="58"/>
      <c r="FP332" s="58"/>
      <c r="FQ332" s="58"/>
      <c r="FR332" s="58"/>
      <c r="FS332" s="58"/>
      <c r="FT332" s="58"/>
      <c r="FU332" s="58"/>
      <c r="FV332" s="58"/>
      <c r="FW332" s="58"/>
      <c r="FX332" s="58"/>
      <c r="FY332" s="58"/>
      <c r="FZ332" s="58"/>
      <c r="GA332" s="58"/>
      <c r="GB332" s="58"/>
      <c r="GC332" s="58"/>
      <c r="GD332" s="58"/>
      <c r="GE332" s="58"/>
      <c r="GF332" s="58"/>
      <c r="GG332" s="58"/>
      <c r="GH332" s="58"/>
      <c r="GI332" s="58"/>
      <c r="GJ332" s="58"/>
      <c r="GK332" s="58"/>
    </row>
    <row r="333" spans="1:193" s="74" customFormat="1">
      <c r="A333" s="78"/>
      <c r="B333" s="78"/>
      <c r="C333" s="78"/>
      <c r="D333" s="78"/>
      <c r="E333" s="78"/>
      <c r="F333" s="78"/>
      <c r="G333" s="67"/>
      <c r="H333" s="319"/>
      <c r="I333" s="319"/>
      <c r="J333" s="78"/>
      <c r="K333" s="58"/>
      <c r="L333" s="319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  <c r="EM333" s="58"/>
      <c r="EN333" s="58"/>
      <c r="EO333" s="58"/>
      <c r="EP333" s="58"/>
      <c r="EQ333" s="58"/>
      <c r="ER333" s="58"/>
      <c r="ES333" s="58"/>
      <c r="ET333" s="58"/>
      <c r="EU333" s="58"/>
      <c r="EV333" s="58"/>
      <c r="EW333" s="58"/>
      <c r="EX333" s="58"/>
      <c r="EY333" s="58"/>
      <c r="EZ333" s="58"/>
      <c r="FA333" s="58"/>
      <c r="FB333" s="58"/>
      <c r="FC333" s="58"/>
      <c r="FD333" s="58"/>
      <c r="FE333" s="58"/>
      <c r="FF333" s="58"/>
      <c r="FG333" s="58"/>
      <c r="FH333" s="58"/>
      <c r="FI333" s="58"/>
      <c r="FJ333" s="58"/>
      <c r="FK333" s="58"/>
      <c r="FL333" s="58"/>
      <c r="FM333" s="58"/>
      <c r="FN333" s="58"/>
      <c r="FO333" s="58"/>
      <c r="FP333" s="58"/>
      <c r="FQ333" s="58"/>
      <c r="FR333" s="58"/>
      <c r="FS333" s="58"/>
      <c r="FT333" s="58"/>
      <c r="FU333" s="58"/>
      <c r="FV333" s="58"/>
      <c r="FW333" s="58"/>
      <c r="FX333" s="58"/>
      <c r="FY333" s="58"/>
      <c r="FZ333" s="58"/>
      <c r="GA333" s="58"/>
      <c r="GB333" s="58"/>
      <c r="GC333" s="58"/>
      <c r="GD333" s="58"/>
      <c r="GE333" s="58"/>
      <c r="GF333" s="58"/>
      <c r="GG333" s="58"/>
      <c r="GH333" s="58"/>
      <c r="GI333" s="58"/>
      <c r="GJ333" s="58"/>
      <c r="GK333" s="58"/>
    </row>
    <row r="334" spans="1:193" s="74" customFormat="1">
      <c r="A334" s="78"/>
      <c r="B334" s="78"/>
      <c r="C334" s="78"/>
      <c r="D334" s="78"/>
      <c r="E334" s="78"/>
      <c r="F334" s="78"/>
      <c r="G334" s="67"/>
      <c r="H334" s="319"/>
      <c r="I334" s="319"/>
      <c r="J334" s="78"/>
      <c r="K334" s="58"/>
      <c r="L334" s="319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  <c r="EN334" s="58"/>
      <c r="EO334" s="58"/>
      <c r="EP334" s="58"/>
      <c r="EQ334" s="58"/>
      <c r="ER334" s="58"/>
      <c r="ES334" s="58"/>
      <c r="ET334" s="58"/>
      <c r="EU334" s="58"/>
      <c r="EV334" s="58"/>
      <c r="EW334" s="58"/>
      <c r="EX334" s="58"/>
      <c r="EY334" s="58"/>
      <c r="EZ334" s="58"/>
      <c r="FA334" s="58"/>
      <c r="FB334" s="58"/>
      <c r="FC334" s="58"/>
      <c r="FD334" s="58"/>
      <c r="FE334" s="58"/>
      <c r="FF334" s="58"/>
      <c r="FG334" s="58"/>
      <c r="FH334" s="58"/>
      <c r="FI334" s="58"/>
      <c r="FJ334" s="58"/>
      <c r="FK334" s="58"/>
      <c r="FL334" s="58"/>
      <c r="FM334" s="58"/>
      <c r="FN334" s="58"/>
      <c r="FO334" s="58"/>
      <c r="FP334" s="58"/>
      <c r="FQ334" s="58"/>
      <c r="FR334" s="58"/>
      <c r="FS334" s="58"/>
      <c r="FT334" s="58"/>
      <c r="FU334" s="58"/>
      <c r="FV334" s="58"/>
      <c r="FW334" s="58"/>
      <c r="FX334" s="58"/>
      <c r="FY334" s="58"/>
      <c r="FZ334" s="58"/>
      <c r="GA334" s="58"/>
      <c r="GB334" s="58"/>
      <c r="GC334" s="58"/>
      <c r="GD334" s="58"/>
      <c r="GE334" s="58"/>
      <c r="GF334" s="58"/>
      <c r="GG334" s="58"/>
      <c r="GH334" s="58"/>
      <c r="GI334" s="58"/>
      <c r="GJ334" s="58"/>
      <c r="GK334" s="58"/>
    </row>
    <row r="335" spans="1:193" s="74" customFormat="1">
      <c r="A335" s="78"/>
      <c r="B335" s="78"/>
      <c r="C335" s="78"/>
      <c r="D335" s="78"/>
      <c r="E335" s="78"/>
      <c r="F335" s="78"/>
      <c r="G335" s="67"/>
      <c r="H335" s="319"/>
      <c r="I335" s="319"/>
      <c r="J335" s="78"/>
      <c r="K335" s="58"/>
      <c r="L335" s="319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  <c r="EM335" s="58"/>
      <c r="EN335" s="58"/>
      <c r="EO335" s="58"/>
      <c r="EP335" s="58"/>
      <c r="EQ335" s="58"/>
      <c r="ER335" s="58"/>
      <c r="ES335" s="58"/>
      <c r="ET335" s="58"/>
      <c r="EU335" s="58"/>
      <c r="EV335" s="58"/>
      <c r="EW335" s="58"/>
      <c r="EX335" s="58"/>
      <c r="EY335" s="58"/>
      <c r="EZ335" s="58"/>
      <c r="FA335" s="58"/>
      <c r="FB335" s="58"/>
      <c r="FC335" s="58"/>
      <c r="FD335" s="58"/>
      <c r="FE335" s="58"/>
      <c r="FF335" s="58"/>
      <c r="FG335" s="58"/>
      <c r="FH335" s="58"/>
      <c r="FI335" s="58"/>
      <c r="FJ335" s="58"/>
      <c r="FK335" s="58"/>
      <c r="FL335" s="58"/>
      <c r="FM335" s="58"/>
      <c r="FN335" s="58"/>
      <c r="FO335" s="58"/>
      <c r="FP335" s="58"/>
      <c r="FQ335" s="58"/>
      <c r="FR335" s="58"/>
      <c r="FS335" s="58"/>
      <c r="FT335" s="58"/>
      <c r="FU335" s="58"/>
      <c r="FV335" s="58"/>
      <c r="FW335" s="58"/>
      <c r="FX335" s="58"/>
      <c r="FY335" s="58"/>
      <c r="FZ335" s="58"/>
      <c r="GA335" s="58"/>
      <c r="GB335" s="58"/>
      <c r="GC335" s="58"/>
      <c r="GD335" s="58"/>
      <c r="GE335" s="58"/>
      <c r="GF335" s="58"/>
      <c r="GG335" s="58"/>
      <c r="GH335" s="58"/>
      <c r="GI335" s="58"/>
      <c r="GJ335" s="58"/>
      <c r="GK335" s="58"/>
    </row>
    <row r="336" spans="1:193" s="74" customFormat="1">
      <c r="A336" s="78"/>
      <c r="B336" s="78"/>
      <c r="C336" s="78"/>
      <c r="D336" s="78"/>
      <c r="E336" s="78"/>
      <c r="F336" s="78"/>
      <c r="G336" s="67"/>
      <c r="H336" s="319"/>
      <c r="I336" s="319"/>
      <c r="J336" s="78"/>
      <c r="K336" s="58"/>
      <c r="L336" s="319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  <c r="EM336" s="58"/>
      <c r="EN336" s="58"/>
      <c r="EO336" s="58"/>
      <c r="EP336" s="58"/>
      <c r="EQ336" s="58"/>
      <c r="ER336" s="58"/>
      <c r="ES336" s="58"/>
      <c r="ET336" s="58"/>
      <c r="EU336" s="58"/>
      <c r="EV336" s="58"/>
      <c r="EW336" s="58"/>
      <c r="EX336" s="58"/>
      <c r="EY336" s="58"/>
      <c r="EZ336" s="58"/>
      <c r="FA336" s="58"/>
      <c r="FB336" s="58"/>
      <c r="FC336" s="58"/>
      <c r="FD336" s="58"/>
      <c r="FE336" s="58"/>
      <c r="FF336" s="58"/>
      <c r="FG336" s="58"/>
      <c r="FH336" s="58"/>
      <c r="FI336" s="58"/>
      <c r="FJ336" s="58"/>
      <c r="FK336" s="58"/>
      <c r="FL336" s="58"/>
      <c r="FM336" s="58"/>
      <c r="FN336" s="58"/>
      <c r="FO336" s="58"/>
      <c r="FP336" s="58"/>
      <c r="FQ336" s="58"/>
      <c r="FR336" s="58"/>
      <c r="FS336" s="58"/>
      <c r="FT336" s="58"/>
      <c r="FU336" s="58"/>
      <c r="FV336" s="58"/>
      <c r="FW336" s="58"/>
      <c r="FX336" s="58"/>
      <c r="FY336" s="58"/>
      <c r="FZ336" s="58"/>
      <c r="GA336" s="58"/>
      <c r="GB336" s="58"/>
      <c r="GC336" s="58"/>
      <c r="GD336" s="58"/>
      <c r="GE336" s="58"/>
      <c r="GF336" s="58"/>
      <c r="GG336" s="58"/>
      <c r="GH336" s="58"/>
      <c r="GI336" s="58"/>
      <c r="GJ336" s="58"/>
      <c r="GK336" s="58"/>
    </row>
    <row r="337" spans="1:193" s="74" customFormat="1">
      <c r="A337" s="78"/>
      <c r="B337" s="78"/>
      <c r="C337" s="78"/>
      <c r="D337" s="78"/>
      <c r="E337" s="78"/>
      <c r="F337" s="78"/>
      <c r="G337" s="67"/>
      <c r="H337" s="319"/>
      <c r="I337" s="319"/>
      <c r="J337" s="78"/>
      <c r="K337" s="58"/>
      <c r="L337" s="319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  <c r="EM337" s="58"/>
      <c r="EN337" s="58"/>
      <c r="EO337" s="58"/>
      <c r="EP337" s="58"/>
      <c r="EQ337" s="58"/>
      <c r="ER337" s="58"/>
      <c r="ES337" s="58"/>
      <c r="ET337" s="58"/>
      <c r="EU337" s="58"/>
      <c r="EV337" s="58"/>
      <c r="EW337" s="58"/>
      <c r="EX337" s="58"/>
      <c r="EY337" s="58"/>
      <c r="EZ337" s="58"/>
      <c r="FA337" s="58"/>
      <c r="FB337" s="58"/>
      <c r="FC337" s="58"/>
      <c r="FD337" s="58"/>
      <c r="FE337" s="58"/>
      <c r="FF337" s="58"/>
      <c r="FG337" s="58"/>
      <c r="FH337" s="58"/>
      <c r="FI337" s="58"/>
      <c r="FJ337" s="58"/>
      <c r="FK337" s="58"/>
      <c r="FL337" s="58"/>
      <c r="FM337" s="58"/>
      <c r="FN337" s="58"/>
      <c r="FO337" s="58"/>
      <c r="FP337" s="58"/>
      <c r="FQ337" s="58"/>
      <c r="FR337" s="58"/>
      <c r="FS337" s="58"/>
      <c r="FT337" s="58"/>
      <c r="FU337" s="58"/>
      <c r="FV337" s="58"/>
      <c r="FW337" s="58"/>
      <c r="FX337" s="58"/>
      <c r="FY337" s="58"/>
      <c r="FZ337" s="58"/>
      <c r="GA337" s="58"/>
      <c r="GB337" s="58"/>
      <c r="GC337" s="58"/>
      <c r="GD337" s="58"/>
      <c r="GE337" s="58"/>
      <c r="GF337" s="58"/>
      <c r="GG337" s="58"/>
      <c r="GH337" s="58"/>
      <c r="GI337" s="58"/>
      <c r="GJ337" s="58"/>
      <c r="GK337" s="58"/>
    </row>
    <row r="338" spans="1:193" s="74" customFormat="1">
      <c r="A338" s="78"/>
      <c r="B338" s="78"/>
      <c r="C338" s="78"/>
      <c r="D338" s="78"/>
      <c r="E338" s="78"/>
      <c r="F338" s="78"/>
      <c r="G338" s="67"/>
      <c r="H338" s="319"/>
      <c r="I338" s="319"/>
      <c r="J338" s="78"/>
      <c r="K338" s="58"/>
      <c r="L338" s="319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  <c r="EM338" s="58"/>
      <c r="EN338" s="58"/>
      <c r="EO338" s="58"/>
      <c r="EP338" s="58"/>
      <c r="EQ338" s="58"/>
      <c r="ER338" s="58"/>
      <c r="ES338" s="58"/>
      <c r="ET338" s="58"/>
      <c r="EU338" s="58"/>
      <c r="EV338" s="58"/>
      <c r="EW338" s="58"/>
      <c r="EX338" s="58"/>
      <c r="EY338" s="58"/>
      <c r="EZ338" s="58"/>
      <c r="FA338" s="58"/>
      <c r="FB338" s="58"/>
      <c r="FC338" s="58"/>
      <c r="FD338" s="58"/>
      <c r="FE338" s="58"/>
      <c r="FF338" s="58"/>
      <c r="FG338" s="58"/>
      <c r="FH338" s="58"/>
      <c r="FI338" s="58"/>
      <c r="FJ338" s="58"/>
      <c r="FK338" s="58"/>
      <c r="FL338" s="58"/>
      <c r="FM338" s="58"/>
      <c r="FN338" s="58"/>
      <c r="FO338" s="58"/>
      <c r="FP338" s="58"/>
      <c r="FQ338" s="58"/>
      <c r="FR338" s="58"/>
      <c r="FS338" s="58"/>
      <c r="FT338" s="58"/>
      <c r="FU338" s="58"/>
      <c r="FV338" s="58"/>
      <c r="FW338" s="58"/>
      <c r="FX338" s="58"/>
      <c r="FY338" s="58"/>
      <c r="FZ338" s="58"/>
      <c r="GA338" s="58"/>
      <c r="GB338" s="58"/>
      <c r="GC338" s="58"/>
      <c r="GD338" s="58"/>
      <c r="GE338" s="58"/>
      <c r="GF338" s="58"/>
      <c r="GG338" s="58"/>
      <c r="GH338" s="58"/>
      <c r="GI338" s="58"/>
      <c r="GJ338" s="58"/>
      <c r="GK338" s="58"/>
    </row>
    <row r="339" spans="1:193" s="74" customFormat="1">
      <c r="A339" s="78"/>
      <c r="B339" s="78"/>
      <c r="C339" s="78"/>
      <c r="D339" s="78"/>
      <c r="E339" s="78"/>
      <c r="F339" s="78"/>
      <c r="G339" s="67"/>
      <c r="H339" s="319"/>
      <c r="I339" s="319"/>
      <c r="J339" s="78"/>
      <c r="K339" s="58"/>
      <c r="L339" s="319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  <c r="EN339" s="58"/>
      <c r="EO339" s="58"/>
      <c r="EP339" s="58"/>
      <c r="EQ339" s="58"/>
      <c r="ER339" s="58"/>
      <c r="ES339" s="58"/>
      <c r="ET339" s="58"/>
      <c r="EU339" s="58"/>
      <c r="EV339" s="58"/>
      <c r="EW339" s="58"/>
      <c r="EX339" s="58"/>
      <c r="EY339" s="58"/>
      <c r="EZ339" s="58"/>
      <c r="FA339" s="58"/>
      <c r="FB339" s="58"/>
      <c r="FC339" s="58"/>
      <c r="FD339" s="58"/>
      <c r="FE339" s="58"/>
      <c r="FF339" s="58"/>
      <c r="FG339" s="58"/>
      <c r="FH339" s="58"/>
      <c r="FI339" s="58"/>
      <c r="FJ339" s="58"/>
      <c r="FK339" s="58"/>
      <c r="FL339" s="58"/>
      <c r="FM339" s="58"/>
      <c r="FN339" s="58"/>
      <c r="FO339" s="58"/>
      <c r="FP339" s="58"/>
      <c r="FQ339" s="58"/>
      <c r="FR339" s="58"/>
      <c r="FS339" s="58"/>
      <c r="FT339" s="58"/>
      <c r="FU339" s="58"/>
      <c r="FV339" s="58"/>
      <c r="FW339" s="58"/>
      <c r="FX339" s="58"/>
      <c r="FY339" s="58"/>
      <c r="FZ339" s="58"/>
      <c r="GA339" s="58"/>
      <c r="GB339" s="58"/>
      <c r="GC339" s="58"/>
      <c r="GD339" s="58"/>
      <c r="GE339" s="58"/>
      <c r="GF339" s="58"/>
      <c r="GG339" s="58"/>
      <c r="GH339" s="58"/>
      <c r="GI339" s="58"/>
      <c r="GJ339" s="58"/>
      <c r="GK339" s="58"/>
    </row>
    <row r="340" spans="1:193" s="74" customFormat="1">
      <c r="A340" s="78"/>
      <c r="B340" s="78"/>
      <c r="C340" s="78"/>
      <c r="D340" s="78"/>
      <c r="E340" s="78"/>
      <c r="F340" s="78"/>
      <c r="G340" s="67"/>
      <c r="H340" s="319"/>
      <c r="I340" s="319"/>
      <c r="J340" s="78"/>
      <c r="K340" s="58"/>
      <c r="L340" s="319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  <c r="EN340" s="58"/>
      <c r="EO340" s="58"/>
      <c r="EP340" s="58"/>
      <c r="EQ340" s="58"/>
      <c r="ER340" s="58"/>
      <c r="ES340" s="58"/>
      <c r="ET340" s="58"/>
      <c r="EU340" s="58"/>
      <c r="EV340" s="58"/>
      <c r="EW340" s="58"/>
      <c r="EX340" s="58"/>
      <c r="EY340" s="58"/>
      <c r="EZ340" s="58"/>
      <c r="FA340" s="58"/>
      <c r="FB340" s="58"/>
      <c r="FC340" s="58"/>
      <c r="FD340" s="58"/>
      <c r="FE340" s="58"/>
      <c r="FF340" s="58"/>
      <c r="FG340" s="58"/>
      <c r="FH340" s="58"/>
      <c r="FI340" s="58"/>
      <c r="FJ340" s="58"/>
      <c r="FK340" s="58"/>
      <c r="FL340" s="58"/>
      <c r="FM340" s="58"/>
      <c r="FN340" s="58"/>
      <c r="FO340" s="58"/>
      <c r="FP340" s="58"/>
      <c r="FQ340" s="58"/>
      <c r="FR340" s="58"/>
      <c r="FS340" s="58"/>
      <c r="FT340" s="58"/>
      <c r="FU340" s="58"/>
      <c r="FV340" s="58"/>
      <c r="FW340" s="58"/>
      <c r="FX340" s="58"/>
      <c r="FY340" s="58"/>
      <c r="FZ340" s="58"/>
      <c r="GA340" s="58"/>
      <c r="GB340" s="58"/>
      <c r="GC340" s="58"/>
      <c r="GD340" s="58"/>
      <c r="GE340" s="58"/>
      <c r="GF340" s="58"/>
      <c r="GG340" s="58"/>
      <c r="GH340" s="58"/>
      <c r="GI340" s="58"/>
      <c r="GJ340" s="58"/>
      <c r="GK340" s="58"/>
    </row>
    <row r="341" spans="1:193" s="74" customFormat="1">
      <c r="A341" s="78"/>
      <c r="B341" s="78"/>
      <c r="C341" s="78"/>
      <c r="D341" s="78"/>
      <c r="E341" s="78"/>
      <c r="F341" s="78"/>
      <c r="G341" s="67"/>
      <c r="H341" s="319"/>
      <c r="I341" s="319"/>
      <c r="J341" s="78"/>
      <c r="K341" s="58"/>
      <c r="L341" s="319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  <c r="EN341" s="58"/>
      <c r="EO341" s="58"/>
      <c r="EP341" s="58"/>
      <c r="EQ341" s="58"/>
      <c r="ER341" s="58"/>
      <c r="ES341" s="58"/>
      <c r="ET341" s="58"/>
      <c r="EU341" s="58"/>
      <c r="EV341" s="58"/>
      <c r="EW341" s="58"/>
      <c r="EX341" s="58"/>
      <c r="EY341" s="58"/>
      <c r="EZ341" s="58"/>
      <c r="FA341" s="58"/>
      <c r="FB341" s="58"/>
      <c r="FC341" s="58"/>
      <c r="FD341" s="58"/>
      <c r="FE341" s="58"/>
      <c r="FF341" s="58"/>
      <c r="FG341" s="58"/>
      <c r="FH341" s="58"/>
      <c r="FI341" s="58"/>
      <c r="FJ341" s="58"/>
      <c r="FK341" s="58"/>
      <c r="FL341" s="58"/>
      <c r="FM341" s="58"/>
      <c r="FN341" s="58"/>
      <c r="FO341" s="58"/>
      <c r="FP341" s="58"/>
      <c r="FQ341" s="58"/>
      <c r="FR341" s="58"/>
      <c r="FS341" s="58"/>
      <c r="FT341" s="58"/>
      <c r="FU341" s="58"/>
      <c r="FV341" s="58"/>
      <c r="FW341" s="58"/>
      <c r="FX341" s="58"/>
      <c r="FY341" s="58"/>
      <c r="FZ341" s="58"/>
      <c r="GA341" s="58"/>
      <c r="GB341" s="58"/>
      <c r="GC341" s="58"/>
      <c r="GD341" s="58"/>
      <c r="GE341" s="58"/>
      <c r="GF341" s="58"/>
      <c r="GG341" s="58"/>
      <c r="GH341" s="58"/>
      <c r="GI341" s="58"/>
      <c r="GJ341" s="58"/>
      <c r="GK341" s="58"/>
    </row>
    <row r="342" spans="1:193" s="74" customFormat="1">
      <c r="A342" s="78"/>
      <c r="B342" s="78"/>
      <c r="C342" s="78"/>
      <c r="D342" s="78"/>
      <c r="E342" s="78"/>
      <c r="F342" s="78"/>
      <c r="G342" s="67"/>
      <c r="H342" s="319"/>
      <c r="I342" s="319"/>
      <c r="J342" s="78"/>
      <c r="K342" s="58"/>
      <c r="L342" s="319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  <c r="EN342" s="58"/>
      <c r="EO342" s="58"/>
      <c r="EP342" s="58"/>
      <c r="EQ342" s="58"/>
      <c r="ER342" s="58"/>
      <c r="ES342" s="58"/>
      <c r="ET342" s="58"/>
      <c r="EU342" s="58"/>
      <c r="EV342" s="58"/>
      <c r="EW342" s="58"/>
      <c r="EX342" s="58"/>
      <c r="EY342" s="58"/>
      <c r="EZ342" s="58"/>
      <c r="FA342" s="58"/>
      <c r="FB342" s="58"/>
      <c r="FC342" s="58"/>
      <c r="FD342" s="58"/>
      <c r="FE342" s="58"/>
      <c r="FF342" s="58"/>
      <c r="FG342" s="58"/>
      <c r="FH342" s="58"/>
      <c r="FI342" s="58"/>
      <c r="FJ342" s="58"/>
      <c r="FK342" s="58"/>
      <c r="FL342" s="58"/>
      <c r="FM342" s="58"/>
      <c r="FN342" s="58"/>
      <c r="FO342" s="58"/>
      <c r="FP342" s="58"/>
      <c r="FQ342" s="58"/>
      <c r="FR342" s="58"/>
      <c r="FS342" s="58"/>
      <c r="FT342" s="58"/>
      <c r="FU342" s="58"/>
      <c r="FV342" s="58"/>
      <c r="FW342" s="58"/>
      <c r="FX342" s="58"/>
      <c r="FY342" s="58"/>
      <c r="FZ342" s="58"/>
      <c r="GA342" s="58"/>
      <c r="GB342" s="58"/>
      <c r="GC342" s="58"/>
      <c r="GD342" s="58"/>
      <c r="GE342" s="58"/>
      <c r="GF342" s="58"/>
      <c r="GG342" s="58"/>
      <c r="GH342" s="58"/>
      <c r="GI342" s="58"/>
      <c r="GJ342" s="58"/>
      <c r="GK342" s="58"/>
    </row>
    <row r="343" spans="1:193" s="74" customFormat="1">
      <c r="A343" s="78"/>
      <c r="B343" s="78"/>
      <c r="C343" s="78"/>
      <c r="D343" s="78"/>
      <c r="E343" s="78"/>
      <c r="F343" s="78"/>
      <c r="G343" s="67"/>
      <c r="H343" s="319"/>
      <c r="I343" s="319"/>
      <c r="J343" s="78"/>
      <c r="K343" s="58"/>
      <c r="L343" s="319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  <c r="EN343" s="58"/>
      <c r="EO343" s="58"/>
      <c r="EP343" s="58"/>
      <c r="EQ343" s="58"/>
      <c r="ER343" s="58"/>
      <c r="ES343" s="58"/>
      <c r="ET343" s="58"/>
      <c r="EU343" s="58"/>
      <c r="EV343" s="58"/>
      <c r="EW343" s="58"/>
      <c r="EX343" s="58"/>
      <c r="EY343" s="58"/>
      <c r="EZ343" s="58"/>
      <c r="FA343" s="58"/>
      <c r="FB343" s="58"/>
      <c r="FC343" s="58"/>
      <c r="FD343" s="58"/>
      <c r="FE343" s="58"/>
      <c r="FF343" s="58"/>
      <c r="FG343" s="58"/>
      <c r="FH343" s="58"/>
      <c r="FI343" s="58"/>
      <c r="FJ343" s="58"/>
      <c r="FK343" s="58"/>
      <c r="FL343" s="58"/>
      <c r="FM343" s="58"/>
      <c r="FN343" s="58"/>
      <c r="FO343" s="58"/>
      <c r="FP343" s="58"/>
      <c r="FQ343" s="58"/>
      <c r="FR343" s="58"/>
      <c r="FS343" s="58"/>
      <c r="FT343" s="58"/>
      <c r="FU343" s="58"/>
      <c r="FV343" s="58"/>
      <c r="FW343" s="58"/>
      <c r="FX343" s="58"/>
      <c r="FY343" s="58"/>
      <c r="FZ343" s="58"/>
      <c r="GA343" s="58"/>
      <c r="GB343" s="58"/>
      <c r="GC343" s="58"/>
      <c r="GD343" s="58"/>
      <c r="GE343" s="58"/>
      <c r="GF343" s="58"/>
      <c r="GG343" s="58"/>
      <c r="GH343" s="58"/>
      <c r="GI343" s="58"/>
      <c r="GJ343" s="58"/>
      <c r="GK343" s="58"/>
    </row>
    <row r="344" spans="1:193" s="74" customFormat="1">
      <c r="A344" s="78"/>
      <c r="B344" s="78"/>
      <c r="C344" s="78"/>
      <c r="D344" s="78"/>
      <c r="E344" s="78"/>
      <c r="F344" s="78"/>
      <c r="G344" s="67"/>
      <c r="H344" s="319"/>
      <c r="I344" s="319"/>
      <c r="J344" s="78"/>
      <c r="K344" s="58"/>
      <c r="L344" s="319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  <c r="EM344" s="58"/>
      <c r="EN344" s="58"/>
      <c r="EO344" s="58"/>
      <c r="EP344" s="58"/>
      <c r="EQ344" s="58"/>
      <c r="ER344" s="58"/>
      <c r="ES344" s="58"/>
      <c r="ET344" s="58"/>
      <c r="EU344" s="58"/>
      <c r="EV344" s="58"/>
      <c r="EW344" s="58"/>
      <c r="EX344" s="58"/>
      <c r="EY344" s="58"/>
      <c r="EZ344" s="58"/>
      <c r="FA344" s="58"/>
      <c r="FB344" s="58"/>
      <c r="FC344" s="58"/>
      <c r="FD344" s="58"/>
      <c r="FE344" s="58"/>
      <c r="FF344" s="58"/>
      <c r="FG344" s="58"/>
      <c r="FH344" s="58"/>
      <c r="FI344" s="58"/>
      <c r="FJ344" s="58"/>
      <c r="FK344" s="58"/>
      <c r="FL344" s="58"/>
      <c r="FM344" s="58"/>
      <c r="FN344" s="58"/>
      <c r="FO344" s="58"/>
      <c r="FP344" s="58"/>
      <c r="FQ344" s="58"/>
      <c r="FR344" s="58"/>
      <c r="FS344" s="58"/>
      <c r="FT344" s="58"/>
      <c r="FU344" s="58"/>
      <c r="FV344" s="58"/>
      <c r="FW344" s="58"/>
      <c r="FX344" s="58"/>
      <c r="FY344" s="58"/>
      <c r="FZ344" s="58"/>
      <c r="GA344" s="58"/>
      <c r="GB344" s="58"/>
      <c r="GC344" s="58"/>
      <c r="GD344" s="58"/>
      <c r="GE344" s="58"/>
      <c r="GF344" s="58"/>
      <c r="GG344" s="58"/>
      <c r="GH344" s="58"/>
      <c r="GI344" s="58"/>
      <c r="GJ344" s="58"/>
      <c r="GK344" s="58"/>
    </row>
    <row r="345" spans="1:193" s="74" customFormat="1">
      <c r="A345" s="78"/>
      <c r="B345" s="78"/>
      <c r="C345" s="78"/>
      <c r="D345" s="78"/>
      <c r="E345" s="78"/>
      <c r="F345" s="78"/>
      <c r="G345" s="67"/>
      <c r="H345" s="319"/>
      <c r="I345" s="319"/>
      <c r="J345" s="78"/>
      <c r="K345" s="58"/>
      <c r="L345" s="319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  <c r="EN345" s="58"/>
      <c r="EO345" s="58"/>
      <c r="EP345" s="58"/>
      <c r="EQ345" s="58"/>
      <c r="ER345" s="58"/>
      <c r="ES345" s="58"/>
      <c r="ET345" s="58"/>
      <c r="EU345" s="58"/>
      <c r="EV345" s="58"/>
      <c r="EW345" s="58"/>
      <c r="EX345" s="58"/>
      <c r="EY345" s="58"/>
      <c r="EZ345" s="58"/>
      <c r="FA345" s="58"/>
      <c r="FB345" s="58"/>
      <c r="FC345" s="58"/>
      <c r="FD345" s="58"/>
      <c r="FE345" s="58"/>
      <c r="FF345" s="58"/>
      <c r="FG345" s="58"/>
      <c r="FH345" s="58"/>
      <c r="FI345" s="58"/>
      <c r="FJ345" s="58"/>
      <c r="FK345" s="58"/>
      <c r="FL345" s="58"/>
      <c r="FM345" s="58"/>
      <c r="FN345" s="58"/>
      <c r="FO345" s="58"/>
      <c r="FP345" s="58"/>
      <c r="FQ345" s="58"/>
      <c r="FR345" s="58"/>
      <c r="FS345" s="58"/>
      <c r="FT345" s="58"/>
      <c r="FU345" s="58"/>
      <c r="FV345" s="58"/>
      <c r="FW345" s="58"/>
      <c r="FX345" s="58"/>
      <c r="FY345" s="58"/>
      <c r="FZ345" s="58"/>
      <c r="GA345" s="58"/>
      <c r="GB345" s="58"/>
      <c r="GC345" s="58"/>
      <c r="GD345" s="58"/>
      <c r="GE345" s="58"/>
      <c r="GF345" s="58"/>
      <c r="GG345" s="58"/>
      <c r="GH345" s="58"/>
      <c r="GI345" s="58"/>
      <c r="GJ345" s="58"/>
      <c r="GK345" s="58"/>
    </row>
    <row r="346" spans="1:193" s="74" customFormat="1">
      <c r="A346" s="78"/>
      <c r="B346" s="78"/>
      <c r="C346" s="78"/>
      <c r="D346" s="78"/>
      <c r="E346" s="78"/>
      <c r="F346" s="78"/>
      <c r="G346" s="67"/>
      <c r="H346" s="319"/>
      <c r="I346" s="319"/>
      <c r="J346" s="78"/>
      <c r="K346" s="58"/>
      <c r="L346" s="319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  <c r="EN346" s="58"/>
      <c r="EO346" s="58"/>
      <c r="EP346" s="58"/>
      <c r="EQ346" s="58"/>
      <c r="ER346" s="58"/>
      <c r="ES346" s="58"/>
      <c r="ET346" s="58"/>
      <c r="EU346" s="58"/>
      <c r="EV346" s="58"/>
      <c r="EW346" s="58"/>
      <c r="EX346" s="58"/>
      <c r="EY346" s="58"/>
      <c r="EZ346" s="58"/>
      <c r="FA346" s="58"/>
      <c r="FB346" s="58"/>
      <c r="FC346" s="58"/>
      <c r="FD346" s="58"/>
      <c r="FE346" s="58"/>
      <c r="FF346" s="58"/>
      <c r="FG346" s="58"/>
      <c r="FH346" s="58"/>
      <c r="FI346" s="58"/>
      <c r="FJ346" s="58"/>
      <c r="FK346" s="58"/>
      <c r="FL346" s="58"/>
      <c r="FM346" s="58"/>
      <c r="FN346" s="58"/>
      <c r="FO346" s="58"/>
      <c r="FP346" s="58"/>
      <c r="FQ346" s="58"/>
      <c r="FR346" s="58"/>
      <c r="FS346" s="58"/>
      <c r="FT346" s="58"/>
      <c r="FU346" s="58"/>
      <c r="FV346" s="58"/>
      <c r="FW346" s="58"/>
      <c r="FX346" s="58"/>
      <c r="FY346" s="58"/>
      <c r="FZ346" s="58"/>
      <c r="GA346" s="58"/>
      <c r="GB346" s="58"/>
      <c r="GC346" s="58"/>
      <c r="GD346" s="58"/>
      <c r="GE346" s="58"/>
      <c r="GF346" s="58"/>
      <c r="GG346" s="58"/>
      <c r="GH346" s="58"/>
      <c r="GI346" s="58"/>
      <c r="GJ346" s="58"/>
      <c r="GK346" s="58"/>
    </row>
    <row r="347" spans="1:193" s="74" customFormat="1">
      <c r="A347" s="78"/>
      <c r="B347" s="78"/>
      <c r="C347" s="78"/>
      <c r="D347" s="78"/>
      <c r="E347" s="78"/>
      <c r="F347" s="78"/>
      <c r="G347" s="67"/>
      <c r="H347" s="319"/>
      <c r="I347" s="319"/>
      <c r="J347" s="78"/>
      <c r="K347" s="58"/>
      <c r="L347" s="319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  <c r="EN347" s="58"/>
      <c r="EO347" s="58"/>
      <c r="EP347" s="58"/>
      <c r="EQ347" s="58"/>
      <c r="ER347" s="58"/>
      <c r="ES347" s="58"/>
      <c r="ET347" s="58"/>
      <c r="EU347" s="58"/>
      <c r="EV347" s="58"/>
      <c r="EW347" s="58"/>
      <c r="EX347" s="58"/>
      <c r="EY347" s="58"/>
      <c r="EZ347" s="58"/>
      <c r="FA347" s="58"/>
      <c r="FB347" s="58"/>
      <c r="FC347" s="58"/>
      <c r="FD347" s="58"/>
      <c r="FE347" s="58"/>
      <c r="FF347" s="58"/>
      <c r="FG347" s="58"/>
      <c r="FH347" s="58"/>
      <c r="FI347" s="58"/>
      <c r="FJ347" s="58"/>
      <c r="FK347" s="58"/>
      <c r="FL347" s="58"/>
      <c r="FM347" s="58"/>
      <c r="FN347" s="58"/>
      <c r="FO347" s="58"/>
      <c r="FP347" s="58"/>
      <c r="FQ347" s="58"/>
      <c r="FR347" s="58"/>
      <c r="FS347" s="58"/>
      <c r="FT347" s="58"/>
      <c r="FU347" s="58"/>
      <c r="FV347" s="58"/>
      <c r="FW347" s="58"/>
      <c r="FX347" s="58"/>
      <c r="FY347" s="58"/>
      <c r="FZ347" s="58"/>
      <c r="GA347" s="58"/>
      <c r="GB347" s="58"/>
      <c r="GC347" s="58"/>
      <c r="GD347" s="58"/>
      <c r="GE347" s="58"/>
      <c r="GF347" s="58"/>
      <c r="GG347" s="58"/>
      <c r="GH347" s="58"/>
      <c r="GI347" s="58"/>
      <c r="GJ347" s="58"/>
      <c r="GK347" s="58"/>
    </row>
    <row r="348" spans="1:193" s="74" customFormat="1">
      <c r="A348" s="78"/>
      <c r="B348" s="78"/>
      <c r="C348" s="78"/>
      <c r="D348" s="78"/>
      <c r="E348" s="78"/>
      <c r="F348" s="78"/>
      <c r="G348" s="67"/>
      <c r="H348" s="319"/>
      <c r="I348" s="319"/>
      <c r="J348" s="78"/>
      <c r="K348" s="58"/>
      <c r="L348" s="319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  <c r="EM348" s="58"/>
      <c r="EN348" s="58"/>
      <c r="EO348" s="58"/>
      <c r="EP348" s="58"/>
      <c r="EQ348" s="58"/>
      <c r="ER348" s="58"/>
      <c r="ES348" s="58"/>
      <c r="ET348" s="58"/>
      <c r="EU348" s="58"/>
      <c r="EV348" s="58"/>
      <c r="EW348" s="58"/>
      <c r="EX348" s="58"/>
      <c r="EY348" s="58"/>
      <c r="EZ348" s="58"/>
      <c r="FA348" s="58"/>
      <c r="FB348" s="58"/>
      <c r="FC348" s="58"/>
      <c r="FD348" s="58"/>
      <c r="FE348" s="58"/>
      <c r="FF348" s="58"/>
      <c r="FG348" s="58"/>
      <c r="FH348" s="58"/>
      <c r="FI348" s="58"/>
      <c r="FJ348" s="58"/>
      <c r="FK348" s="58"/>
      <c r="FL348" s="58"/>
      <c r="FM348" s="58"/>
      <c r="FN348" s="58"/>
      <c r="FO348" s="58"/>
      <c r="FP348" s="58"/>
      <c r="FQ348" s="58"/>
      <c r="FR348" s="58"/>
      <c r="FS348" s="58"/>
      <c r="FT348" s="58"/>
      <c r="FU348" s="58"/>
      <c r="FV348" s="58"/>
      <c r="FW348" s="58"/>
      <c r="FX348" s="58"/>
      <c r="FY348" s="58"/>
      <c r="FZ348" s="58"/>
      <c r="GA348" s="58"/>
      <c r="GB348" s="58"/>
      <c r="GC348" s="58"/>
      <c r="GD348" s="58"/>
      <c r="GE348" s="58"/>
      <c r="GF348" s="58"/>
      <c r="GG348" s="58"/>
      <c r="GH348" s="58"/>
      <c r="GI348" s="58"/>
      <c r="GJ348" s="58"/>
      <c r="GK348" s="58"/>
    </row>
    <row r="349" spans="1:193" s="74" customFormat="1">
      <c r="A349" s="78"/>
      <c r="B349" s="78"/>
      <c r="C349" s="78"/>
      <c r="D349" s="78"/>
      <c r="E349" s="78"/>
      <c r="F349" s="78"/>
      <c r="G349" s="67"/>
      <c r="H349" s="319"/>
      <c r="I349" s="319"/>
      <c r="J349" s="78"/>
      <c r="K349" s="58"/>
      <c r="L349" s="319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  <c r="EM349" s="58"/>
      <c r="EN349" s="58"/>
      <c r="EO349" s="58"/>
      <c r="EP349" s="58"/>
      <c r="EQ349" s="58"/>
      <c r="ER349" s="58"/>
      <c r="ES349" s="58"/>
      <c r="ET349" s="58"/>
      <c r="EU349" s="58"/>
      <c r="EV349" s="58"/>
      <c r="EW349" s="58"/>
      <c r="EX349" s="58"/>
      <c r="EY349" s="58"/>
      <c r="EZ349" s="58"/>
      <c r="FA349" s="58"/>
      <c r="FB349" s="58"/>
      <c r="FC349" s="58"/>
      <c r="FD349" s="58"/>
      <c r="FE349" s="58"/>
      <c r="FF349" s="58"/>
      <c r="FG349" s="58"/>
      <c r="FH349" s="58"/>
      <c r="FI349" s="58"/>
      <c r="FJ349" s="58"/>
      <c r="FK349" s="58"/>
      <c r="FL349" s="58"/>
      <c r="FM349" s="58"/>
      <c r="FN349" s="58"/>
      <c r="FO349" s="58"/>
      <c r="FP349" s="58"/>
      <c r="FQ349" s="58"/>
      <c r="FR349" s="58"/>
      <c r="FS349" s="58"/>
      <c r="FT349" s="58"/>
      <c r="FU349" s="58"/>
      <c r="FV349" s="58"/>
      <c r="FW349" s="58"/>
      <c r="FX349" s="58"/>
      <c r="FY349" s="58"/>
      <c r="FZ349" s="58"/>
      <c r="GA349" s="58"/>
      <c r="GB349" s="58"/>
      <c r="GC349" s="58"/>
      <c r="GD349" s="58"/>
      <c r="GE349" s="58"/>
      <c r="GF349" s="58"/>
      <c r="GG349" s="58"/>
      <c r="GH349" s="58"/>
      <c r="GI349" s="58"/>
      <c r="GJ349" s="58"/>
      <c r="GK349" s="58"/>
    </row>
    <row r="350" spans="1:193" s="74" customFormat="1">
      <c r="A350" s="78"/>
      <c r="B350" s="78"/>
      <c r="C350" s="78"/>
      <c r="D350" s="78"/>
      <c r="E350" s="78"/>
      <c r="F350" s="78"/>
      <c r="G350" s="67"/>
      <c r="H350" s="319"/>
      <c r="I350" s="319"/>
      <c r="J350" s="78"/>
      <c r="K350" s="58"/>
      <c r="L350" s="319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  <c r="EM350" s="58"/>
      <c r="EN350" s="58"/>
      <c r="EO350" s="58"/>
      <c r="EP350" s="58"/>
      <c r="EQ350" s="58"/>
      <c r="ER350" s="58"/>
      <c r="ES350" s="58"/>
      <c r="ET350" s="58"/>
      <c r="EU350" s="58"/>
      <c r="EV350" s="58"/>
      <c r="EW350" s="58"/>
      <c r="EX350" s="58"/>
      <c r="EY350" s="58"/>
      <c r="EZ350" s="58"/>
      <c r="FA350" s="58"/>
      <c r="FB350" s="58"/>
      <c r="FC350" s="58"/>
      <c r="FD350" s="58"/>
      <c r="FE350" s="58"/>
      <c r="FF350" s="58"/>
      <c r="FG350" s="58"/>
      <c r="FH350" s="58"/>
      <c r="FI350" s="58"/>
      <c r="FJ350" s="58"/>
      <c r="FK350" s="58"/>
      <c r="FL350" s="58"/>
      <c r="FM350" s="58"/>
      <c r="FN350" s="58"/>
      <c r="FO350" s="58"/>
      <c r="FP350" s="58"/>
      <c r="FQ350" s="58"/>
      <c r="FR350" s="58"/>
      <c r="FS350" s="58"/>
      <c r="FT350" s="58"/>
      <c r="FU350" s="58"/>
      <c r="FV350" s="58"/>
      <c r="FW350" s="58"/>
      <c r="FX350" s="58"/>
      <c r="FY350" s="58"/>
      <c r="FZ350" s="58"/>
      <c r="GA350" s="58"/>
      <c r="GB350" s="58"/>
      <c r="GC350" s="58"/>
      <c r="GD350" s="58"/>
      <c r="GE350" s="58"/>
      <c r="GF350" s="58"/>
      <c r="GG350" s="58"/>
      <c r="GH350" s="58"/>
      <c r="GI350" s="58"/>
      <c r="GJ350" s="58"/>
      <c r="GK350" s="58"/>
    </row>
    <row r="351" spans="1:193" s="74" customFormat="1">
      <c r="A351" s="78"/>
      <c r="B351" s="78"/>
      <c r="C351" s="78"/>
      <c r="D351" s="78"/>
      <c r="E351" s="78"/>
      <c r="F351" s="78"/>
      <c r="G351" s="67"/>
      <c r="H351" s="319"/>
      <c r="I351" s="319"/>
      <c r="J351" s="78"/>
      <c r="K351" s="58"/>
      <c r="L351" s="319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  <c r="EM351" s="58"/>
      <c r="EN351" s="58"/>
      <c r="EO351" s="58"/>
      <c r="EP351" s="58"/>
      <c r="EQ351" s="58"/>
      <c r="ER351" s="58"/>
      <c r="ES351" s="58"/>
      <c r="ET351" s="58"/>
      <c r="EU351" s="58"/>
      <c r="EV351" s="58"/>
      <c r="EW351" s="58"/>
      <c r="EX351" s="58"/>
      <c r="EY351" s="58"/>
      <c r="EZ351" s="58"/>
      <c r="FA351" s="58"/>
      <c r="FB351" s="58"/>
      <c r="FC351" s="58"/>
      <c r="FD351" s="58"/>
      <c r="FE351" s="58"/>
      <c r="FF351" s="58"/>
      <c r="FG351" s="58"/>
      <c r="FH351" s="58"/>
      <c r="FI351" s="58"/>
      <c r="FJ351" s="58"/>
      <c r="FK351" s="58"/>
      <c r="FL351" s="58"/>
      <c r="FM351" s="58"/>
      <c r="FN351" s="58"/>
      <c r="FO351" s="58"/>
      <c r="FP351" s="58"/>
      <c r="FQ351" s="58"/>
      <c r="FR351" s="58"/>
      <c r="FS351" s="58"/>
      <c r="FT351" s="58"/>
      <c r="FU351" s="58"/>
      <c r="FV351" s="58"/>
      <c r="FW351" s="58"/>
      <c r="FX351" s="58"/>
      <c r="FY351" s="58"/>
      <c r="FZ351" s="58"/>
      <c r="GA351" s="58"/>
      <c r="GB351" s="58"/>
      <c r="GC351" s="58"/>
      <c r="GD351" s="58"/>
      <c r="GE351" s="58"/>
      <c r="GF351" s="58"/>
      <c r="GG351" s="58"/>
      <c r="GH351" s="58"/>
      <c r="GI351" s="58"/>
      <c r="GJ351" s="58"/>
      <c r="GK351" s="58"/>
    </row>
    <row r="352" spans="1:193" s="74" customFormat="1">
      <c r="A352" s="78"/>
      <c r="B352" s="78"/>
      <c r="C352" s="78"/>
      <c r="D352" s="78"/>
      <c r="E352" s="78"/>
      <c r="F352" s="78"/>
      <c r="G352" s="67"/>
      <c r="H352" s="319"/>
      <c r="I352" s="319"/>
      <c r="J352" s="78"/>
      <c r="K352" s="58"/>
      <c r="L352" s="319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  <c r="EM352" s="58"/>
      <c r="EN352" s="58"/>
      <c r="EO352" s="58"/>
      <c r="EP352" s="58"/>
      <c r="EQ352" s="58"/>
      <c r="ER352" s="58"/>
      <c r="ES352" s="58"/>
      <c r="ET352" s="58"/>
      <c r="EU352" s="58"/>
      <c r="EV352" s="58"/>
      <c r="EW352" s="58"/>
      <c r="EX352" s="58"/>
      <c r="EY352" s="58"/>
      <c r="EZ352" s="58"/>
      <c r="FA352" s="58"/>
      <c r="FB352" s="58"/>
      <c r="FC352" s="58"/>
      <c r="FD352" s="58"/>
      <c r="FE352" s="58"/>
      <c r="FF352" s="58"/>
      <c r="FG352" s="58"/>
      <c r="FH352" s="58"/>
      <c r="FI352" s="58"/>
      <c r="FJ352" s="58"/>
      <c r="FK352" s="58"/>
      <c r="FL352" s="58"/>
      <c r="FM352" s="58"/>
      <c r="FN352" s="58"/>
      <c r="FO352" s="58"/>
      <c r="FP352" s="58"/>
      <c r="FQ352" s="58"/>
      <c r="FR352" s="58"/>
      <c r="FS352" s="58"/>
      <c r="FT352" s="58"/>
      <c r="FU352" s="58"/>
      <c r="FV352" s="58"/>
      <c r="FW352" s="58"/>
      <c r="FX352" s="58"/>
      <c r="FY352" s="58"/>
      <c r="FZ352" s="58"/>
      <c r="GA352" s="58"/>
      <c r="GB352" s="58"/>
      <c r="GC352" s="58"/>
      <c r="GD352" s="58"/>
      <c r="GE352" s="58"/>
      <c r="GF352" s="58"/>
      <c r="GG352" s="58"/>
      <c r="GH352" s="58"/>
      <c r="GI352" s="58"/>
      <c r="GJ352" s="58"/>
      <c r="GK352" s="58"/>
    </row>
    <row r="353" spans="1:193" s="74" customFormat="1">
      <c r="A353" s="78"/>
      <c r="B353" s="78"/>
      <c r="C353" s="78"/>
      <c r="D353" s="78"/>
      <c r="E353" s="78"/>
      <c r="F353" s="78"/>
      <c r="G353" s="67"/>
      <c r="H353" s="319"/>
      <c r="I353" s="319"/>
      <c r="J353" s="78"/>
      <c r="K353" s="58"/>
      <c r="L353" s="319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  <c r="EN353" s="58"/>
      <c r="EO353" s="58"/>
      <c r="EP353" s="58"/>
      <c r="EQ353" s="58"/>
      <c r="ER353" s="58"/>
      <c r="ES353" s="58"/>
      <c r="ET353" s="58"/>
      <c r="EU353" s="58"/>
      <c r="EV353" s="58"/>
      <c r="EW353" s="58"/>
      <c r="EX353" s="58"/>
      <c r="EY353" s="58"/>
      <c r="EZ353" s="58"/>
      <c r="FA353" s="58"/>
      <c r="FB353" s="58"/>
      <c r="FC353" s="58"/>
      <c r="FD353" s="58"/>
      <c r="FE353" s="58"/>
      <c r="FF353" s="58"/>
      <c r="FG353" s="58"/>
      <c r="FH353" s="58"/>
      <c r="FI353" s="58"/>
      <c r="FJ353" s="58"/>
      <c r="FK353" s="58"/>
      <c r="FL353" s="58"/>
      <c r="FM353" s="58"/>
      <c r="FN353" s="58"/>
      <c r="FO353" s="58"/>
      <c r="FP353" s="58"/>
      <c r="FQ353" s="58"/>
      <c r="FR353" s="58"/>
      <c r="FS353" s="58"/>
      <c r="FT353" s="58"/>
      <c r="FU353" s="58"/>
      <c r="FV353" s="58"/>
      <c r="FW353" s="58"/>
      <c r="FX353" s="58"/>
      <c r="FY353" s="58"/>
      <c r="FZ353" s="58"/>
      <c r="GA353" s="58"/>
      <c r="GB353" s="58"/>
      <c r="GC353" s="58"/>
      <c r="GD353" s="58"/>
      <c r="GE353" s="58"/>
      <c r="GF353" s="58"/>
      <c r="GG353" s="58"/>
      <c r="GH353" s="58"/>
      <c r="GI353" s="58"/>
      <c r="GJ353" s="58"/>
      <c r="GK353" s="58"/>
    </row>
    <row r="354" spans="1:193" s="74" customFormat="1">
      <c r="A354" s="78"/>
      <c r="B354" s="78"/>
      <c r="C354" s="78"/>
      <c r="D354" s="78"/>
      <c r="E354" s="78"/>
      <c r="F354" s="78"/>
      <c r="G354" s="67"/>
      <c r="H354" s="319"/>
      <c r="I354" s="319"/>
      <c r="J354" s="78"/>
      <c r="K354" s="58"/>
      <c r="L354" s="319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  <c r="EN354" s="58"/>
      <c r="EO354" s="58"/>
      <c r="EP354" s="58"/>
      <c r="EQ354" s="58"/>
      <c r="ER354" s="58"/>
      <c r="ES354" s="58"/>
      <c r="ET354" s="58"/>
      <c r="EU354" s="58"/>
      <c r="EV354" s="58"/>
      <c r="EW354" s="58"/>
      <c r="EX354" s="58"/>
      <c r="EY354" s="58"/>
      <c r="EZ354" s="58"/>
      <c r="FA354" s="58"/>
      <c r="FB354" s="58"/>
      <c r="FC354" s="58"/>
      <c r="FD354" s="58"/>
      <c r="FE354" s="58"/>
      <c r="FF354" s="58"/>
      <c r="FG354" s="58"/>
      <c r="FH354" s="58"/>
      <c r="FI354" s="58"/>
      <c r="FJ354" s="58"/>
      <c r="FK354" s="58"/>
      <c r="FL354" s="58"/>
      <c r="FM354" s="58"/>
      <c r="FN354" s="58"/>
      <c r="FO354" s="58"/>
      <c r="FP354" s="58"/>
      <c r="FQ354" s="58"/>
      <c r="FR354" s="58"/>
      <c r="FS354" s="58"/>
      <c r="FT354" s="58"/>
      <c r="FU354" s="58"/>
      <c r="FV354" s="58"/>
      <c r="FW354" s="58"/>
      <c r="FX354" s="58"/>
      <c r="FY354" s="58"/>
      <c r="FZ354" s="58"/>
      <c r="GA354" s="58"/>
      <c r="GB354" s="58"/>
      <c r="GC354" s="58"/>
      <c r="GD354" s="58"/>
      <c r="GE354" s="58"/>
      <c r="GF354" s="58"/>
      <c r="GG354" s="58"/>
      <c r="GH354" s="58"/>
      <c r="GI354" s="58"/>
      <c r="GJ354" s="58"/>
      <c r="GK354" s="58"/>
    </row>
    <row r="355" spans="1:193" s="74" customFormat="1">
      <c r="A355" s="78"/>
      <c r="B355" s="78"/>
      <c r="C355" s="78"/>
      <c r="D355" s="78"/>
      <c r="E355" s="78"/>
      <c r="F355" s="78"/>
      <c r="G355" s="67"/>
      <c r="H355" s="319"/>
      <c r="I355" s="319"/>
      <c r="J355" s="78"/>
      <c r="K355" s="58"/>
      <c r="L355" s="319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  <c r="EM355" s="58"/>
      <c r="EN355" s="58"/>
      <c r="EO355" s="58"/>
      <c r="EP355" s="58"/>
      <c r="EQ355" s="58"/>
      <c r="ER355" s="58"/>
      <c r="ES355" s="58"/>
      <c r="ET355" s="58"/>
      <c r="EU355" s="58"/>
      <c r="EV355" s="58"/>
      <c r="EW355" s="58"/>
      <c r="EX355" s="58"/>
      <c r="EY355" s="58"/>
      <c r="EZ355" s="58"/>
      <c r="FA355" s="58"/>
      <c r="FB355" s="58"/>
      <c r="FC355" s="58"/>
      <c r="FD355" s="58"/>
      <c r="FE355" s="58"/>
      <c r="FF355" s="58"/>
      <c r="FG355" s="58"/>
      <c r="FH355" s="58"/>
      <c r="FI355" s="58"/>
      <c r="FJ355" s="58"/>
      <c r="FK355" s="58"/>
      <c r="FL355" s="58"/>
      <c r="FM355" s="58"/>
      <c r="FN355" s="58"/>
      <c r="FO355" s="58"/>
      <c r="FP355" s="58"/>
      <c r="FQ355" s="58"/>
      <c r="FR355" s="58"/>
      <c r="FS355" s="58"/>
      <c r="FT355" s="58"/>
      <c r="FU355" s="58"/>
      <c r="FV355" s="58"/>
      <c r="FW355" s="58"/>
      <c r="FX355" s="58"/>
      <c r="FY355" s="58"/>
      <c r="FZ355" s="58"/>
      <c r="GA355" s="58"/>
      <c r="GB355" s="58"/>
      <c r="GC355" s="58"/>
      <c r="GD355" s="58"/>
      <c r="GE355" s="58"/>
      <c r="GF355" s="58"/>
      <c r="GG355" s="58"/>
      <c r="GH355" s="58"/>
      <c r="GI355" s="58"/>
      <c r="GJ355" s="58"/>
      <c r="GK355" s="58"/>
    </row>
    <row r="356" spans="1:193" s="74" customFormat="1">
      <c r="A356" s="78"/>
      <c r="B356" s="78"/>
      <c r="C356" s="78"/>
      <c r="D356" s="78"/>
      <c r="E356" s="78"/>
      <c r="F356" s="78"/>
      <c r="G356" s="67"/>
      <c r="H356" s="319"/>
      <c r="I356" s="319"/>
      <c r="J356" s="78"/>
      <c r="K356" s="58"/>
      <c r="L356" s="319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  <c r="EM356" s="58"/>
      <c r="EN356" s="58"/>
      <c r="EO356" s="58"/>
      <c r="EP356" s="58"/>
      <c r="EQ356" s="58"/>
      <c r="ER356" s="58"/>
      <c r="ES356" s="58"/>
      <c r="ET356" s="58"/>
      <c r="EU356" s="58"/>
      <c r="EV356" s="58"/>
      <c r="EW356" s="58"/>
      <c r="EX356" s="58"/>
      <c r="EY356" s="58"/>
      <c r="EZ356" s="58"/>
      <c r="FA356" s="58"/>
      <c r="FB356" s="58"/>
      <c r="FC356" s="58"/>
      <c r="FD356" s="58"/>
      <c r="FE356" s="58"/>
      <c r="FF356" s="58"/>
      <c r="FG356" s="58"/>
      <c r="FH356" s="58"/>
      <c r="FI356" s="58"/>
      <c r="FJ356" s="58"/>
      <c r="FK356" s="58"/>
      <c r="FL356" s="58"/>
      <c r="FM356" s="58"/>
      <c r="FN356" s="58"/>
      <c r="FO356" s="58"/>
      <c r="FP356" s="58"/>
      <c r="FQ356" s="58"/>
      <c r="FR356" s="58"/>
      <c r="FS356" s="58"/>
      <c r="FT356" s="58"/>
      <c r="FU356" s="58"/>
      <c r="FV356" s="58"/>
      <c r="FW356" s="58"/>
      <c r="FX356" s="58"/>
      <c r="FY356" s="58"/>
      <c r="FZ356" s="58"/>
      <c r="GA356" s="58"/>
      <c r="GB356" s="58"/>
      <c r="GC356" s="58"/>
      <c r="GD356" s="58"/>
      <c r="GE356" s="58"/>
      <c r="GF356" s="58"/>
      <c r="GG356" s="58"/>
      <c r="GH356" s="58"/>
      <c r="GI356" s="58"/>
      <c r="GJ356" s="58"/>
      <c r="GK356" s="58"/>
    </row>
    <row r="357" spans="1:193" s="74" customFormat="1">
      <c r="A357" s="78"/>
      <c r="B357" s="78"/>
      <c r="C357" s="78"/>
      <c r="D357" s="78"/>
      <c r="E357" s="78"/>
      <c r="F357" s="78"/>
      <c r="G357" s="67"/>
      <c r="H357" s="319"/>
      <c r="I357" s="319"/>
      <c r="J357" s="78"/>
      <c r="K357" s="58"/>
      <c r="L357" s="319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  <c r="EM357" s="58"/>
      <c r="EN357" s="58"/>
      <c r="EO357" s="58"/>
      <c r="EP357" s="58"/>
      <c r="EQ357" s="58"/>
      <c r="ER357" s="58"/>
      <c r="ES357" s="58"/>
      <c r="ET357" s="58"/>
      <c r="EU357" s="58"/>
      <c r="EV357" s="58"/>
      <c r="EW357" s="58"/>
      <c r="EX357" s="58"/>
      <c r="EY357" s="58"/>
      <c r="EZ357" s="58"/>
      <c r="FA357" s="58"/>
      <c r="FB357" s="58"/>
      <c r="FC357" s="58"/>
      <c r="FD357" s="58"/>
      <c r="FE357" s="58"/>
      <c r="FF357" s="58"/>
      <c r="FG357" s="58"/>
      <c r="FH357" s="58"/>
      <c r="FI357" s="58"/>
      <c r="FJ357" s="58"/>
      <c r="FK357" s="58"/>
      <c r="FL357" s="58"/>
      <c r="FM357" s="58"/>
      <c r="FN357" s="58"/>
      <c r="FO357" s="58"/>
      <c r="FP357" s="58"/>
      <c r="FQ357" s="58"/>
      <c r="FR357" s="58"/>
      <c r="FS357" s="58"/>
      <c r="FT357" s="58"/>
      <c r="FU357" s="58"/>
      <c r="FV357" s="58"/>
      <c r="FW357" s="58"/>
      <c r="FX357" s="58"/>
      <c r="FY357" s="58"/>
      <c r="FZ357" s="58"/>
      <c r="GA357" s="58"/>
      <c r="GB357" s="58"/>
      <c r="GC357" s="58"/>
      <c r="GD357" s="58"/>
      <c r="GE357" s="58"/>
      <c r="GF357" s="58"/>
      <c r="GG357" s="58"/>
      <c r="GH357" s="58"/>
      <c r="GI357" s="58"/>
      <c r="GJ357" s="58"/>
      <c r="GK357" s="58"/>
    </row>
    <row r="358" spans="1:193" s="74" customFormat="1">
      <c r="A358" s="78"/>
      <c r="B358" s="78"/>
      <c r="C358" s="78"/>
      <c r="D358" s="78"/>
      <c r="E358" s="78"/>
      <c r="F358" s="78"/>
      <c r="G358" s="67"/>
      <c r="H358" s="319"/>
      <c r="I358" s="319"/>
      <c r="J358" s="78"/>
      <c r="K358" s="58"/>
      <c r="L358" s="319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  <c r="EM358" s="58"/>
      <c r="EN358" s="58"/>
      <c r="EO358" s="58"/>
      <c r="EP358" s="58"/>
      <c r="EQ358" s="58"/>
      <c r="ER358" s="58"/>
      <c r="ES358" s="58"/>
      <c r="ET358" s="58"/>
      <c r="EU358" s="58"/>
      <c r="EV358" s="58"/>
      <c r="EW358" s="58"/>
      <c r="EX358" s="58"/>
      <c r="EY358" s="58"/>
      <c r="EZ358" s="58"/>
      <c r="FA358" s="58"/>
      <c r="FB358" s="58"/>
      <c r="FC358" s="58"/>
      <c r="FD358" s="58"/>
      <c r="FE358" s="58"/>
      <c r="FF358" s="58"/>
      <c r="FG358" s="58"/>
      <c r="FH358" s="58"/>
      <c r="FI358" s="58"/>
      <c r="FJ358" s="58"/>
      <c r="FK358" s="58"/>
      <c r="FL358" s="58"/>
      <c r="FM358" s="58"/>
      <c r="FN358" s="58"/>
      <c r="FO358" s="58"/>
      <c r="FP358" s="58"/>
      <c r="FQ358" s="58"/>
      <c r="FR358" s="58"/>
      <c r="FS358" s="58"/>
      <c r="FT358" s="58"/>
      <c r="FU358" s="58"/>
      <c r="FV358" s="58"/>
      <c r="FW358" s="58"/>
      <c r="FX358" s="58"/>
      <c r="FY358" s="58"/>
      <c r="FZ358" s="58"/>
      <c r="GA358" s="58"/>
      <c r="GB358" s="58"/>
      <c r="GC358" s="58"/>
      <c r="GD358" s="58"/>
      <c r="GE358" s="58"/>
      <c r="GF358" s="58"/>
      <c r="GG358" s="58"/>
      <c r="GH358" s="58"/>
      <c r="GI358" s="58"/>
      <c r="GJ358" s="58"/>
      <c r="GK358" s="58"/>
    </row>
    <row r="359" spans="1:193" s="74" customFormat="1">
      <c r="A359" s="78"/>
      <c r="B359" s="78"/>
      <c r="C359" s="78"/>
      <c r="D359" s="78"/>
      <c r="E359" s="78"/>
      <c r="F359" s="78"/>
      <c r="G359" s="67"/>
      <c r="H359" s="319"/>
      <c r="I359" s="319"/>
      <c r="J359" s="78"/>
      <c r="K359" s="58"/>
      <c r="L359" s="319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  <c r="EM359" s="58"/>
      <c r="EN359" s="58"/>
      <c r="EO359" s="58"/>
      <c r="EP359" s="58"/>
      <c r="EQ359" s="58"/>
      <c r="ER359" s="58"/>
      <c r="ES359" s="58"/>
      <c r="ET359" s="58"/>
      <c r="EU359" s="58"/>
      <c r="EV359" s="58"/>
      <c r="EW359" s="58"/>
      <c r="EX359" s="58"/>
      <c r="EY359" s="58"/>
      <c r="EZ359" s="58"/>
      <c r="FA359" s="58"/>
      <c r="FB359" s="58"/>
      <c r="FC359" s="58"/>
      <c r="FD359" s="58"/>
      <c r="FE359" s="58"/>
      <c r="FF359" s="58"/>
      <c r="FG359" s="58"/>
      <c r="FH359" s="58"/>
      <c r="FI359" s="58"/>
      <c r="FJ359" s="58"/>
      <c r="FK359" s="58"/>
      <c r="FL359" s="58"/>
      <c r="FM359" s="58"/>
      <c r="FN359" s="58"/>
      <c r="FO359" s="58"/>
      <c r="FP359" s="58"/>
      <c r="FQ359" s="58"/>
      <c r="FR359" s="58"/>
      <c r="FS359" s="58"/>
      <c r="FT359" s="58"/>
      <c r="FU359" s="58"/>
      <c r="FV359" s="58"/>
      <c r="FW359" s="58"/>
      <c r="FX359" s="58"/>
      <c r="FY359" s="58"/>
      <c r="FZ359" s="58"/>
      <c r="GA359" s="58"/>
      <c r="GB359" s="58"/>
      <c r="GC359" s="58"/>
      <c r="GD359" s="58"/>
      <c r="GE359" s="58"/>
      <c r="GF359" s="58"/>
      <c r="GG359" s="58"/>
      <c r="GH359" s="58"/>
      <c r="GI359" s="58"/>
      <c r="GJ359" s="58"/>
      <c r="GK359" s="58"/>
    </row>
    <row r="360" spans="1:193" s="74" customFormat="1">
      <c r="A360" s="78"/>
      <c r="B360" s="78"/>
      <c r="C360" s="78"/>
      <c r="D360" s="78"/>
      <c r="E360" s="78"/>
      <c r="F360" s="78"/>
      <c r="G360" s="67"/>
      <c r="H360" s="319"/>
      <c r="I360" s="319"/>
      <c r="J360" s="78"/>
      <c r="K360" s="58"/>
      <c r="L360" s="319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  <c r="EN360" s="58"/>
      <c r="EO360" s="58"/>
      <c r="EP360" s="58"/>
      <c r="EQ360" s="58"/>
      <c r="ER360" s="58"/>
      <c r="ES360" s="58"/>
      <c r="ET360" s="58"/>
      <c r="EU360" s="58"/>
      <c r="EV360" s="58"/>
      <c r="EW360" s="58"/>
      <c r="EX360" s="58"/>
      <c r="EY360" s="58"/>
      <c r="EZ360" s="58"/>
      <c r="FA360" s="58"/>
      <c r="FB360" s="58"/>
      <c r="FC360" s="58"/>
      <c r="FD360" s="58"/>
      <c r="FE360" s="58"/>
      <c r="FF360" s="58"/>
      <c r="FG360" s="58"/>
      <c r="FH360" s="58"/>
      <c r="FI360" s="58"/>
      <c r="FJ360" s="58"/>
      <c r="FK360" s="58"/>
      <c r="FL360" s="58"/>
      <c r="FM360" s="58"/>
      <c r="FN360" s="58"/>
      <c r="FO360" s="58"/>
      <c r="FP360" s="58"/>
      <c r="FQ360" s="58"/>
      <c r="FR360" s="58"/>
      <c r="FS360" s="58"/>
      <c r="FT360" s="58"/>
      <c r="FU360" s="58"/>
      <c r="FV360" s="58"/>
      <c r="FW360" s="58"/>
      <c r="FX360" s="58"/>
      <c r="FY360" s="58"/>
      <c r="FZ360" s="58"/>
      <c r="GA360" s="58"/>
      <c r="GB360" s="58"/>
      <c r="GC360" s="58"/>
      <c r="GD360" s="58"/>
      <c r="GE360" s="58"/>
      <c r="GF360" s="58"/>
      <c r="GG360" s="58"/>
      <c r="GH360" s="58"/>
      <c r="GI360" s="58"/>
      <c r="GJ360" s="58"/>
      <c r="GK360" s="58"/>
    </row>
    <row r="361" spans="1:193" s="74" customFormat="1">
      <c r="A361" s="78"/>
      <c r="B361" s="78"/>
      <c r="C361" s="78"/>
      <c r="D361" s="78"/>
      <c r="E361" s="78"/>
      <c r="F361" s="78"/>
      <c r="G361" s="67"/>
      <c r="H361" s="319"/>
      <c r="I361" s="319"/>
      <c r="J361" s="78"/>
      <c r="K361" s="58"/>
      <c r="L361" s="319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  <c r="EL361" s="58"/>
      <c r="EM361" s="58"/>
      <c r="EN361" s="58"/>
      <c r="EO361" s="58"/>
      <c r="EP361" s="58"/>
      <c r="EQ361" s="58"/>
      <c r="ER361" s="58"/>
      <c r="ES361" s="58"/>
      <c r="ET361" s="58"/>
      <c r="EU361" s="58"/>
      <c r="EV361" s="58"/>
      <c r="EW361" s="58"/>
      <c r="EX361" s="58"/>
      <c r="EY361" s="58"/>
      <c r="EZ361" s="58"/>
      <c r="FA361" s="58"/>
      <c r="FB361" s="58"/>
      <c r="FC361" s="58"/>
      <c r="FD361" s="58"/>
      <c r="FE361" s="58"/>
      <c r="FF361" s="58"/>
      <c r="FG361" s="58"/>
      <c r="FH361" s="58"/>
      <c r="FI361" s="58"/>
      <c r="FJ361" s="58"/>
      <c r="FK361" s="58"/>
      <c r="FL361" s="58"/>
      <c r="FM361" s="58"/>
      <c r="FN361" s="58"/>
      <c r="FO361" s="58"/>
      <c r="FP361" s="58"/>
      <c r="FQ361" s="58"/>
      <c r="FR361" s="58"/>
      <c r="FS361" s="58"/>
      <c r="FT361" s="58"/>
      <c r="FU361" s="58"/>
      <c r="FV361" s="58"/>
      <c r="FW361" s="58"/>
      <c r="FX361" s="58"/>
      <c r="FY361" s="58"/>
      <c r="FZ361" s="58"/>
      <c r="GA361" s="58"/>
      <c r="GB361" s="58"/>
      <c r="GC361" s="58"/>
      <c r="GD361" s="58"/>
      <c r="GE361" s="58"/>
      <c r="GF361" s="58"/>
      <c r="GG361" s="58"/>
      <c r="GH361" s="58"/>
      <c r="GI361" s="58"/>
      <c r="GJ361" s="58"/>
      <c r="GK361" s="58"/>
    </row>
    <row r="362" spans="1:193" s="74" customFormat="1">
      <c r="A362" s="78"/>
      <c r="B362" s="78"/>
      <c r="C362" s="78"/>
      <c r="D362" s="78"/>
      <c r="E362" s="78"/>
      <c r="F362" s="78"/>
      <c r="G362" s="67"/>
      <c r="H362" s="319"/>
      <c r="I362" s="319"/>
      <c r="J362" s="78"/>
      <c r="K362" s="58"/>
      <c r="L362" s="319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  <c r="EL362" s="58"/>
      <c r="EM362" s="58"/>
      <c r="EN362" s="58"/>
      <c r="EO362" s="58"/>
      <c r="EP362" s="58"/>
      <c r="EQ362" s="58"/>
      <c r="ER362" s="58"/>
      <c r="ES362" s="58"/>
      <c r="ET362" s="58"/>
      <c r="EU362" s="58"/>
      <c r="EV362" s="58"/>
      <c r="EW362" s="58"/>
      <c r="EX362" s="58"/>
      <c r="EY362" s="58"/>
      <c r="EZ362" s="58"/>
      <c r="FA362" s="58"/>
      <c r="FB362" s="58"/>
      <c r="FC362" s="58"/>
      <c r="FD362" s="58"/>
      <c r="FE362" s="58"/>
      <c r="FF362" s="58"/>
      <c r="FG362" s="58"/>
      <c r="FH362" s="58"/>
      <c r="FI362" s="58"/>
      <c r="FJ362" s="58"/>
      <c r="FK362" s="58"/>
      <c r="FL362" s="58"/>
      <c r="FM362" s="58"/>
      <c r="FN362" s="58"/>
      <c r="FO362" s="58"/>
      <c r="FP362" s="58"/>
      <c r="FQ362" s="58"/>
      <c r="FR362" s="58"/>
      <c r="FS362" s="58"/>
      <c r="FT362" s="58"/>
      <c r="FU362" s="58"/>
      <c r="FV362" s="58"/>
      <c r="FW362" s="58"/>
      <c r="FX362" s="58"/>
      <c r="FY362" s="58"/>
      <c r="FZ362" s="58"/>
      <c r="GA362" s="58"/>
      <c r="GB362" s="58"/>
      <c r="GC362" s="58"/>
      <c r="GD362" s="58"/>
      <c r="GE362" s="58"/>
      <c r="GF362" s="58"/>
      <c r="GG362" s="58"/>
      <c r="GH362" s="58"/>
      <c r="GI362" s="58"/>
      <c r="GJ362" s="58"/>
      <c r="GK362" s="58"/>
    </row>
    <row r="363" spans="1:193" s="74" customFormat="1">
      <c r="A363" s="78"/>
      <c r="B363" s="78"/>
      <c r="C363" s="78"/>
      <c r="D363" s="78"/>
      <c r="E363" s="78"/>
      <c r="F363" s="78"/>
      <c r="G363" s="67"/>
      <c r="H363" s="319"/>
      <c r="I363" s="319"/>
      <c r="J363" s="78"/>
      <c r="K363" s="58"/>
      <c r="L363" s="319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  <c r="EN363" s="58"/>
      <c r="EO363" s="58"/>
      <c r="EP363" s="58"/>
      <c r="EQ363" s="58"/>
      <c r="ER363" s="58"/>
      <c r="ES363" s="58"/>
      <c r="ET363" s="58"/>
      <c r="EU363" s="58"/>
      <c r="EV363" s="58"/>
      <c r="EW363" s="58"/>
      <c r="EX363" s="58"/>
      <c r="EY363" s="58"/>
      <c r="EZ363" s="58"/>
      <c r="FA363" s="58"/>
      <c r="FB363" s="58"/>
      <c r="FC363" s="58"/>
      <c r="FD363" s="58"/>
      <c r="FE363" s="58"/>
      <c r="FF363" s="58"/>
      <c r="FG363" s="58"/>
      <c r="FH363" s="58"/>
      <c r="FI363" s="58"/>
      <c r="FJ363" s="58"/>
      <c r="FK363" s="58"/>
      <c r="FL363" s="58"/>
      <c r="FM363" s="58"/>
      <c r="FN363" s="58"/>
      <c r="FO363" s="58"/>
      <c r="FP363" s="58"/>
      <c r="FQ363" s="58"/>
      <c r="FR363" s="58"/>
      <c r="FS363" s="58"/>
      <c r="FT363" s="58"/>
      <c r="FU363" s="58"/>
      <c r="FV363" s="58"/>
      <c r="FW363" s="58"/>
      <c r="FX363" s="58"/>
      <c r="FY363" s="58"/>
      <c r="FZ363" s="58"/>
      <c r="GA363" s="58"/>
      <c r="GB363" s="58"/>
      <c r="GC363" s="58"/>
      <c r="GD363" s="58"/>
      <c r="GE363" s="58"/>
      <c r="GF363" s="58"/>
      <c r="GG363" s="58"/>
      <c r="GH363" s="58"/>
      <c r="GI363" s="58"/>
      <c r="GJ363" s="58"/>
      <c r="GK363" s="58"/>
    </row>
    <row r="364" spans="1:193" s="74" customFormat="1">
      <c r="A364" s="78"/>
      <c r="B364" s="78"/>
      <c r="C364" s="78"/>
      <c r="D364" s="78"/>
      <c r="E364" s="78"/>
      <c r="F364" s="78"/>
      <c r="G364" s="67"/>
      <c r="H364" s="319"/>
      <c r="I364" s="319"/>
      <c r="J364" s="78"/>
      <c r="K364" s="58"/>
      <c r="L364" s="319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  <c r="EM364" s="58"/>
      <c r="EN364" s="58"/>
      <c r="EO364" s="58"/>
      <c r="EP364" s="58"/>
      <c r="EQ364" s="58"/>
      <c r="ER364" s="58"/>
      <c r="ES364" s="58"/>
      <c r="ET364" s="58"/>
      <c r="EU364" s="58"/>
      <c r="EV364" s="58"/>
      <c r="EW364" s="58"/>
      <c r="EX364" s="58"/>
      <c r="EY364" s="58"/>
      <c r="EZ364" s="58"/>
      <c r="FA364" s="58"/>
      <c r="FB364" s="58"/>
      <c r="FC364" s="58"/>
      <c r="FD364" s="58"/>
      <c r="FE364" s="58"/>
      <c r="FF364" s="58"/>
      <c r="FG364" s="58"/>
      <c r="FH364" s="58"/>
      <c r="FI364" s="58"/>
      <c r="FJ364" s="58"/>
      <c r="FK364" s="58"/>
      <c r="FL364" s="58"/>
      <c r="FM364" s="58"/>
      <c r="FN364" s="58"/>
      <c r="FO364" s="58"/>
      <c r="FP364" s="58"/>
      <c r="FQ364" s="58"/>
      <c r="FR364" s="58"/>
      <c r="FS364" s="58"/>
      <c r="FT364" s="58"/>
      <c r="FU364" s="58"/>
      <c r="FV364" s="58"/>
      <c r="FW364" s="58"/>
      <c r="FX364" s="58"/>
      <c r="FY364" s="58"/>
      <c r="FZ364" s="58"/>
      <c r="GA364" s="58"/>
      <c r="GB364" s="58"/>
      <c r="GC364" s="58"/>
      <c r="GD364" s="58"/>
      <c r="GE364" s="58"/>
      <c r="GF364" s="58"/>
      <c r="GG364" s="58"/>
      <c r="GH364" s="58"/>
      <c r="GI364" s="58"/>
      <c r="GJ364" s="58"/>
      <c r="GK364" s="58"/>
    </row>
    <row r="365" spans="1:193" s="74" customFormat="1">
      <c r="A365" s="78"/>
      <c r="B365" s="78"/>
      <c r="C365" s="78"/>
      <c r="D365" s="78"/>
      <c r="E365" s="78"/>
      <c r="F365" s="78"/>
      <c r="G365" s="67"/>
      <c r="H365" s="319"/>
      <c r="I365" s="319"/>
      <c r="J365" s="78"/>
      <c r="K365" s="58"/>
      <c r="L365" s="319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  <c r="EL365" s="58"/>
      <c r="EM365" s="58"/>
      <c r="EN365" s="58"/>
      <c r="EO365" s="58"/>
      <c r="EP365" s="58"/>
      <c r="EQ365" s="58"/>
      <c r="ER365" s="58"/>
      <c r="ES365" s="58"/>
      <c r="ET365" s="58"/>
      <c r="EU365" s="58"/>
      <c r="EV365" s="58"/>
      <c r="EW365" s="58"/>
      <c r="EX365" s="58"/>
      <c r="EY365" s="58"/>
      <c r="EZ365" s="58"/>
      <c r="FA365" s="58"/>
      <c r="FB365" s="58"/>
      <c r="FC365" s="58"/>
      <c r="FD365" s="58"/>
      <c r="FE365" s="58"/>
      <c r="FF365" s="58"/>
      <c r="FG365" s="58"/>
      <c r="FH365" s="58"/>
      <c r="FI365" s="58"/>
      <c r="FJ365" s="58"/>
      <c r="FK365" s="58"/>
      <c r="FL365" s="58"/>
      <c r="FM365" s="58"/>
      <c r="FN365" s="58"/>
      <c r="FO365" s="58"/>
      <c r="FP365" s="58"/>
      <c r="FQ365" s="58"/>
      <c r="FR365" s="58"/>
      <c r="FS365" s="58"/>
      <c r="FT365" s="58"/>
      <c r="FU365" s="58"/>
      <c r="FV365" s="58"/>
      <c r="FW365" s="58"/>
      <c r="FX365" s="58"/>
      <c r="FY365" s="58"/>
      <c r="FZ365" s="58"/>
      <c r="GA365" s="58"/>
      <c r="GB365" s="58"/>
      <c r="GC365" s="58"/>
      <c r="GD365" s="58"/>
      <c r="GE365" s="58"/>
      <c r="GF365" s="58"/>
      <c r="GG365" s="58"/>
      <c r="GH365" s="58"/>
      <c r="GI365" s="58"/>
      <c r="GJ365" s="58"/>
      <c r="GK365" s="58"/>
    </row>
    <row r="366" spans="1:193" s="74" customFormat="1">
      <c r="A366" s="78"/>
      <c r="B366" s="78"/>
      <c r="C366" s="78"/>
      <c r="D366" s="78"/>
      <c r="E366" s="78"/>
      <c r="F366" s="78"/>
      <c r="G366" s="67"/>
      <c r="H366" s="319"/>
      <c r="I366" s="319"/>
      <c r="J366" s="78"/>
      <c r="K366" s="58"/>
      <c r="L366" s="319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  <c r="EM366" s="58"/>
      <c r="EN366" s="58"/>
      <c r="EO366" s="58"/>
      <c r="EP366" s="58"/>
      <c r="EQ366" s="58"/>
      <c r="ER366" s="58"/>
      <c r="ES366" s="58"/>
      <c r="ET366" s="58"/>
      <c r="EU366" s="58"/>
      <c r="EV366" s="58"/>
      <c r="EW366" s="58"/>
      <c r="EX366" s="58"/>
      <c r="EY366" s="58"/>
      <c r="EZ366" s="58"/>
      <c r="FA366" s="58"/>
      <c r="FB366" s="58"/>
      <c r="FC366" s="58"/>
      <c r="FD366" s="58"/>
      <c r="FE366" s="58"/>
      <c r="FF366" s="58"/>
      <c r="FG366" s="58"/>
      <c r="FH366" s="58"/>
      <c r="FI366" s="58"/>
      <c r="FJ366" s="58"/>
      <c r="FK366" s="58"/>
      <c r="FL366" s="58"/>
      <c r="FM366" s="58"/>
      <c r="FN366" s="58"/>
      <c r="FO366" s="58"/>
      <c r="FP366" s="58"/>
      <c r="FQ366" s="58"/>
      <c r="FR366" s="58"/>
      <c r="FS366" s="58"/>
      <c r="FT366" s="58"/>
      <c r="FU366" s="58"/>
      <c r="FV366" s="58"/>
      <c r="FW366" s="58"/>
      <c r="FX366" s="58"/>
      <c r="FY366" s="58"/>
      <c r="FZ366" s="58"/>
      <c r="GA366" s="58"/>
      <c r="GB366" s="58"/>
      <c r="GC366" s="58"/>
      <c r="GD366" s="58"/>
      <c r="GE366" s="58"/>
      <c r="GF366" s="58"/>
      <c r="GG366" s="58"/>
      <c r="GH366" s="58"/>
      <c r="GI366" s="58"/>
      <c r="GJ366" s="58"/>
      <c r="GK366" s="58"/>
    </row>
    <row r="367" spans="1:193" s="74" customFormat="1">
      <c r="A367" s="78"/>
      <c r="B367" s="78"/>
      <c r="C367" s="78"/>
      <c r="D367" s="78"/>
      <c r="E367" s="78"/>
      <c r="F367" s="78"/>
      <c r="G367" s="67"/>
      <c r="H367" s="319"/>
      <c r="I367" s="319"/>
      <c r="J367" s="78"/>
      <c r="K367" s="58"/>
      <c r="L367" s="319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  <c r="EM367" s="58"/>
      <c r="EN367" s="58"/>
      <c r="EO367" s="58"/>
      <c r="EP367" s="58"/>
      <c r="EQ367" s="58"/>
      <c r="ER367" s="58"/>
      <c r="ES367" s="58"/>
      <c r="ET367" s="58"/>
      <c r="EU367" s="58"/>
      <c r="EV367" s="58"/>
      <c r="EW367" s="58"/>
      <c r="EX367" s="58"/>
      <c r="EY367" s="58"/>
      <c r="EZ367" s="58"/>
      <c r="FA367" s="58"/>
      <c r="FB367" s="58"/>
      <c r="FC367" s="58"/>
      <c r="FD367" s="58"/>
      <c r="FE367" s="58"/>
      <c r="FF367" s="58"/>
      <c r="FG367" s="58"/>
      <c r="FH367" s="58"/>
      <c r="FI367" s="58"/>
      <c r="FJ367" s="58"/>
      <c r="FK367" s="58"/>
      <c r="FL367" s="58"/>
      <c r="FM367" s="58"/>
      <c r="FN367" s="58"/>
      <c r="FO367" s="58"/>
      <c r="FP367" s="58"/>
      <c r="FQ367" s="58"/>
      <c r="FR367" s="58"/>
      <c r="FS367" s="58"/>
      <c r="FT367" s="58"/>
      <c r="FU367" s="58"/>
      <c r="FV367" s="58"/>
      <c r="FW367" s="58"/>
      <c r="FX367" s="58"/>
      <c r="FY367" s="58"/>
      <c r="FZ367" s="58"/>
      <c r="GA367" s="58"/>
      <c r="GB367" s="58"/>
      <c r="GC367" s="58"/>
      <c r="GD367" s="58"/>
      <c r="GE367" s="58"/>
      <c r="GF367" s="58"/>
      <c r="GG367" s="58"/>
      <c r="GH367" s="58"/>
      <c r="GI367" s="58"/>
      <c r="GJ367" s="58"/>
      <c r="GK367" s="58"/>
    </row>
    <row r="368" spans="1:193" s="74" customFormat="1">
      <c r="A368" s="78"/>
      <c r="B368" s="78"/>
      <c r="C368" s="78"/>
      <c r="D368" s="78"/>
      <c r="E368" s="78"/>
      <c r="F368" s="78"/>
      <c r="G368" s="67"/>
      <c r="H368" s="319"/>
      <c r="I368" s="319"/>
      <c r="J368" s="78"/>
      <c r="K368" s="58"/>
      <c r="L368" s="319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  <c r="EM368" s="58"/>
      <c r="EN368" s="58"/>
      <c r="EO368" s="58"/>
      <c r="EP368" s="58"/>
      <c r="EQ368" s="58"/>
      <c r="ER368" s="58"/>
      <c r="ES368" s="58"/>
      <c r="ET368" s="58"/>
      <c r="EU368" s="58"/>
      <c r="EV368" s="58"/>
      <c r="EW368" s="58"/>
      <c r="EX368" s="58"/>
      <c r="EY368" s="58"/>
      <c r="EZ368" s="58"/>
      <c r="FA368" s="58"/>
      <c r="FB368" s="58"/>
      <c r="FC368" s="58"/>
      <c r="FD368" s="58"/>
      <c r="FE368" s="58"/>
      <c r="FF368" s="58"/>
      <c r="FG368" s="58"/>
      <c r="FH368" s="58"/>
      <c r="FI368" s="58"/>
      <c r="FJ368" s="58"/>
      <c r="FK368" s="58"/>
      <c r="FL368" s="58"/>
      <c r="FM368" s="58"/>
      <c r="FN368" s="58"/>
      <c r="FO368" s="58"/>
      <c r="FP368" s="58"/>
      <c r="FQ368" s="58"/>
      <c r="FR368" s="58"/>
      <c r="FS368" s="58"/>
      <c r="FT368" s="58"/>
      <c r="FU368" s="58"/>
      <c r="FV368" s="58"/>
      <c r="FW368" s="58"/>
      <c r="FX368" s="58"/>
      <c r="FY368" s="58"/>
      <c r="FZ368" s="58"/>
      <c r="GA368" s="58"/>
      <c r="GB368" s="58"/>
      <c r="GC368" s="58"/>
      <c r="GD368" s="58"/>
      <c r="GE368" s="58"/>
      <c r="GF368" s="58"/>
      <c r="GG368" s="58"/>
      <c r="GH368" s="58"/>
      <c r="GI368" s="58"/>
      <c r="GJ368" s="58"/>
      <c r="GK368" s="58"/>
    </row>
    <row r="369" spans="1:193" s="74" customFormat="1">
      <c r="A369" s="78"/>
      <c r="B369" s="78"/>
      <c r="C369" s="78"/>
      <c r="D369" s="78"/>
      <c r="E369" s="78"/>
      <c r="F369" s="78"/>
      <c r="G369" s="67"/>
      <c r="H369" s="319"/>
      <c r="I369" s="319"/>
      <c r="J369" s="78"/>
      <c r="K369" s="58"/>
      <c r="L369" s="319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  <c r="EN369" s="58"/>
      <c r="EO369" s="58"/>
      <c r="EP369" s="58"/>
      <c r="EQ369" s="58"/>
      <c r="ER369" s="58"/>
      <c r="ES369" s="58"/>
      <c r="ET369" s="58"/>
      <c r="EU369" s="58"/>
      <c r="EV369" s="58"/>
      <c r="EW369" s="58"/>
      <c r="EX369" s="58"/>
      <c r="EY369" s="58"/>
      <c r="EZ369" s="58"/>
      <c r="FA369" s="58"/>
      <c r="FB369" s="58"/>
      <c r="FC369" s="58"/>
      <c r="FD369" s="58"/>
      <c r="FE369" s="58"/>
      <c r="FF369" s="58"/>
      <c r="FG369" s="58"/>
      <c r="FH369" s="58"/>
      <c r="FI369" s="58"/>
      <c r="FJ369" s="58"/>
      <c r="FK369" s="58"/>
      <c r="FL369" s="58"/>
      <c r="FM369" s="58"/>
      <c r="FN369" s="58"/>
      <c r="FO369" s="58"/>
      <c r="FP369" s="58"/>
      <c r="FQ369" s="58"/>
      <c r="FR369" s="58"/>
      <c r="FS369" s="58"/>
      <c r="FT369" s="58"/>
      <c r="FU369" s="58"/>
      <c r="FV369" s="58"/>
      <c r="FW369" s="58"/>
      <c r="FX369" s="58"/>
      <c r="FY369" s="58"/>
      <c r="FZ369" s="58"/>
      <c r="GA369" s="58"/>
      <c r="GB369" s="58"/>
      <c r="GC369" s="58"/>
      <c r="GD369" s="58"/>
      <c r="GE369" s="58"/>
      <c r="GF369" s="58"/>
      <c r="GG369" s="58"/>
      <c r="GH369" s="58"/>
      <c r="GI369" s="58"/>
      <c r="GJ369" s="58"/>
      <c r="GK369" s="58"/>
    </row>
    <row r="370" spans="1:193" s="74" customFormat="1">
      <c r="A370" s="78"/>
      <c r="B370" s="78"/>
      <c r="C370" s="78"/>
      <c r="D370" s="78"/>
      <c r="E370" s="78"/>
      <c r="F370" s="78"/>
      <c r="G370" s="67"/>
      <c r="H370" s="319"/>
      <c r="I370" s="319"/>
      <c r="J370" s="78"/>
      <c r="K370" s="58"/>
      <c r="L370" s="319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  <c r="EN370" s="58"/>
      <c r="EO370" s="58"/>
      <c r="EP370" s="58"/>
      <c r="EQ370" s="58"/>
      <c r="ER370" s="58"/>
      <c r="ES370" s="58"/>
      <c r="ET370" s="58"/>
      <c r="EU370" s="58"/>
      <c r="EV370" s="58"/>
      <c r="EW370" s="58"/>
      <c r="EX370" s="58"/>
      <c r="EY370" s="58"/>
      <c r="EZ370" s="58"/>
      <c r="FA370" s="58"/>
      <c r="FB370" s="58"/>
      <c r="FC370" s="58"/>
      <c r="FD370" s="58"/>
      <c r="FE370" s="58"/>
      <c r="FF370" s="58"/>
      <c r="FG370" s="58"/>
      <c r="FH370" s="58"/>
      <c r="FI370" s="58"/>
      <c r="FJ370" s="58"/>
      <c r="FK370" s="58"/>
      <c r="FL370" s="58"/>
      <c r="FM370" s="58"/>
      <c r="FN370" s="58"/>
      <c r="FO370" s="58"/>
      <c r="FP370" s="58"/>
      <c r="FQ370" s="58"/>
      <c r="FR370" s="58"/>
      <c r="FS370" s="58"/>
      <c r="FT370" s="58"/>
      <c r="FU370" s="58"/>
      <c r="FV370" s="58"/>
      <c r="FW370" s="58"/>
      <c r="FX370" s="58"/>
      <c r="FY370" s="58"/>
      <c r="FZ370" s="58"/>
      <c r="GA370" s="58"/>
      <c r="GB370" s="58"/>
      <c r="GC370" s="58"/>
      <c r="GD370" s="58"/>
      <c r="GE370" s="58"/>
      <c r="GF370" s="58"/>
      <c r="GG370" s="58"/>
      <c r="GH370" s="58"/>
      <c r="GI370" s="58"/>
      <c r="GJ370" s="58"/>
      <c r="GK370" s="58"/>
    </row>
    <row r="371" spans="1:193" s="74" customFormat="1">
      <c r="A371" s="78"/>
      <c r="B371" s="78"/>
      <c r="C371" s="78"/>
      <c r="D371" s="78"/>
      <c r="E371" s="78"/>
      <c r="F371" s="78"/>
      <c r="G371" s="67"/>
      <c r="H371" s="319"/>
      <c r="I371" s="319"/>
      <c r="J371" s="78"/>
      <c r="K371" s="58"/>
      <c r="L371" s="319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  <c r="EM371" s="58"/>
      <c r="EN371" s="58"/>
      <c r="EO371" s="58"/>
      <c r="EP371" s="58"/>
      <c r="EQ371" s="58"/>
      <c r="ER371" s="58"/>
      <c r="ES371" s="58"/>
      <c r="ET371" s="58"/>
      <c r="EU371" s="58"/>
      <c r="EV371" s="58"/>
      <c r="EW371" s="58"/>
      <c r="EX371" s="58"/>
      <c r="EY371" s="58"/>
      <c r="EZ371" s="58"/>
      <c r="FA371" s="58"/>
      <c r="FB371" s="58"/>
      <c r="FC371" s="58"/>
      <c r="FD371" s="58"/>
      <c r="FE371" s="58"/>
      <c r="FF371" s="58"/>
      <c r="FG371" s="58"/>
      <c r="FH371" s="58"/>
      <c r="FI371" s="58"/>
      <c r="FJ371" s="58"/>
      <c r="FK371" s="58"/>
      <c r="FL371" s="58"/>
      <c r="FM371" s="58"/>
      <c r="FN371" s="58"/>
      <c r="FO371" s="58"/>
      <c r="FP371" s="58"/>
      <c r="FQ371" s="58"/>
      <c r="FR371" s="58"/>
      <c r="FS371" s="58"/>
      <c r="FT371" s="58"/>
      <c r="FU371" s="58"/>
      <c r="FV371" s="58"/>
      <c r="FW371" s="58"/>
      <c r="FX371" s="58"/>
      <c r="FY371" s="58"/>
      <c r="FZ371" s="58"/>
      <c r="GA371" s="58"/>
      <c r="GB371" s="58"/>
      <c r="GC371" s="58"/>
      <c r="GD371" s="58"/>
      <c r="GE371" s="58"/>
      <c r="GF371" s="58"/>
      <c r="GG371" s="58"/>
      <c r="GH371" s="58"/>
      <c r="GI371" s="58"/>
      <c r="GJ371" s="58"/>
      <c r="GK371" s="58"/>
    </row>
    <row r="372" spans="1:193" s="74" customFormat="1">
      <c r="A372" s="78"/>
      <c r="B372" s="78"/>
      <c r="C372" s="78"/>
      <c r="D372" s="78"/>
      <c r="E372" s="78"/>
      <c r="F372" s="78"/>
      <c r="G372" s="67"/>
      <c r="H372" s="319"/>
      <c r="I372" s="319"/>
      <c r="J372" s="78"/>
      <c r="K372" s="58"/>
      <c r="L372" s="319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  <c r="EN372" s="58"/>
      <c r="EO372" s="58"/>
      <c r="EP372" s="58"/>
      <c r="EQ372" s="58"/>
      <c r="ER372" s="58"/>
      <c r="ES372" s="58"/>
      <c r="ET372" s="58"/>
      <c r="EU372" s="58"/>
      <c r="EV372" s="58"/>
      <c r="EW372" s="58"/>
      <c r="EX372" s="58"/>
      <c r="EY372" s="58"/>
      <c r="EZ372" s="58"/>
      <c r="FA372" s="58"/>
      <c r="FB372" s="58"/>
      <c r="FC372" s="58"/>
      <c r="FD372" s="58"/>
      <c r="FE372" s="58"/>
      <c r="FF372" s="58"/>
      <c r="FG372" s="58"/>
      <c r="FH372" s="58"/>
      <c r="FI372" s="58"/>
      <c r="FJ372" s="58"/>
      <c r="FK372" s="58"/>
      <c r="FL372" s="58"/>
      <c r="FM372" s="58"/>
      <c r="FN372" s="58"/>
      <c r="FO372" s="58"/>
      <c r="FP372" s="58"/>
      <c r="FQ372" s="58"/>
      <c r="FR372" s="58"/>
      <c r="FS372" s="58"/>
      <c r="FT372" s="58"/>
      <c r="FU372" s="58"/>
      <c r="FV372" s="58"/>
      <c r="FW372" s="58"/>
      <c r="FX372" s="58"/>
      <c r="FY372" s="58"/>
      <c r="FZ372" s="58"/>
      <c r="GA372" s="58"/>
      <c r="GB372" s="58"/>
      <c r="GC372" s="58"/>
      <c r="GD372" s="58"/>
      <c r="GE372" s="58"/>
      <c r="GF372" s="58"/>
      <c r="GG372" s="58"/>
      <c r="GH372" s="58"/>
      <c r="GI372" s="58"/>
      <c r="GJ372" s="58"/>
      <c r="GK372" s="58"/>
    </row>
    <row r="373" spans="1:193" s="74" customFormat="1">
      <c r="A373" s="78"/>
      <c r="B373" s="78"/>
      <c r="C373" s="78"/>
      <c r="D373" s="78"/>
      <c r="E373" s="78"/>
      <c r="F373" s="78"/>
      <c r="G373" s="67"/>
      <c r="H373" s="319"/>
      <c r="I373" s="319"/>
      <c r="J373" s="78"/>
      <c r="K373" s="58"/>
      <c r="L373" s="319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  <c r="EN373" s="58"/>
      <c r="EO373" s="58"/>
      <c r="EP373" s="58"/>
      <c r="EQ373" s="58"/>
      <c r="ER373" s="58"/>
      <c r="ES373" s="58"/>
      <c r="ET373" s="58"/>
      <c r="EU373" s="58"/>
      <c r="EV373" s="58"/>
      <c r="EW373" s="58"/>
      <c r="EX373" s="58"/>
      <c r="EY373" s="58"/>
      <c r="EZ373" s="58"/>
      <c r="FA373" s="58"/>
      <c r="FB373" s="58"/>
      <c r="FC373" s="58"/>
      <c r="FD373" s="58"/>
      <c r="FE373" s="58"/>
      <c r="FF373" s="58"/>
      <c r="FG373" s="58"/>
      <c r="FH373" s="58"/>
      <c r="FI373" s="58"/>
      <c r="FJ373" s="58"/>
      <c r="FK373" s="58"/>
      <c r="FL373" s="58"/>
      <c r="FM373" s="58"/>
      <c r="FN373" s="58"/>
      <c r="FO373" s="58"/>
      <c r="FP373" s="58"/>
      <c r="FQ373" s="58"/>
      <c r="FR373" s="58"/>
      <c r="FS373" s="58"/>
      <c r="FT373" s="58"/>
      <c r="FU373" s="58"/>
      <c r="FV373" s="58"/>
      <c r="FW373" s="58"/>
      <c r="FX373" s="58"/>
      <c r="FY373" s="58"/>
      <c r="FZ373" s="58"/>
      <c r="GA373" s="58"/>
      <c r="GB373" s="58"/>
      <c r="GC373" s="58"/>
      <c r="GD373" s="58"/>
      <c r="GE373" s="58"/>
      <c r="GF373" s="58"/>
      <c r="GG373" s="58"/>
      <c r="GH373" s="58"/>
      <c r="GI373" s="58"/>
      <c r="GJ373" s="58"/>
      <c r="GK373" s="58"/>
    </row>
    <row r="374" spans="1:193" s="74" customFormat="1">
      <c r="A374" s="78"/>
      <c r="B374" s="78"/>
      <c r="C374" s="78"/>
      <c r="D374" s="78"/>
      <c r="E374" s="78"/>
      <c r="F374" s="78"/>
      <c r="G374" s="67"/>
      <c r="H374" s="319"/>
      <c r="I374" s="319"/>
      <c r="J374" s="78"/>
      <c r="K374" s="58"/>
      <c r="L374" s="319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  <c r="EM374" s="58"/>
      <c r="EN374" s="58"/>
      <c r="EO374" s="58"/>
      <c r="EP374" s="58"/>
      <c r="EQ374" s="58"/>
      <c r="ER374" s="58"/>
      <c r="ES374" s="58"/>
      <c r="ET374" s="58"/>
      <c r="EU374" s="58"/>
      <c r="EV374" s="58"/>
      <c r="EW374" s="58"/>
      <c r="EX374" s="58"/>
      <c r="EY374" s="58"/>
      <c r="EZ374" s="58"/>
      <c r="FA374" s="58"/>
      <c r="FB374" s="58"/>
      <c r="FC374" s="58"/>
      <c r="FD374" s="58"/>
      <c r="FE374" s="58"/>
      <c r="FF374" s="58"/>
      <c r="FG374" s="58"/>
      <c r="FH374" s="58"/>
      <c r="FI374" s="58"/>
      <c r="FJ374" s="58"/>
      <c r="FK374" s="58"/>
      <c r="FL374" s="58"/>
      <c r="FM374" s="58"/>
      <c r="FN374" s="58"/>
      <c r="FO374" s="58"/>
      <c r="FP374" s="58"/>
      <c r="FQ374" s="58"/>
      <c r="FR374" s="58"/>
      <c r="FS374" s="58"/>
      <c r="FT374" s="58"/>
      <c r="FU374" s="58"/>
      <c r="FV374" s="58"/>
      <c r="FW374" s="58"/>
      <c r="FX374" s="58"/>
      <c r="FY374" s="58"/>
      <c r="FZ374" s="58"/>
      <c r="GA374" s="58"/>
      <c r="GB374" s="58"/>
      <c r="GC374" s="58"/>
      <c r="GD374" s="58"/>
      <c r="GE374" s="58"/>
      <c r="GF374" s="58"/>
      <c r="GG374" s="58"/>
      <c r="GH374" s="58"/>
      <c r="GI374" s="58"/>
      <c r="GJ374" s="58"/>
      <c r="GK374" s="58"/>
    </row>
    <row r="375" spans="1:193" s="74" customFormat="1">
      <c r="A375" s="78"/>
      <c r="B375" s="78"/>
      <c r="C375" s="78"/>
      <c r="D375" s="78"/>
      <c r="E375" s="78"/>
      <c r="F375" s="78"/>
      <c r="G375" s="67"/>
      <c r="H375" s="319"/>
      <c r="I375" s="319"/>
      <c r="J375" s="78"/>
      <c r="K375" s="58"/>
      <c r="L375" s="319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  <c r="EM375" s="58"/>
      <c r="EN375" s="58"/>
      <c r="EO375" s="58"/>
      <c r="EP375" s="58"/>
      <c r="EQ375" s="58"/>
      <c r="ER375" s="58"/>
      <c r="ES375" s="58"/>
      <c r="ET375" s="58"/>
      <c r="EU375" s="58"/>
      <c r="EV375" s="58"/>
      <c r="EW375" s="58"/>
      <c r="EX375" s="58"/>
      <c r="EY375" s="58"/>
      <c r="EZ375" s="58"/>
      <c r="FA375" s="58"/>
      <c r="FB375" s="58"/>
      <c r="FC375" s="58"/>
      <c r="FD375" s="58"/>
      <c r="FE375" s="58"/>
      <c r="FF375" s="58"/>
      <c r="FG375" s="58"/>
      <c r="FH375" s="58"/>
      <c r="FI375" s="58"/>
      <c r="FJ375" s="58"/>
      <c r="FK375" s="58"/>
      <c r="FL375" s="58"/>
      <c r="FM375" s="58"/>
      <c r="FN375" s="58"/>
      <c r="FO375" s="58"/>
      <c r="FP375" s="58"/>
      <c r="FQ375" s="58"/>
      <c r="FR375" s="58"/>
      <c r="FS375" s="58"/>
      <c r="FT375" s="58"/>
      <c r="FU375" s="58"/>
      <c r="FV375" s="58"/>
      <c r="FW375" s="58"/>
      <c r="FX375" s="58"/>
      <c r="FY375" s="58"/>
      <c r="FZ375" s="58"/>
      <c r="GA375" s="58"/>
      <c r="GB375" s="58"/>
      <c r="GC375" s="58"/>
      <c r="GD375" s="58"/>
      <c r="GE375" s="58"/>
      <c r="GF375" s="58"/>
      <c r="GG375" s="58"/>
      <c r="GH375" s="58"/>
      <c r="GI375" s="58"/>
      <c r="GJ375" s="58"/>
      <c r="GK375" s="58"/>
    </row>
    <row r="376" spans="1:193" s="74" customFormat="1">
      <c r="A376" s="78"/>
      <c r="B376" s="78"/>
      <c r="C376" s="78"/>
      <c r="D376" s="78"/>
      <c r="E376" s="78"/>
      <c r="F376" s="78"/>
      <c r="G376" s="67"/>
      <c r="H376" s="319"/>
      <c r="I376" s="319"/>
      <c r="J376" s="78"/>
      <c r="K376" s="58"/>
      <c r="L376" s="319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  <c r="EM376" s="58"/>
      <c r="EN376" s="58"/>
      <c r="EO376" s="58"/>
      <c r="EP376" s="58"/>
      <c r="EQ376" s="58"/>
      <c r="ER376" s="58"/>
      <c r="ES376" s="58"/>
      <c r="ET376" s="58"/>
      <c r="EU376" s="58"/>
      <c r="EV376" s="58"/>
      <c r="EW376" s="58"/>
      <c r="EX376" s="58"/>
      <c r="EY376" s="58"/>
      <c r="EZ376" s="58"/>
      <c r="FA376" s="58"/>
      <c r="FB376" s="58"/>
      <c r="FC376" s="58"/>
      <c r="FD376" s="58"/>
      <c r="FE376" s="58"/>
      <c r="FF376" s="58"/>
      <c r="FG376" s="58"/>
      <c r="FH376" s="58"/>
      <c r="FI376" s="58"/>
      <c r="FJ376" s="58"/>
      <c r="FK376" s="58"/>
      <c r="FL376" s="58"/>
      <c r="FM376" s="58"/>
      <c r="FN376" s="58"/>
      <c r="FO376" s="58"/>
      <c r="FP376" s="58"/>
      <c r="FQ376" s="58"/>
      <c r="FR376" s="58"/>
      <c r="FS376" s="58"/>
      <c r="FT376" s="58"/>
      <c r="FU376" s="58"/>
      <c r="FV376" s="58"/>
      <c r="FW376" s="58"/>
      <c r="FX376" s="58"/>
      <c r="FY376" s="58"/>
      <c r="FZ376" s="58"/>
      <c r="GA376" s="58"/>
      <c r="GB376" s="58"/>
      <c r="GC376" s="58"/>
      <c r="GD376" s="58"/>
      <c r="GE376" s="58"/>
      <c r="GF376" s="58"/>
      <c r="GG376" s="58"/>
      <c r="GH376" s="58"/>
      <c r="GI376" s="58"/>
      <c r="GJ376" s="58"/>
      <c r="GK376" s="58"/>
    </row>
    <row r="377" spans="1:193" s="74" customFormat="1">
      <c r="A377" s="78"/>
      <c r="B377" s="78"/>
      <c r="C377" s="78"/>
      <c r="D377" s="78"/>
      <c r="E377" s="78"/>
      <c r="F377" s="78"/>
      <c r="G377" s="67"/>
      <c r="H377" s="319"/>
      <c r="I377" s="319"/>
      <c r="J377" s="78"/>
      <c r="K377" s="58"/>
      <c r="L377" s="319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  <c r="EM377" s="58"/>
      <c r="EN377" s="58"/>
      <c r="EO377" s="58"/>
      <c r="EP377" s="58"/>
      <c r="EQ377" s="58"/>
      <c r="ER377" s="58"/>
      <c r="ES377" s="58"/>
      <c r="ET377" s="58"/>
      <c r="EU377" s="58"/>
      <c r="EV377" s="58"/>
      <c r="EW377" s="58"/>
      <c r="EX377" s="58"/>
      <c r="EY377" s="58"/>
      <c r="EZ377" s="58"/>
      <c r="FA377" s="58"/>
      <c r="FB377" s="58"/>
      <c r="FC377" s="58"/>
      <c r="FD377" s="58"/>
      <c r="FE377" s="58"/>
      <c r="FF377" s="58"/>
      <c r="FG377" s="58"/>
      <c r="FH377" s="58"/>
      <c r="FI377" s="58"/>
      <c r="FJ377" s="58"/>
      <c r="FK377" s="58"/>
      <c r="FL377" s="58"/>
      <c r="FM377" s="58"/>
      <c r="FN377" s="58"/>
      <c r="FO377" s="58"/>
      <c r="FP377" s="58"/>
      <c r="FQ377" s="58"/>
      <c r="FR377" s="58"/>
      <c r="FS377" s="58"/>
      <c r="FT377" s="58"/>
      <c r="FU377" s="58"/>
      <c r="FV377" s="58"/>
      <c r="FW377" s="58"/>
      <c r="FX377" s="58"/>
      <c r="FY377" s="58"/>
      <c r="FZ377" s="58"/>
      <c r="GA377" s="58"/>
      <c r="GB377" s="58"/>
      <c r="GC377" s="58"/>
      <c r="GD377" s="58"/>
      <c r="GE377" s="58"/>
      <c r="GF377" s="58"/>
      <c r="GG377" s="58"/>
      <c r="GH377" s="58"/>
      <c r="GI377" s="58"/>
      <c r="GJ377" s="58"/>
      <c r="GK377" s="58"/>
    </row>
    <row r="378" spans="1:193" s="74" customFormat="1">
      <c r="A378" s="78"/>
      <c r="B378" s="78"/>
      <c r="C378" s="78"/>
      <c r="D378" s="78"/>
      <c r="E378" s="78"/>
      <c r="F378" s="78"/>
      <c r="G378" s="67"/>
      <c r="H378" s="319"/>
      <c r="I378" s="319"/>
      <c r="J378" s="78"/>
      <c r="K378" s="58"/>
      <c r="L378" s="319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  <c r="EM378" s="58"/>
      <c r="EN378" s="58"/>
      <c r="EO378" s="58"/>
      <c r="EP378" s="58"/>
      <c r="EQ378" s="58"/>
      <c r="ER378" s="58"/>
      <c r="ES378" s="58"/>
      <c r="ET378" s="58"/>
      <c r="EU378" s="58"/>
      <c r="EV378" s="58"/>
      <c r="EW378" s="58"/>
      <c r="EX378" s="58"/>
      <c r="EY378" s="58"/>
      <c r="EZ378" s="58"/>
      <c r="FA378" s="58"/>
      <c r="FB378" s="58"/>
      <c r="FC378" s="58"/>
      <c r="FD378" s="58"/>
      <c r="FE378" s="58"/>
      <c r="FF378" s="58"/>
      <c r="FG378" s="58"/>
      <c r="FH378" s="58"/>
      <c r="FI378" s="58"/>
      <c r="FJ378" s="58"/>
      <c r="FK378" s="58"/>
      <c r="FL378" s="58"/>
      <c r="FM378" s="58"/>
      <c r="FN378" s="58"/>
      <c r="FO378" s="58"/>
      <c r="FP378" s="58"/>
      <c r="FQ378" s="58"/>
      <c r="FR378" s="58"/>
      <c r="FS378" s="58"/>
      <c r="FT378" s="58"/>
      <c r="FU378" s="58"/>
      <c r="FV378" s="58"/>
      <c r="FW378" s="58"/>
      <c r="FX378" s="58"/>
      <c r="FY378" s="58"/>
      <c r="FZ378" s="58"/>
      <c r="GA378" s="58"/>
      <c r="GB378" s="58"/>
      <c r="GC378" s="58"/>
      <c r="GD378" s="58"/>
      <c r="GE378" s="58"/>
      <c r="GF378" s="58"/>
      <c r="GG378" s="58"/>
      <c r="GH378" s="58"/>
      <c r="GI378" s="58"/>
      <c r="GJ378" s="58"/>
      <c r="GK378" s="58"/>
    </row>
    <row r="379" spans="1:193" s="74" customFormat="1">
      <c r="A379" s="78"/>
      <c r="B379" s="78"/>
      <c r="C379" s="78"/>
      <c r="D379" s="78"/>
      <c r="E379" s="78"/>
      <c r="F379" s="78"/>
      <c r="G379" s="67"/>
      <c r="H379" s="319"/>
      <c r="I379" s="319"/>
      <c r="J379" s="78"/>
      <c r="K379" s="58"/>
      <c r="L379" s="319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  <c r="EM379" s="58"/>
      <c r="EN379" s="58"/>
      <c r="EO379" s="58"/>
      <c r="EP379" s="58"/>
      <c r="EQ379" s="58"/>
      <c r="ER379" s="58"/>
      <c r="ES379" s="58"/>
      <c r="ET379" s="58"/>
      <c r="EU379" s="58"/>
      <c r="EV379" s="58"/>
      <c r="EW379" s="58"/>
      <c r="EX379" s="58"/>
      <c r="EY379" s="58"/>
      <c r="EZ379" s="58"/>
      <c r="FA379" s="58"/>
      <c r="FB379" s="58"/>
      <c r="FC379" s="58"/>
      <c r="FD379" s="58"/>
      <c r="FE379" s="58"/>
      <c r="FF379" s="58"/>
      <c r="FG379" s="58"/>
      <c r="FH379" s="58"/>
      <c r="FI379" s="58"/>
      <c r="FJ379" s="58"/>
      <c r="FK379" s="58"/>
      <c r="FL379" s="58"/>
      <c r="FM379" s="58"/>
      <c r="FN379" s="58"/>
      <c r="FO379" s="58"/>
      <c r="FP379" s="58"/>
      <c r="FQ379" s="58"/>
      <c r="FR379" s="58"/>
      <c r="FS379" s="58"/>
      <c r="FT379" s="58"/>
      <c r="FU379" s="58"/>
      <c r="FV379" s="58"/>
      <c r="FW379" s="58"/>
      <c r="FX379" s="58"/>
      <c r="FY379" s="58"/>
      <c r="FZ379" s="58"/>
      <c r="GA379" s="58"/>
      <c r="GB379" s="58"/>
      <c r="GC379" s="58"/>
      <c r="GD379" s="58"/>
      <c r="GE379" s="58"/>
      <c r="GF379" s="58"/>
      <c r="GG379" s="58"/>
      <c r="GH379" s="58"/>
      <c r="GI379" s="58"/>
      <c r="GJ379" s="58"/>
      <c r="GK379" s="58"/>
    </row>
    <row r="380" spans="1:193" s="74" customFormat="1">
      <c r="A380" s="78"/>
      <c r="B380" s="78"/>
      <c r="C380" s="78"/>
      <c r="D380" s="78"/>
      <c r="E380" s="78"/>
      <c r="F380" s="78"/>
      <c r="G380" s="67"/>
      <c r="H380" s="319"/>
      <c r="I380" s="319"/>
      <c r="J380" s="78"/>
      <c r="K380" s="58"/>
      <c r="L380" s="319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  <c r="EM380" s="58"/>
      <c r="EN380" s="58"/>
      <c r="EO380" s="58"/>
      <c r="EP380" s="58"/>
      <c r="EQ380" s="58"/>
      <c r="ER380" s="58"/>
      <c r="ES380" s="58"/>
      <c r="ET380" s="58"/>
      <c r="EU380" s="58"/>
      <c r="EV380" s="58"/>
      <c r="EW380" s="58"/>
      <c r="EX380" s="58"/>
      <c r="EY380" s="58"/>
      <c r="EZ380" s="58"/>
      <c r="FA380" s="58"/>
      <c r="FB380" s="58"/>
      <c r="FC380" s="58"/>
      <c r="FD380" s="58"/>
      <c r="FE380" s="58"/>
      <c r="FF380" s="58"/>
      <c r="FG380" s="58"/>
      <c r="FH380" s="58"/>
      <c r="FI380" s="58"/>
      <c r="FJ380" s="58"/>
      <c r="FK380" s="58"/>
      <c r="FL380" s="58"/>
      <c r="FM380" s="58"/>
      <c r="FN380" s="58"/>
      <c r="FO380" s="58"/>
      <c r="FP380" s="58"/>
      <c r="FQ380" s="58"/>
      <c r="FR380" s="58"/>
      <c r="FS380" s="58"/>
      <c r="FT380" s="58"/>
      <c r="FU380" s="58"/>
      <c r="FV380" s="58"/>
      <c r="FW380" s="58"/>
      <c r="FX380" s="58"/>
      <c r="FY380" s="58"/>
      <c r="FZ380" s="58"/>
      <c r="GA380" s="58"/>
      <c r="GB380" s="58"/>
      <c r="GC380" s="58"/>
      <c r="GD380" s="58"/>
      <c r="GE380" s="58"/>
      <c r="GF380" s="58"/>
      <c r="GG380" s="58"/>
      <c r="GH380" s="58"/>
      <c r="GI380" s="58"/>
      <c r="GJ380" s="58"/>
      <c r="GK380" s="58"/>
    </row>
    <row r="381" spans="1:193" s="74" customFormat="1">
      <c r="A381" s="78"/>
      <c r="B381" s="78"/>
      <c r="C381" s="78"/>
      <c r="D381" s="78"/>
      <c r="E381" s="78"/>
      <c r="F381" s="78"/>
      <c r="G381" s="67"/>
      <c r="H381" s="319"/>
      <c r="I381" s="319"/>
      <c r="J381" s="78"/>
      <c r="K381" s="58"/>
      <c r="L381" s="319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  <c r="EL381" s="58"/>
      <c r="EM381" s="58"/>
      <c r="EN381" s="58"/>
      <c r="EO381" s="58"/>
      <c r="EP381" s="58"/>
      <c r="EQ381" s="58"/>
      <c r="ER381" s="58"/>
      <c r="ES381" s="58"/>
      <c r="ET381" s="58"/>
      <c r="EU381" s="58"/>
      <c r="EV381" s="58"/>
      <c r="EW381" s="58"/>
      <c r="EX381" s="58"/>
      <c r="EY381" s="58"/>
      <c r="EZ381" s="58"/>
      <c r="FA381" s="58"/>
      <c r="FB381" s="58"/>
      <c r="FC381" s="58"/>
      <c r="FD381" s="58"/>
      <c r="FE381" s="58"/>
      <c r="FF381" s="58"/>
      <c r="FG381" s="58"/>
      <c r="FH381" s="58"/>
      <c r="FI381" s="58"/>
      <c r="FJ381" s="58"/>
      <c r="FK381" s="58"/>
      <c r="FL381" s="58"/>
      <c r="FM381" s="58"/>
      <c r="FN381" s="58"/>
      <c r="FO381" s="58"/>
      <c r="FP381" s="58"/>
      <c r="FQ381" s="58"/>
      <c r="FR381" s="58"/>
      <c r="FS381" s="58"/>
      <c r="FT381" s="58"/>
      <c r="FU381" s="58"/>
      <c r="FV381" s="58"/>
      <c r="FW381" s="58"/>
      <c r="FX381" s="58"/>
      <c r="FY381" s="58"/>
      <c r="FZ381" s="58"/>
      <c r="GA381" s="58"/>
      <c r="GB381" s="58"/>
      <c r="GC381" s="58"/>
      <c r="GD381" s="58"/>
      <c r="GE381" s="58"/>
      <c r="GF381" s="58"/>
      <c r="GG381" s="58"/>
      <c r="GH381" s="58"/>
      <c r="GI381" s="58"/>
      <c r="GJ381" s="58"/>
      <c r="GK381" s="58"/>
    </row>
    <row r="382" spans="1:193" s="74" customFormat="1">
      <c r="A382" s="78"/>
      <c r="B382" s="78"/>
      <c r="C382" s="78"/>
      <c r="D382" s="78"/>
      <c r="E382" s="78"/>
      <c r="F382" s="78"/>
      <c r="G382" s="67"/>
      <c r="H382" s="319"/>
      <c r="I382" s="319"/>
      <c r="J382" s="78"/>
      <c r="K382" s="58"/>
      <c r="L382" s="319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  <c r="EM382" s="58"/>
      <c r="EN382" s="58"/>
      <c r="EO382" s="58"/>
      <c r="EP382" s="58"/>
      <c r="EQ382" s="58"/>
      <c r="ER382" s="58"/>
      <c r="ES382" s="58"/>
      <c r="ET382" s="58"/>
      <c r="EU382" s="58"/>
      <c r="EV382" s="58"/>
      <c r="EW382" s="58"/>
      <c r="EX382" s="58"/>
      <c r="EY382" s="58"/>
      <c r="EZ382" s="58"/>
      <c r="FA382" s="58"/>
      <c r="FB382" s="58"/>
      <c r="FC382" s="58"/>
      <c r="FD382" s="58"/>
      <c r="FE382" s="58"/>
      <c r="FF382" s="58"/>
      <c r="FG382" s="58"/>
      <c r="FH382" s="58"/>
      <c r="FI382" s="58"/>
      <c r="FJ382" s="58"/>
      <c r="FK382" s="58"/>
      <c r="FL382" s="58"/>
      <c r="FM382" s="58"/>
      <c r="FN382" s="58"/>
      <c r="FO382" s="58"/>
      <c r="FP382" s="58"/>
      <c r="FQ382" s="58"/>
      <c r="FR382" s="58"/>
      <c r="FS382" s="58"/>
      <c r="FT382" s="58"/>
      <c r="FU382" s="58"/>
      <c r="FV382" s="58"/>
      <c r="FW382" s="58"/>
      <c r="FX382" s="58"/>
      <c r="FY382" s="58"/>
      <c r="FZ382" s="58"/>
      <c r="GA382" s="58"/>
      <c r="GB382" s="58"/>
      <c r="GC382" s="58"/>
      <c r="GD382" s="58"/>
      <c r="GE382" s="58"/>
      <c r="GF382" s="58"/>
      <c r="GG382" s="58"/>
      <c r="GH382" s="58"/>
      <c r="GI382" s="58"/>
      <c r="GJ382" s="58"/>
      <c r="GK382" s="58"/>
    </row>
    <row r="383" spans="1:193" s="74" customFormat="1">
      <c r="A383" s="78"/>
      <c r="B383" s="78"/>
      <c r="C383" s="78"/>
      <c r="D383" s="78"/>
      <c r="E383" s="78"/>
      <c r="F383" s="78"/>
      <c r="G383" s="67"/>
      <c r="H383" s="319"/>
      <c r="I383" s="319"/>
      <c r="J383" s="78"/>
      <c r="K383" s="58"/>
      <c r="L383" s="319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  <c r="EM383" s="58"/>
      <c r="EN383" s="58"/>
      <c r="EO383" s="58"/>
      <c r="EP383" s="58"/>
      <c r="EQ383" s="58"/>
      <c r="ER383" s="58"/>
      <c r="ES383" s="58"/>
      <c r="ET383" s="58"/>
      <c r="EU383" s="58"/>
      <c r="EV383" s="58"/>
      <c r="EW383" s="58"/>
      <c r="EX383" s="58"/>
      <c r="EY383" s="58"/>
      <c r="EZ383" s="58"/>
      <c r="FA383" s="58"/>
      <c r="FB383" s="58"/>
      <c r="FC383" s="58"/>
      <c r="FD383" s="58"/>
      <c r="FE383" s="58"/>
      <c r="FF383" s="58"/>
      <c r="FG383" s="58"/>
      <c r="FH383" s="58"/>
      <c r="FI383" s="58"/>
      <c r="FJ383" s="58"/>
      <c r="FK383" s="58"/>
      <c r="FL383" s="58"/>
      <c r="FM383" s="58"/>
      <c r="FN383" s="58"/>
      <c r="FO383" s="58"/>
      <c r="FP383" s="58"/>
      <c r="FQ383" s="58"/>
      <c r="FR383" s="58"/>
      <c r="FS383" s="58"/>
      <c r="FT383" s="58"/>
      <c r="FU383" s="58"/>
      <c r="FV383" s="58"/>
      <c r="FW383" s="58"/>
      <c r="FX383" s="58"/>
      <c r="FY383" s="58"/>
      <c r="FZ383" s="58"/>
      <c r="GA383" s="58"/>
      <c r="GB383" s="58"/>
      <c r="GC383" s="58"/>
      <c r="GD383" s="58"/>
      <c r="GE383" s="58"/>
      <c r="GF383" s="58"/>
      <c r="GG383" s="58"/>
      <c r="GH383" s="58"/>
      <c r="GI383" s="58"/>
      <c r="GJ383" s="58"/>
      <c r="GK383" s="58"/>
    </row>
    <row r="384" spans="1:193" s="74" customFormat="1">
      <c r="A384" s="78"/>
      <c r="B384" s="78"/>
      <c r="C384" s="78"/>
      <c r="D384" s="78"/>
      <c r="E384" s="78"/>
      <c r="F384" s="78"/>
      <c r="G384" s="67"/>
      <c r="H384" s="319"/>
      <c r="I384" s="319"/>
      <c r="J384" s="78"/>
      <c r="K384" s="58"/>
      <c r="L384" s="319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  <c r="EM384" s="58"/>
      <c r="EN384" s="58"/>
      <c r="EO384" s="58"/>
      <c r="EP384" s="58"/>
      <c r="EQ384" s="58"/>
      <c r="ER384" s="58"/>
      <c r="ES384" s="58"/>
      <c r="ET384" s="58"/>
      <c r="EU384" s="58"/>
      <c r="EV384" s="58"/>
      <c r="EW384" s="58"/>
      <c r="EX384" s="58"/>
      <c r="EY384" s="58"/>
      <c r="EZ384" s="58"/>
      <c r="FA384" s="58"/>
      <c r="FB384" s="58"/>
      <c r="FC384" s="58"/>
      <c r="FD384" s="58"/>
      <c r="FE384" s="58"/>
      <c r="FF384" s="58"/>
      <c r="FG384" s="58"/>
      <c r="FH384" s="58"/>
      <c r="FI384" s="58"/>
      <c r="FJ384" s="58"/>
      <c r="FK384" s="58"/>
      <c r="FL384" s="58"/>
      <c r="FM384" s="58"/>
      <c r="FN384" s="58"/>
      <c r="FO384" s="58"/>
      <c r="FP384" s="58"/>
      <c r="FQ384" s="58"/>
      <c r="FR384" s="58"/>
      <c r="FS384" s="58"/>
      <c r="FT384" s="58"/>
      <c r="FU384" s="58"/>
      <c r="FV384" s="58"/>
      <c r="FW384" s="58"/>
      <c r="FX384" s="58"/>
      <c r="FY384" s="58"/>
      <c r="FZ384" s="58"/>
      <c r="GA384" s="58"/>
      <c r="GB384" s="58"/>
      <c r="GC384" s="58"/>
      <c r="GD384" s="58"/>
      <c r="GE384" s="58"/>
      <c r="GF384" s="58"/>
      <c r="GG384" s="58"/>
      <c r="GH384" s="58"/>
      <c r="GI384" s="58"/>
      <c r="GJ384" s="58"/>
      <c r="GK384" s="58"/>
    </row>
    <row r="385" spans="1:193" s="74" customFormat="1">
      <c r="A385" s="78"/>
      <c r="B385" s="78"/>
      <c r="C385" s="78"/>
      <c r="D385" s="78"/>
      <c r="E385" s="78"/>
      <c r="F385" s="78"/>
      <c r="G385" s="67"/>
      <c r="H385" s="319"/>
      <c r="I385" s="319"/>
      <c r="J385" s="78"/>
      <c r="K385" s="58"/>
      <c r="L385" s="319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  <c r="EL385" s="58"/>
      <c r="EM385" s="58"/>
      <c r="EN385" s="58"/>
      <c r="EO385" s="58"/>
      <c r="EP385" s="58"/>
      <c r="EQ385" s="58"/>
      <c r="ER385" s="58"/>
      <c r="ES385" s="58"/>
      <c r="ET385" s="58"/>
      <c r="EU385" s="58"/>
      <c r="EV385" s="58"/>
      <c r="EW385" s="58"/>
      <c r="EX385" s="58"/>
      <c r="EY385" s="58"/>
      <c r="EZ385" s="58"/>
      <c r="FA385" s="58"/>
      <c r="FB385" s="58"/>
      <c r="FC385" s="58"/>
      <c r="FD385" s="58"/>
      <c r="FE385" s="58"/>
      <c r="FF385" s="58"/>
      <c r="FG385" s="58"/>
      <c r="FH385" s="58"/>
      <c r="FI385" s="58"/>
      <c r="FJ385" s="58"/>
      <c r="FK385" s="58"/>
      <c r="FL385" s="58"/>
      <c r="FM385" s="58"/>
      <c r="FN385" s="58"/>
      <c r="FO385" s="58"/>
      <c r="FP385" s="58"/>
      <c r="FQ385" s="58"/>
      <c r="FR385" s="58"/>
      <c r="FS385" s="58"/>
      <c r="FT385" s="58"/>
      <c r="FU385" s="58"/>
      <c r="FV385" s="58"/>
      <c r="FW385" s="58"/>
      <c r="FX385" s="58"/>
      <c r="FY385" s="58"/>
      <c r="FZ385" s="58"/>
      <c r="GA385" s="58"/>
      <c r="GB385" s="58"/>
      <c r="GC385" s="58"/>
      <c r="GD385" s="58"/>
      <c r="GE385" s="58"/>
      <c r="GF385" s="58"/>
      <c r="GG385" s="58"/>
      <c r="GH385" s="58"/>
      <c r="GI385" s="58"/>
      <c r="GJ385" s="58"/>
      <c r="GK385" s="58"/>
    </row>
    <row r="386" spans="1:193" s="74" customFormat="1">
      <c r="A386" s="78"/>
      <c r="B386" s="78"/>
      <c r="C386" s="78"/>
      <c r="D386" s="78"/>
      <c r="E386" s="78"/>
      <c r="F386" s="78"/>
      <c r="G386" s="67"/>
      <c r="H386" s="319"/>
      <c r="I386" s="319"/>
      <c r="J386" s="78"/>
      <c r="K386" s="58"/>
      <c r="L386" s="319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  <c r="EM386" s="58"/>
      <c r="EN386" s="58"/>
      <c r="EO386" s="58"/>
      <c r="EP386" s="58"/>
      <c r="EQ386" s="58"/>
      <c r="ER386" s="58"/>
      <c r="ES386" s="58"/>
      <c r="ET386" s="58"/>
      <c r="EU386" s="58"/>
      <c r="EV386" s="58"/>
      <c r="EW386" s="58"/>
      <c r="EX386" s="58"/>
      <c r="EY386" s="58"/>
      <c r="EZ386" s="58"/>
      <c r="FA386" s="58"/>
      <c r="FB386" s="58"/>
      <c r="FC386" s="58"/>
      <c r="FD386" s="58"/>
      <c r="FE386" s="58"/>
      <c r="FF386" s="58"/>
      <c r="FG386" s="58"/>
      <c r="FH386" s="58"/>
      <c r="FI386" s="58"/>
      <c r="FJ386" s="58"/>
      <c r="FK386" s="58"/>
      <c r="FL386" s="58"/>
      <c r="FM386" s="58"/>
      <c r="FN386" s="58"/>
      <c r="FO386" s="58"/>
      <c r="FP386" s="58"/>
      <c r="FQ386" s="58"/>
      <c r="FR386" s="58"/>
      <c r="FS386" s="58"/>
      <c r="FT386" s="58"/>
      <c r="FU386" s="58"/>
      <c r="FV386" s="58"/>
      <c r="FW386" s="58"/>
      <c r="FX386" s="58"/>
      <c r="FY386" s="58"/>
      <c r="FZ386" s="58"/>
      <c r="GA386" s="58"/>
      <c r="GB386" s="58"/>
      <c r="GC386" s="58"/>
      <c r="GD386" s="58"/>
      <c r="GE386" s="58"/>
      <c r="GF386" s="58"/>
      <c r="GG386" s="58"/>
      <c r="GH386" s="58"/>
      <c r="GI386" s="58"/>
      <c r="GJ386" s="58"/>
      <c r="GK386" s="58"/>
    </row>
    <row r="387" spans="1:193" s="74" customFormat="1">
      <c r="A387" s="78"/>
      <c r="B387" s="78"/>
      <c r="C387" s="78"/>
      <c r="D387" s="78"/>
      <c r="E387" s="78"/>
      <c r="F387" s="78"/>
      <c r="G387" s="67"/>
      <c r="H387" s="319"/>
      <c r="I387" s="319"/>
      <c r="J387" s="78"/>
      <c r="K387" s="58"/>
      <c r="L387" s="319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  <c r="EN387" s="58"/>
      <c r="EO387" s="58"/>
      <c r="EP387" s="58"/>
      <c r="EQ387" s="58"/>
      <c r="ER387" s="58"/>
      <c r="ES387" s="58"/>
      <c r="ET387" s="58"/>
      <c r="EU387" s="58"/>
      <c r="EV387" s="58"/>
      <c r="EW387" s="58"/>
      <c r="EX387" s="58"/>
      <c r="EY387" s="58"/>
      <c r="EZ387" s="58"/>
      <c r="FA387" s="58"/>
      <c r="FB387" s="58"/>
      <c r="FC387" s="58"/>
      <c r="FD387" s="58"/>
      <c r="FE387" s="58"/>
      <c r="FF387" s="58"/>
      <c r="FG387" s="58"/>
      <c r="FH387" s="58"/>
      <c r="FI387" s="58"/>
      <c r="FJ387" s="58"/>
      <c r="FK387" s="58"/>
      <c r="FL387" s="58"/>
      <c r="FM387" s="58"/>
      <c r="FN387" s="58"/>
      <c r="FO387" s="58"/>
      <c r="FP387" s="58"/>
      <c r="FQ387" s="58"/>
      <c r="FR387" s="58"/>
      <c r="FS387" s="58"/>
      <c r="FT387" s="58"/>
      <c r="FU387" s="58"/>
      <c r="FV387" s="58"/>
      <c r="FW387" s="58"/>
      <c r="FX387" s="58"/>
      <c r="FY387" s="58"/>
      <c r="FZ387" s="58"/>
      <c r="GA387" s="58"/>
      <c r="GB387" s="58"/>
      <c r="GC387" s="58"/>
      <c r="GD387" s="58"/>
      <c r="GE387" s="58"/>
      <c r="GF387" s="58"/>
      <c r="GG387" s="58"/>
      <c r="GH387" s="58"/>
      <c r="GI387" s="58"/>
      <c r="GJ387" s="58"/>
      <c r="GK387" s="58"/>
    </row>
    <row r="388" spans="1:193" s="74" customFormat="1">
      <c r="A388" s="78"/>
      <c r="B388" s="78"/>
      <c r="C388" s="78"/>
      <c r="D388" s="78"/>
      <c r="E388" s="78"/>
      <c r="F388" s="78"/>
      <c r="G388" s="67"/>
      <c r="H388" s="319"/>
      <c r="I388" s="319"/>
      <c r="J388" s="78"/>
      <c r="K388" s="58"/>
      <c r="L388" s="319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  <c r="EM388" s="58"/>
      <c r="EN388" s="58"/>
      <c r="EO388" s="58"/>
      <c r="EP388" s="58"/>
      <c r="EQ388" s="58"/>
      <c r="ER388" s="58"/>
      <c r="ES388" s="58"/>
      <c r="ET388" s="58"/>
      <c r="EU388" s="58"/>
      <c r="EV388" s="58"/>
      <c r="EW388" s="58"/>
      <c r="EX388" s="58"/>
      <c r="EY388" s="58"/>
      <c r="EZ388" s="58"/>
      <c r="FA388" s="58"/>
      <c r="FB388" s="58"/>
      <c r="FC388" s="58"/>
      <c r="FD388" s="58"/>
      <c r="FE388" s="58"/>
      <c r="FF388" s="58"/>
      <c r="FG388" s="58"/>
      <c r="FH388" s="58"/>
      <c r="FI388" s="58"/>
      <c r="FJ388" s="58"/>
      <c r="FK388" s="58"/>
      <c r="FL388" s="58"/>
      <c r="FM388" s="58"/>
      <c r="FN388" s="58"/>
      <c r="FO388" s="58"/>
      <c r="FP388" s="58"/>
      <c r="FQ388" s="58"/>
      <c r="FR388" s="58"/>
      <c r="FS388" s="58"/>
      <c r="FT388" s="58"/>
      <c r="FU388" s="58"/>
      <c r="FV388" s="58"/>
      <c r="FW388" s="58"/>
      <c r="FX388" s="58"/>
      <c r="FY388" s="58"/>
      <c r="FZ388" s="58"/>
      <c r="GA388" s="58"/>
      <c r="GB388" s="58"/>
      <c r="GC388" s="58"/>
      <c r="GD388" s="58"/>
      <c r="GE388" s="58"/>
      <c r="GF388" s="58"/>
      <c r="GG388" s="58"/>
      <c r="GH388" s="58"/>
      <c r="GI388" s="58"/>
      <c r="GJ388" s="58"/>
      <c r="GK388" s="58"/>
    </row>
    <row r="389" spans="1:193" s="74" customFormat="1">
      <c r="A389" s="78"/>
      <c r="B389" s="78"/>
      <c r="C389" s="78"/>
      <c r="D389" s="78"/>
      <c r="E389" s="78"/>
      <c r="F389" s="78"/>
      <c r="G389" s="67"/>
      <c r="H389" s="319"/>
      <c r="I389" s="319"/>
      <c r="J389" s="78"/>
      <c r="K389" s="58"/>
      <c r="L389" s="319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  <c r="EN389" s="58"/>
      <c r="EO389" s="58"/>
      <c r="EP389" s="58"/>
      <c r="EQ389" s="58"/>
      <c r="ER389" s="58"/>
      <c r="ES389" s="58"/>
      <c r="ET389" s="58"/>
      <c r="EU389" s="58"/>
      <c r="EV389" s="58"/>
      <c r="EW389" s="58"/>
      <c r="EX389" s="58"/>
      <c r="EY389" s="58"/>
      <c r="EZ389" s="58"/>
      <c r="FA389" s="58"/>
      <c r="FB389" s="58"/>
      <c r="FC389" s="58"/>
      <c r="FD389" s="58"/>
      <c r="FE389" s="58"/>
      <c r="FF389" s="58"/>
      <c r="FG389" s="58"/>
      <c r="FH389" s="58"/>
      <c r="FI389" s="58"/>
      <c r="FJ389" s="58"/>
      <c r="FK389" s="58"/>
      <c r="FL389" s="58"/>
      <c r="FM389" s="58"/>
      <c r="FN389" s="58"/>
      <c r="FO389" s="58"/>
      <c r="FP389" s="58"/>
      <c r="FQ389" s="58"/>
      <c r="FR389" s="58"/>
      <c r="FS389" s="58"/>
      <c r="FT389" s="58"/>
      <c r="FU389" s="58"/>
      <c r="FV389" s="58"/>
      <c r="FW389" s="58"/>
      <c r="FX389" s="58"/>
      <c r="FY389" s="58"/>
      <c r="FZ389" s="58"/>
      <c r="GA389" s="58"/>
      <c r="GB389" s="58"/>
      <c r="GC389" s="58"/>
      <c r="GD389" s="58"/>
      <c r="GE389" s="58"/>
      <c r="GF389" s="58"/>
      <c r="GG389" s="58"/>
      <c r="GH389" s="58"/>
      <c r="GI389" s="58"/>
      <c r="GJ389" s="58"/>
      <c r="GK389" s="58"/>
    </row>
    <row r="390" spans="1:193" s="74" customFormat="1">
      <c r="A390" s="78"/>
      <c r="B390" s="78"/>
      <c r="C390" s="78"/>
      <c r="D390" s="78"/>
      <c r="E390" s="78"/>
      <c r="F390" s="78"/>
      <c r="G390" s="67"/>
      <c r="H390" s="319"/>
      <c r="I390" s="319"/>
      <c r="J390" s="78"/>
      <c r="K390" s="58"/>
      <c r="L390" s="319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  <c r="EM390" s="58"/>
      <c r="EN390" s="58"/>
      <c r="EO390" s="58"/>
      <c r="EP390" s="58"/>
      <c r="EQ390" s="58"/>
      <c r="ER390" s="58"/>
      <c r="ES390" s="58"/>
      <c r="ET390" s="58"/>
      <c r="EU390" s="58"/>
      <c r="EV390" s="58"/>
      <c r="EW390" s="58"/>
      <c r="EX390" s="58"/>
      <c r="EY390" s="58"/>
      <c r="EZ390" s="58"/>
      <c r="FA390" s="58"/>
      <c r="FB390" s="58"/>
      <c r="FC390" s="58"/>
      <c r="FD390" s="58"/>
      <c r="FE390" s="58"/>
      <c r="FF390" s="58"/>
      <c r="FG390" s="58"/>
      <c r="FH390" s="58"/>
      <c r="FI390" s="58"/>
      <c r="FJ390" s="58"/>
      <c r="FK390" s="58"/>
      <c r="FL390" s="58"/>
      <c r="FM390" s="58"/>
      <c r="FN390" s="58"/>
      <c r="FO390" s="58"/>
      <c r="FP390" s="58"/>
      <c r="FQ390" s="58"/>
      <c r="FR390" s="58"/>
      <c r="FS390" s="58"/>
      <c r="FT390" s="58"/>
      <c r="FU390" s="58"/>
      <c r="FV390" s="58"/>
      <c r="FW390" s="58"/>
      <c r="FX390" s="58"/>
      <c r="FY390" s="58"/>
      <c r="FZ390" s="58"/>
      <c r="GA390" s="58"/>
      <c r="GB390" s="58"/>
      <c r="GC390" s="58"/>
      <c r="GD390" s="58"/>
      <c r="GE390" s="58"/>
      <c r="GF390" s="58"/>
      <c r="GG390" s="58"/>
      <c r="GH390" s="58"/>
      <c r="GI390" s="58"/>
      <c r="GJ390" s="58"/>
      <c r="GK390" s="58"/>
    </row>
    <row r="391" spans="1:193" s="74" customFormat="1">
      <c r="A391" s="78"/>
      <c r="B391" s="78"/>
      <c r="C391" s="78"/>
      <c r="D391" s="78"/>
      <c r="E391" s="78"/>
      <c r="F391" s="78"/>
      <c r="G391" s="67"/>
      <c r="H391" s="319"/>
      <c r="I391" s="319"/>
      <c r="J391" s="78"/>
      <c r="K391" s="58"/>
      <c r="L391" s="319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  <c r="EM391" s="58"/>
      <c r="EN391" s="58"/>
      <c r="EO391" s="58"/>
      <c r="EP391" s="58"/>
      <c r="EQ391" s="58"/>
      <c r="ER391" s="58"/>
      <c r="ES391" s="58"/>
      <c r="ET391" s="58"/>
      <c r="EU391" s="58"/>
      <c r="EV391" s="58"/>
      <c r="EW391" s="58"/>
      <c r="EX391" s="58"/>
      <c r="EY391" s="58"/>
      <c r="EZ391" s="58"/>
      <c r="FA391" s="58"/>
      <c r="FB391" s="58"/>
      <c r="FC391" s="58"/>
      <c r="FD391" s="58"/>
      <c r="FE391" s="58"/>
      <c r="FF391" s="58"/>
      <c r="FG391" s="58"/>
      <c r="FH391" s="58"/>
      <c r="FI391" s="58"/>
      <c r="FJ391" s="58"/>
      <c r="FK391" s="58"/>
      <c r="FL391" s="58"/>
      <c r="FM391" s="58"/>
      <c r="FN391" s="58"/>
      <c r="FO391" s="58"/>
      <c r="FP391" s="58"/>
      <c r="FQ391" s="58"/>
      <c r="FR391" s="58"/>
      <c r="FS391" s="58"/>
      <c r="FT391" s="58"/>
      <c r="FU391" s="58"/>
      <c r="FV391" s="58"/>
      <c r="FW391" s="58"/>
      <c r="FX391" s="58"/>
      <c r="FY391" s="58"/>
      <c r="FZ391" s="58"/>
      <c r="GA391" s="58"/>
      <c r="GB391" s="58"/>
      <c r="GC391" s="58"/>
      <c r="GD391" s="58"/>
      <c r="GE391" s="58"/>
      <c r="GF391" s="58"/>
      <c r="GG391" s="58"/>
      <c r="GH391" s="58"/>
      <c r="GI391" s="58"/>
      <c r="GJ391" s="58"/>
      <c r="GK391" s="58"/>
    </row>
    <row r="392" spans="1:193" s="74" customFormat="1">
      <c r="A392" s="78"/>
      <c r="B392" s="78"/>
      <c r="C392" s="78"/>
      <c r="D392" s="78"/>
      <c r="E392" s="78"/>
      <c r="F392" s="78"/>
      <c r="G392" s="67"/>
      <c r="H392" s="319"/>
      <c r="I392" s="319"/>
      <c r="J392" s="78"/>
      <c r="K392" s="58"/>
      <c r="L392" s="319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  <c r="EM392" s="58"/>
      <c r="EN392" s="58"/>
      <c r="EO392" s="58"/>
      <c r="EP392" s="58"/>
      <c r="EQ392" s="58"/>
      <c r="ER392" s="58"/>
      <c r="ES392" s="58"/>
      <c r="ET392" s="58"/>
      <c r="EU392" s="58"/>
      <c r="EV392" s="58"/>
      <c r="EW392" s="58"/>
      <c r="EX392" s="58"/>
      <c r="EY392" s="58"/>
      <c r="EZ392" s="58"/>
      <c r="FA392" s="58"/>
      <c r="FB392" s="58"/>
      <c r="FC392" s="58"/>
      <c r="FD392" s="58"/>
      <c r="FE392" s="58"/>
      <c r="FF392" s="58"/>
      <c r="FG392" s="58"/>
      <c r="FH392" s="58"/>
      <c r="FI392" s="58"/>
      <c r="FJ392" s="58"/>
      <c r="FK392" s="58"/>
      <c r="FL392" s="58"/>
      <c r="FM392" s="58"/>
      <c r="FN392" s="58"/>
      <c r="FO392" s="58"/>
      <c r="FP392" s="58"/>
      <c r="FQ392" s="58"/>
      <c r="FR392" s="58"/>
      <c r="FS392" s="58"/>
      <c r="FT392" s="58"/>
      <c r="FU392" s="58"/>
      <c r="FV392" s="58"/>
      <c r="FW392" s="58"/>
      <c r="FX392" s="58"/>
      <c r="FY392" s="58"/>
      <c r="FZ392" s="58"/>
      <c r="GA392" s="58"/>
      <c r="GB392" s="58"/>
      <c r="GC392" s="58"/>
      <c r="GD392" s="58"/>
      <c r="GE392" s="58"/>
      <c r="GF392" s="58"/>
      <c r="GG392" s="58"/>
      <c r="GH392" s="58"/>
      <c r="GI392" s="58"/>
      <c r="GJ392" s="58"/>
      <c r="GK392" s="58"/>
    </row>
    <row r="393" spans="1:193" s="74" customFormat="1">
      <c r="A393" s="78"/>
      <c r="B393" s="78"/>
      <c r="C393" s="78"/>
      <c r="D393" s="78"/>
      <c r="E393" s="78"/>
      <c r="F393" s="78"/>
      <c r="G393" s="67"/>
      <c r="H393" s="319"/>
      <c r="I393" s="319"/>
      <c r="J393" s="78"/>
      <c r="K393" s="58"/>
      <c r="L393" s="319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  <c r="EM393" s="58"/>
      <c r="EN393" s="58"/>
      <c r="EO393" s="58"/>
      <c r="EP393" s="58"/>
      <c r="EQ393" s="58"/>
      <c r="ER393" s="58"/>
      <c r="ES393" s="58"/>
      <c r="ET393" s="58"/>
      <c r="EU393" s="58"/>
      <c r="EV393" s="58"/>
      <c r="EW393" s="58"/>
      <c r="EX393" s="58"/>
      <c r="EY393" s="58"/>
      <c r="EZ393" s="58"/>
      <c r="FA393" s="58"/>
      <c r="FB393" s="58"/>
      <c r="FC393" s="58"/>
      <c r="FD393" s="58"/>
      <c r="FE393" s="58"/>
      <c r="FF393" s="58"/>
      <c r="FG393" s="58"/>
      <c r="FH393" s="58"/>
      <c r="FI393" s="58"/>
      <c r="FJ393" s="58"/>
      <c r="FK393" s="58"/>
      <c r="FL393" s="58"/>
      <c r="FM393" s="58"/>
      <c r="FN393" s="58"/>
      <c r="FO393" s="58"/>
      <c r="FP393" s="58"/>
      <c r="FQ393" s="58"/>
      <c r="FR393" s="58"/>
      <c r="FS393" s="58"/>
      <c r="FT393" s="58"/>
      <c r="FU393" s="58"/>
      <c r="FV393" s="58"/>
      <c r="FW393" s="58"/>
      <c r="FX393" s="58"/>
      <c r="FY393" s="58"/>
      <c r="FZ393" s="58"/>
      <c r="GA393" s="58"/>
      <c r="GB393" s="58"/>
      <c r="GC393" s="58"/>
      <c r="GD393" s="58"/>
      <c r="GE393" s="58"/>
      <c r="GF393" s="58"/>
      <c r="GG393" s="58"/>
      <c r="GH393" s="58"/>
      <c r="GI393" s="58"/>
      <c r="GJ393" s="58"/>
      <c r="GK393" s="58"/>
    </row>
    <row r="394" spans="1:193" s="74" customFormat="1">
      <c r="A394" s="78"/>
      <c r="B394" s="78"/>
      <c r="C394" s="78"/>
      <c r="D394" s="78"/>
      <c r="E394" s="78"/>
      <c r="F394" s="78"/>
      <c r="G394" s="67"/>
      <c r="H394" s="319"/>
      <c r="I394" s="319"/>
      <c r="J394" s="78"/>
      <c r="K394" s="58"/>
      <c r="L394" s="319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  <c r="EN394" s="58"/>
      <c r="EO394" s="58"/>
      <c r="EP394" s="58"/>
      <c r="EQ394" s="58"/>
      <c r="ER394" s="58"/>
      <c r="ES394" s="58"/>
      <c r="ET394" s="58"/>
      <c r="EU394" s="58"/>
      <c r="EV394" s="58"/>
      <c r="EW394" s="58"/>
      <c r="EX394" s="58"/>
      <c r="EY394" s="58"/>
      <c r="EZ394" s="58"/>
      <c r="FA394" s="58"/>
      <c r="FB394" s="58"/>
      <c r="FC394" s="58"/>
      <c r="FD394" s="58"/>
      <c r="FE394" s="58"/>
      <c r="FF394" s="58"/>
      <c r="FG394" s="58"/>
      <c r="FH394" s="58"/>
      <c r="FI394" s="58"/>
      <c r="FJ394" s="58"/>
      <c r="FK394" s="58"/>
      <c r="FL394" s="58"/>
      <c r="FM394" s="58"/>
      <c r="FN394" s="58"/>
      <c r="FO394" s="58"/>
      <c r="FP394" s="58"/>
      <c r="FQ394" s="58"/>
      <c r="FR394" s="58"/>
      <c r="FS394" s="58"/>
      <c r="FT394" s="58"/>
      <c r="FU394" s="58"/>
      <c r="FV394" s="58"/>
      <c r="FW394" s="58"/>
      <c r="FX394" s="58"/>
      <c r="FY394" s="58"/>
      <c r="FZ394" s="58"/>
      <c r="GA394" s="58"/>
      <c r="GB394" s="58"/>
      <c r="GC394" s="58"/>
      <c r="GD394" s="58"/>
      <c r="GE394" s="58"/>
      <c r="GF394" s="58"/>
      <c r="GG394" s="58"/>
      <c r="GH394" s="58"/>
      <c r="GI394" s="58"/>
      <c r="GJ394" s="58"/>
      <c r="GK394" s="58"/>
    </row>
    <row r="395" spans="1:193" s="74" customFormat="1">
      <c r="A395" s="78"/>
      <c r="B395" s="78"/>
      <c r="C395" s="78"/>
      <c r="D395" s="78"/>
      <c r="E395" s="78"/>
      <c r="F395" s="78"/>
      <c r="G395" s="67"/>
      <c r="H395" s="319"/>
      <c r="I395" s="319"/>
      <c r="J395" s="78"/>
      <c r="K395" s="58"/>
      <c r="L395" s="319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  <c r="EM395" s="58"/>
      <c r="EN395" s="58"/>
      <c r="EO395" s="58"/>
      <c r="EP395" s="58"/>
      <c r="EQ395" s="58"/>
      <c r="ER395" s="58"/>
      <c r="ES395" s="58"/>
      <c r="ET395" s="58"/>
      <c r="EU395" s="58"/>
      <c r="EV395" s="58"/>
      <c r="EW395" s="58"/>
      <c r="EX395" s="58"/>
      <c r="EY395" s="58"/>
      <c r="EZ395" s="58"/>
      <c r="FA395" s="58"/>
      <c r="FB395" s="58"/>
      <c r="FC395" s="58"/>
      <c r="FD395" s="58"/>
      <c r="FE395" s="58"/>
      <c r="FF395" s="58"/>
      <c r="FG395" s="58"/>
      <c r="FH395" s="58"/>
      <c r="FI395" s="58"/>
      <c r="FJ395" s="58"/>
      <c r="FK395" s="58"/>
      <c r="FL395" s="58"/>
      <c r="FM395" s="58"/>
      <c r="FN395" s="58"/>
      <c r="FO395" s="58"/>
      <c r="FP395" s="58"/>
      <c r="FQ395" s="58"/>
      <c r="FR395" s="58"/>
      <c r="FS395" s="58"/>
      <c r="FT395" s="58"/>
      <c r="FU395" s="58"/>
      <c r="FV395" s="58"/>
      <c r="FW395" s="58"/>
      <c r="FX395" s="58"/>
      <c r="FY395" s="58"/>
      <c r="FZ395" s="58"/>
      <c r="GA395" s="58"/>
      <c r="GB395" s="58"/>
      <c r="GC395" s="58"/>
      <c r="GD395" s="58"/>
      <c r="GE395" s="58"/>
      <c r="GF395" s="58"/>
      <c r="GG395" s="58"/>
      <c r="GH395" s="58"/>
      <c r="GI395" s="58"/>
      <c r="GJ395" s="58"/>
      <c r="GK395" s="58"/>
    </row>
    <row r="396" spans="1:193" s="74" customFormat="1">
      <c r="A396" s="78"/>
      <c r="B396" s="78"/>
      <c r="C396" s="78"/>
      <c r="D396" s="78"/>
      <c r="E396" s="78"/>
      <c r="F396" s="78"/>
      <c r="G396" s="67"/>
      <c r="H396" s="319"/>
      <c r="I396" s="319"/>
      <c r="J396" s="78"/>
      <c r="K396" s="58"/>
      <c r="L396" s="319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  <c r="EM396" s="58"/>
      <c r="EN396" s="58"/>
      <c r="EO396" s="58"/>
      <c r="EP396" s="58"/>
      <c r="EQ396" s="58"/>
      <c r="ER396" s="58"/>
      <c r="ES396" s="58"/>
      <c r="ET396" s="58"/>
      <c r="EU396" s="58"/>
      <c r="EV396" s="58"/>
      <c r="EW396" s="58"/>
      <c r="EX396" s="58"/>
      <c r="EY396" s="58"/>
      <c r="EZ396" s="58"/>
      <c r="FA396" s="58"/>
      <c r="FB396" s="58"/>
      <c r="FC396" s="58"/>
      <c r="FD396" s="58"/>
      <c r="FE396" s="58"/>
      <c r="FF396" s="58"/>
      <c r="FG396" s="58"/>
      <c r="FH396" s="58"/>
      <c r="FI396" s="58"/>
      <c r="FJ396" s="58"/>
      <c r="FK396" s="58"/>
      <c r="FL396" s="58"/>
      <c r="FM396" s="58"/>
      <c r="FN396" s="58"/>
      <c r="FO396" s="58"/>
      <c r="FP396" s="58"/>
      <c r="FQ396" s="58"/>
      <c r="FR396" s="58"/>
      <c r="FS396" s="58"/>
      <c r="FT396" s="58"/>
      <c r="FU396" s="58"/>
      <c r="FV396" s="58"/>
      <c r="FW396" s="58"/>
      <c r="FX396" s="58"/>
      <c r="FY396" s="58"/>
      <c r="FZ396" s="58"/>
      <c r="GA396" s="58"/>
      <c r="GB396" s="58"/>
      <c r="GC396" s="58"/>
      <c r="GD396" s="58"/>
      <c r="GE396" s="58"/>
      <c r="GF396" s="58"/>
      <c r="GG396" s="58"/>
      <c r="GH396" s="58"/>
      <c r="GI396" s="58"/>
      <c r="GJ396" s="58"/>
      <c r="GK396" s="58"/>
    </row>
    <row r="397" spans="1:193" s="74" customFormat="1">
      <c r="A397" s="78"/>
      <c r="B397" s="78"/>
      <c r="C397" s="78"/>
      <c r="D397" s="78"/>
      <c r="E397" s="78"/>
      <c r="F397" s="78"/>
      <c r="G397" s="67"/>
      <c r="H397" s="319"/>
      <c r="I397" s="319"/>
      <c r="J397" s="78"/>
      <c r="K397" s="58"/>
      <c r="L397" s="319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  <c r="EN397" s="58"/>
      <c r="EO397" s="58"/>
      <c r="EP397" s="58"/>
      <c r="EQ397" s="58"/>
      <c r="ER397" s="58"/>
      <c r="ES397" s="58"/>
      <c r="ET397" s="58"/>
      <c r="EU397" s="58"/>
      <c r="EV397" s="58"/>
      <c r="EW397" s="58"/>
      <c r="EX397" s="58"/>
      <c r="EY397" s="58"/>
      <c r="EZ397" s="58"/>
      <c r="FA397" s="58"/>
      <c r="FB397" s="58"/>
      <c r="FC397" s="58"/>
      <c r="FD397" s="58"/>
      <c r="FE397" s="58"/>
      <c r="FF397" s="58"/>
      <c r="FG397" s="58"/>
      <c r="FH397" s="58"/>
      <c r="FI397" s="58"/>
      <c r="FJ397" s="58"/>
      <c r="FK397" s="58"/>
      <c r="FL397" s="58"/>
      <c r="FM397" s="58"/>
      <c r="FN397" s="58"/>
      <c r="FO397" s="58"/>
      <c r="FP397" s="58"/>
      <c r="FQ397" s="58"/>
      <c r="FR397" s="58"/>
      <c r="FS397" s="58"/>
      <c r="FT397" s="58"/>
      <c r="FU397" s="58"/>
      <c r="FV397" s="58"/>
      <c r="FW397" s="58"/>
      <c r="FX397" s="58"/>
      <c r="FY397" s="58"/>
      <c r="FZ397" s="58"/>
      <c r="GA397" s="58"/>
      <c r="GB397" s="58"/>
      <c r="GC397" s="58"/>
      <c r="GD397" s="58"/>
      <c r="GE397" s="58"/>
      <c r="GF397" s="58"/>
      <c r="GG397" s="58"/>
      <c r="GH397" s="58"/>
      <c r="GI397" s="58"/>
      <c r="GJ397" s="58"/>
      <c r="GK397" s="58"/>
    </row>
    <row r="398" spans="1:193" s="74" customFormat="1">
      <c r="A398" s="78"/>
      <c r="B398" s="78"/>
      <c r="C398" s="78"/>
      <c r="D398" s="78"/>
      <c r="E398" s="78"/>
      <c r="F398" s="78"/>
      <c r="G398" s="67"/>
      <c r="H398" s="319"/>
      <c r="I398" s="319"/>
      <c r="J398" s="78"/>
      <c r="K398" s="58"/>
      <c r="L398" s="319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  <c r="EN398" s="58"/>
      <c r="EO398" s="58"/>
      <c r="EP398" s="58"/>
      <c r="EQ398" s="58"/>
      <c r="ER398" s="58"/>
      <c r="ES398" s="58"/>
      <c r="ET398" s="58"/>
      <c r="EU398" s="58"/>
      <c r="EV398" s="58"/>
      <c r="EW398" s="58"/>
      <c r="EX398" s="58"/>
      <c r="EY398" s="58"/>
      <c r="EZ398" s="58"/>
      <c r="FA398" s="58"/>
      <c r="FB398" s="58"/>
      <c r="FC398" s="58"/>
      <c r="FD398" s="58"/>
      <c r="FE398" s="58"/>
      <c r="FF398" s="58"/>
      <c r="FG398" s="58"/>
      <c r="FH398" s="58"/>
      <c r="FI398" s="58"/>
      <c r="FJ398" s="58"/>
      <c r="FK398" s="58"/>
      <c r="FL398" s="58"/>
      <c r="FM398" s="58"/>
      <c r="FN398" s="58"/>
      <c r="FO398" s="58"/>
      <c r="FP398" s="58"/>
      <c r="FQ398" s="58"/>
      <c r="FR398" s="58"/>
      <c r="FS398" s="58"/>
      <c r="FT398" s="58"/>
      <c r="FU398" s="58"/>
      <c r="FV398" s="58"/>
      <c r="FW398" s="58"/>
      <c r="FX398" s="58"/>
      <c r="FY398" s="58"/>
      <c r="FZ398" s="58"/>
      <c r="GA398" s="58"/>
      <c r="GB398" s="58"/>
      <c r="GC398" s="58"/>
      <c r="GD398" s="58"/>
      <c r="GE398" s="58"/>
      <c r="GF398" s="58"/>
      <c r="GG398" s="58"/>
      <c r="GH398" s="58"/>
      <c r="GI398" s="58"/>
      <c r="GJ398" s="58"/>
      <c r="GK398" s="58"/>
    </row>
    <row r="399" spans="1:193" s="74" customFormat="1">
      <c r="A399" s="78"/>
      <c r="B399" s="78"/>
      <c r="C399" s="78"/>
      <c r="D399" s="78"/>
      <c r="E399" s="78"/>
      <c r="F399" s="78"/>
      <c r="G399" s="67"/>
      <c r="H399" s="319"/>
      <c r="I399" s="319"/>
      <c r="J399" s="78"/>
      <c r="K399" s="58"/>
      <c r="L399" s="319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  <c r="EN399" s="58"/>
      <c r="EO399" s="58"/>
      <c r="EP399" s="58"/>
      <c r="EQ399" s="58"/>
      <c r="ER399" s="58"/>
      <c r="ES399" s="58"/>
      <c r="ET399" s="58"/>
      <c r="EU399" s="58"/>
      <c r="EV399" s="58"/>
      <c r="EW399" s="58"/>
      <c r="EX399" s="58"/>
      <c r="EY399" s="58"/>
      <c r="EZ399" s="58"/>
      <c r="FA399" s="58"/>
      <c r="FB399" s="58"/>
      <c r="FC399" s="58"/>
      <c r="FD399" s="58"/>
      <c r="FE399" s="58"/>
      <c r="FF399" s="58"/>
      <c r="FG399" s="58"/>
      <c r="FH399" s="58"/>
      <c r="FI399" s="58"/>
      <c r="FJ399" s="58"/>
      <c r="FK399" s="58"/>
      <c r="FL399" s="58"/>
      <c r="FM399" s="58"/>
      <c r="FN399" s="58"/>
      <c r="FO399" s="58"/>
      <c r="FP399" s="58"/>
      <c r="FQ399" s="58"/>
      <c r="FR399" s="58"/>
      <c r="FS399" s="58"/>
      <c r="FT399" s="58"/>
      <c r="FU399" s="58"/>
      <c r="FV399" s="58"/>
      <c r="FW399" s="58"/>
      <c r="FX399" s="58"/>
      <c r="FY399" s="58"/>
      <c r="FZ399" s="58"/>
      <c r="GA399" s="58"/>
      <c r="GB399" s="58"/>
      <c r="GC399" s="58"/>
      <c r="GD399" s="58"/>
      <c r="GE399" s="58"/>
      <c r="GF399" s="58"/>
      <c r="GG399" s="58"/>
      <c r="GH399" s="58"/>
      <c r="GI399" s="58"/>
      <c r="GJ399" s="58"/>
      <c r="GK399" s="58"/>
    </row>
    <row r="400" spans="1:193" s="74" customFormat="1">
      <c r="A400" s="78"/>
      <c r="B400" s="78"/>
      <c r="C400" s="78"/>
      <c r="D400" s="78"/>
      <c r="E400" s="78"/>
      <c r="F400" s="78"/>
      <c r="G400" s="67"/>
      <c r="H400" s="319"/>
      <c r="I400" s="319"/>
      <c r="J400" s="78"/>
      <c r="K400" s="58"/>
      <c r="L400" s="319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  <c r="EN400" s="58"/>
      <c r="EO400" s="58"/>
      <c r="EP400" s="58"/>
      <c r="EQ400" s="58"/>
      <c r="ER400" s="58"/>
      <c r="ES400" s="58"/>
      <c r="ET400" s="58"/>
      <c r="EU400" s="58"/>
      <c r="EV400" s="58"/>
      <c r="EW400" s="58"/>
      <c r="EX400" s="58"/>
      <c r="EY400" s="58"/>
      <c r="EZ400" s="58"/>
      <c r="FA400" s="58"/>
      <c r="FB400" s="58"/>
      <c r="FC400" s="58"/>
      <c r="FD400" s="58"/>
      <c r="FE400" s="58"/>
      <c r="FF400" s="58"/>
      <c r="FG400" s="58"/>
      <c r="FH400" s="58"/>
      <c r="FI400" s="58"/>
      <c r="FJ400" s="58"/>
      <c r="FK400" s="58"/>
      <c r="FL400" s="58"/>
      <c r="FM400" s="58"/>
      <c r="FN400" s="58"/>
      <c r="FO400" s="58"/>
      <c r="FP400" s="58"/>
      <c r="FQ400" s="58"/>
      <c r="FR400" s="58"/>
      <c r="FS400" s="58"/>
      <c r="FT400" s="58"/>
      <c r="FU400" s="58"/>
      <c r="FV400" s="58"/>
      <c r="FW400" s="58"/>
      <c r="FX400" s="58"/>
      <c r="FY400" s="58"/>
      <c r="FZ400" s="58"/>
      <c r="GA400" s="58"/>
      <c r="GB400" s="58"/>
      <c r="GC400" s="58"/>
      <c r="GD400" s="58"/>
      <c r="GE400" s="58"/>
      <c r="GF400" s="58"/>
      <c r="GG400" s="58"/>
      <c r="GH400" s="58"/>
      <c r="GI400" s="58"/>
      <c r="GJ400" s="58"/>
      <c r="GK400" s="58"/>
    </row>
    <row r="401" spans="1:193" s="74" customFormat="1">
      <c r="A401" s="78"/>
      <c r="B401" s="78"/>
      <c r="C401" s="78"/>
      <c r="D401" s="78"/>
      <c r="E401" s="78"/>
      <c r="F401" s="78"/>
      <c r="G401" s="67"/>
      <c r="H401" s="319"/>
      <c r="I401" s="319"/>
      <c r="J401" s="78"/>
      <c r="K401" s="58"/>
      <c r="L401" s="319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  <c r="EN401" s="58"/>
      <c r="EO401" s="58"/>
      <c r="EP401" s="58"/>
      <c r="EQ401" s="58"/>
      <c r="ER401" s="58"/>
      <c r="ES401" s="58"/>
      <c r="ET401" s="58"/>
      <c r="EU401" s="58"/>
      <c r="EV401" s="58"/>
      <c r="EW401" s="58"/>
      <c r="EX401" s="58"/>
      <c r="EY401" s="58"/>
      <c r="EZ401" s="58"/>
      <c r="FA401" s="58"/>
      <c r="FB401" s="58"/>
      <c r="FC401" s="58"/>
      <c r="FD401" s="58"/>
      <c r="FE401" s="58"/>
      <c r="FF401" s="58"/>
      <c r="FG401" s="58"/>
      <c r="FH401" s="58"/>
      <c r="FI401" s="58"/>
      <c r="FJ401" s="58"/>
      <c r="FK401" s="58"/>
      <c r="FL401" s="58"/>
      <c r="FM401" s="58"/>
      <c r="FN401" s="58"/>
      <c r="FO401" s="58"/>
      <c r="FP401" s="58"/>
      <c r="FQ401" s="58"/>
      <c r="FR401" s="58"/>
      <c r="FS401" s="58"/>
      <c r="FT401" s="58"/>
      <c r="FU401" s="58"/>
      <c r="FV401" s="58"/>
      <c r="FW401" s="58"/>
      <c r="FX401" s="58"/>
      <c r="FY401" s="58"/>
      <c r="FZ401" s="58"/>
      <c r="GA401" s="58"/>
      <c r="GB401" s="58"/>
      <c r="GC401" s="58"/>
      <c r="GD401" s="58"/>
      <c r="GE401" s="58"/>
      <c r="GF401" s="58"/>
      <c r="GG401" s="58"/>
      <c r="GH401" s="58"/>
      <c r="GI401" s="58"/>
      <c r="GJ401" s="58"/>
      <c r="GK401" s="58"/>
    </row>
    <row r="402" spans="1:193" s="74" customFormat="1">
      <c r="A402" s="78"/>
      <c r="B402" s="78"/>
      <c r="C402" s="78"/>
      <c r="D402" s="78"/>
      <c r="E402" s="78"/>
      <c r="F402" s="78"/>
      <c r="G402" s="67"/>
      <c r="H402" s="319"/>
      <c r="I402" s="319"/>
      <c r="J402" s="78"/>
      <c r="K402" s="58"/>
      <c r="L402" s="319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  <c r="EN402" s="58"/>
      <c r="EO402" s="58"/>
      <c r="EP402" s="58"/>
      <c r="EQ402" s="58"/>
      <c r="ER402" s="58"/>
      <c r="ES402" s="58"/>
      <c r="ET402" s="58"/>
      <c r="EU402" s="58"/>
      <c r="EV402" s="58"/>
      <c r="EW402" s="58"/>
      <c r="EX402" s="58"/>
      <c r="EY402" s="58"/>
      <c r="EZ402" s="58"/>
      <c r="FA402" s="58"/>
      <c r="FB402" s="58"/>
      <c r="FC402" s="58"/>
      <c r="FD402" s="58"/>
      <c r="FE402" s="58"/>
      <c r="FF402" s="58"/>
      <c r="FG402" s="58"/>
      <c r="FH402" s="58"/>
      <c r="FI402" s="58"/>
      <c r="FJ402" s="58"/>
      <c r="FK402" s="58"/>
      <c r="FL402" s="58"/>
      <c r="FM402" s="58"/>
      <c r="FN402" s="58"/>
      <c r="FO402" s="58"/>
      <c r="FP402" s="58"/>
      <c r="FQ402" s="58"/>
      <c r="FR402" s="58"/>
      <c r="FS402" s="58"/>
      <c r="FT402" s="58"/>
      <c r="FU402" s="58"/>
      <c r="FV402" s="58"/>
      <c r="FW402" s="58"/>
      <c r="FX402" s="58"/>
      <c r="FY402" s="58"/>
      <c r="FZ402" s="58"/>
      <c r="GA402" s="58"/>
      <c r="GB402" s="58"/>
      <c r="GC402" s="58"/>
      <c r="GD402" s="58"/>
      <c r="GE402" s="58"/>
      <c r="GF402" s="58"/>
      <c r="GG402" s="58"/>
      <c r="GH402" s="58"/>
      <c r="GI402" s="58"/>
      <c r="GJ402" s="58"/>
      <c r="GK402" s="58"/>
    </row>
    <row r="403" spans="1:193" s="74" customFormat="1">
      <c r="A403" s="78"/>
      <c r="B403" s="78"/>
      <c r="C403" s="78"/>
      <c r="D403" s="78"/>
      <c r="E403" s="78"/>
      <c r="F403" s="78"/>
      <c r="G403" s="67"/>
      <c r="H403" s="319"/>
      <c r="I403" s="319"/>
      <c r="J403" s="78"/>
      <c r="K403" s="58"/>
      <c r="L403" s="319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  <c r="EN403" s="58"/>
      <c r="EO403" s="58"/>
      <c r="EP403" s="58"/>
      <c r="EQ403" s="58"/>
      <c r="ER403" s="58"/>
      <c r="ES403" s="58"/>
      <c r="ET403" s="58"/>
      <c r="EU403" s="58"/>
      <c r="EV403" s="58"/>
      <c r="EW403" s="58"/>
      <c r="EX403" s="58"/>
      <c r="EY403" s="58"/>
      <c r="EZ403" s="58"/>
      <c r="FA403" s="58"/>
      <c r="FB403" s="58"/>
      <c r="FC403" s="58"/>
      <c r="FD403" s="58"/>
      <c r="FE403" s="58"/>
      <c r="FF403" s="58"/>
      <c r="FG403" s="58"/>
      <c r="FH403" s="58"/>
      <c r="FI403" s="58"/>
      <c r="FJ403" s="58"/>
      <c r="FK403" s="58"/>
      <c r="FL403" s="58"/>
      <c r="FM403" s="58"/>
      <c r="FN403" s="58"/>
      <c r="FO403" s="58"/>
      <c r="FP403" s="58"/>
      <c r="FQ403" s="58"/>
      <c r="FR403" s="58"/>
      <c r="FS403" s="58"/>
      <c r="FT403" s="58"/>
      <c r="FU403" s="58"/>
      <c r="FV403" s="58"/>
      <c r="FW403" s="58"/>
      <c r="FX403" s="58"/>
      <c r="FY403" s="58"/>
      <c r="FZ403" s="58"/>
      <c r="GA403" s="58"/>
      <c r="GB403" s="58"/>
      <c r="GC403" s="58"/>
      <c r="GD403" s="58"/>
      <c r="GE403" s="58"/>
      <c r="GF403" s="58"/>
      <c r="GG403" s="58"/>
      <c r="GH403" s="58"/>
      <c r="GI403" s="58"/>
      <c r="GJ403" s="58"/>
      <c r="GK403" s="58"/>
    </row>
    <row r="404" spans="1:193" s="74" customFormat="1">
      <c r="A404" s="78"/>
      <c r="B404" s="78"/>
      <c r="C404" s="78"/>
      <c r="D404" s="78"/>
      <c r="E404" s="78"/>
      <c r="F404" s="78"/>
      <c r="G404" s="67"/>
      <c r="H404" s="319"/>
      <c r="I404" s="319"/>
      <c r="J404" s="78"/>
      <c r="K404" s="58"/>
      <c r="L404" s="319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  <c r="EN404" s="58"/>
      <c r="EO404" s="58"/>
      <c r="EP404" s="58"/>
      <c r="EQ404" s="58"/>
      <c r="ER404" s="58"/>
      <c r="ES404" s="58"/>
      <c r="ET404" s="58"/>
      <c r="EU404" s="58"/>
      <c r="EV404" s="58"/>
      <c r="EW404" s="58"/>
      <c r="EX404" s="58"/>
      <c r="EY404" s="58"/>
      <c r="EZ404" s="58"/>
      <c r="FA404" s="58"/>
      <c r="FB404" s="58"/>
      <c r="FC404" s="58"/>
      <c r="FD404" s="58"/>
      <c r="FE404" s="58"/>
      <c r="FF404" s="58"/>
      <c r="FG404" s="58"/>
      <c r="FH404" s="58"/>
      <c r="FI404" s="58"/>
      <c r="FJ404" s="58"/>
      <c r="FK404" s="58"/>
      <c r="FL404" s="58"/>
      <c r="FM404" s="58"/>
      <c r="FN404" s="58"/>
      <c r="FO404" s="58"/>
      <c r="FP404" s="58"/>
      <c r="FQ404" s="58"/>
      <c r="FR404" s="58"/>
      <c r="FS404" s="58"/>
      <c r="FT404" s="58"/>
      <c r="FU404" s="58"/>
      <c r="FV404" s="58"/>
      <c r="FW404" s="58"/>
      <c r="FX404" s="58"/>
      <c r="FY404" s="58"/>
      <c r="FZ404" s="58"/>
      <c r="GA404" s="58"/>
      <c r="GB404" s="58"/>
      <c r="GC404" s="58"/>
      <c r="GD404" s="58"/>
      <c r="GE404" s="58"/>
      <c r="GF404" s="58"/>
      <c r="GG404" s="58"/>
      <c r="GH404" s="58"/>
      <c r="GI404" s="58"/>
      <c r="GJ404" s="58"/>
      <c r="GK404" s="58"/>
    </row>
    <row r="405" spans="1:193" s="74" customFormat="1">
      <c r="A405" s="78"/>
      <c r="B405" s="78"/>
      <c r="C405" s="78"/>
      <c r="D405" s="78"/>
      <c r="E405" s="78"/>
      <c r="F405" s="78"/>
      <c r="G405" s="67"/>
      <c r="H405" s="319"/>
      <c r="I405" s="319"/>
      <c r="J405" s="78"/>
      <c r="K405" s="58"/>
      <c r="L405" s="319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  <c r="EN405" s="58"/>
      <c r="EO405" s="58"/>
      <c r="EP405" s="58"/>
      <c r="EQ405" s="58"/>
      <c r="ER405" s="58"/>
      <c r="ES405" s="58"/>
      <c r="ET405" s="58"/>
      <c r="EU405" s="58"/>
      <c r="EV405" s="58"/>
      <c r="EW405" s="58"/>
      <c r="EX405" s="58"/>
      <c r="EY405" s="58"/>
      <c r="EZ405" s="58"/>
      <c r="FA405" s="58"/>
      <c r="FB405" s="58"/>
      <c r="FC405" s="58"/>
      <c r="FD405" s="58"/>
      <c r="FE405" s="58"/>
      <c r="FF405" s="58"/>
      <c r="FG405" s="58"/>
      <c r="FH405" s="58"/>
      <c r="FI405" s="58"/>
      <c r="FJ405" s="58"/>
      <c r="FK405" s="58"/>
      <c r="FL405" s="58"/>
      <c r="FM405" s="58"/>
      <c r="FN405" s="58"/>
      <c r="FO405" s="58"/>
      <c r="FP405" s="58"/>
      <c r="FQ405" s="58"/>
      <c r="FR405" s="58"/>
      <c r="FS405" s="58"/>
      <c r="FT405" s="58"/>
      <c r="FU405" s="58"/>
      <c r="FV405" s="58"/>
      <c r="FW405" s="58"/>
      <c r="FX405" s="58"/>
      <c r="FY405" s="58"/>
      <c r="FZ405" s="58"/>
      <c r="GA405" s="58"/>
      <c r="GB405" s="58"/>
      <c r="GC405" s="58"/>
      <c r="GD405" s="58"/>
      <c r="GE405" s="58"/>
      <c r="GF405" s="58"/>
      <c r="GG405" s="58"/>
      <c r="GH405" s="58"/>
      <c r="GI405" s="58"/>
      <c r="GJ405" s="58"/>
      <c r="GK405" s="58"/>
    </row>
    <row r="406" spans="1:193" s="74" customFormat="1">
      <c r="A406" s="78"/>
      <c r="B406" s="78"/>
      <c r="C406" s="78"/>
      <c r="D406" s="78"/>
      <c r="E406" s="78"/>
      <c r="F406" s="78"/>
      <c r="G406" s="67"/>
      <c r="H406" s="319"/>
      <c r="I406" s="319"/>
      <c r="J406" s="78"/>
      <c r="K406" s="58"/>
      <c r="L406" s="319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  <c r="EM406" s="58"/>
      <c r="EN406" s="58"/>
      <c r="EO406" s="58"/>
      <c r="EP406" s="58"/>
      <c r="EQ406" s="58"/>
      <c r="ER406" s="58"/>
      <c r="ES406" s="58"/>
      <c r="ET406" s="58"/>
      <c r="EU406" s="58"/>
      <c r="EV406" s="58"/>
      <c r="EW406" s="58"/>
      <c r="EX406" s="58"/>
      <c r="EY406" s="58"/>
      <c r="EZ406" s="58"/>
      <c r="FA406" s="58"/>
      <c r="FB406" s="58"/>
      <c r="FC406" s="58"/>
      <c r="FD406" s="58"/>
      <c r="FE406" s="58"/>
      <c r="FF406" s="58"/>
      <c r="FG406" s="58"/>
      <c r="FH406" s="58"/>
      <c r="FI406" s="58"/>
      <c r="FJ406" s="58"/>
      <c r="FK406" s="58"/>
      <c r="FL406" s="58"/>
      <c r="FM406" s="58"/>
      <c r="FN406" s="58"/>
      <c r="FO406" s="58"/>
      <c r="FP406" s="58"/>
      <c r="FQ406" s="58"/>
      <c r="FR406" s="58"/>
      <c r="FS406" s="58"/>
      <c r="FT406" s="58"/>
      <c r="FU406" s="58"/>
      <c r="FV406" s="58"/>
      <c r="FW406" s="58"/>
      <c r="FX406" s="58"/>
      <c r="FY406" s="58"/>
      <c r="FZ406" s="58"/>
      <c r="GA406" s="58"/>
      <c r="GB406" s="58"/>
      <c r="GC406" s="58"/>
      <c r="GD406" s="58"/>
      <c r="GE406" s="58"/>
      <c r="GF406" s="58"/>
      <c r="GG406" s="58"/>
      <c r="GH406" s="58"/>
      <c r="GI406" s="58"/>
      <c r="GJ406" s="58"/>
      <c r="GK406" s="58"/>
    </row>
    <row r="407" spans="1:193" s="74" customFormat="1">
      <c r="A407" s="78"/>
      <c r="B407" s="78"/>
      <c r="C407" s="78"/>
      <c r="D407" s="78"/>
      <c r="E407" s="78"/>
      <c r="F407" s="78"/>
      <c r="G407" s="67"/>
      <c r="H407" s="319"/>
      <c r="I407" s="319"/>
      <c r="J407" s="78"/>
      <c r="K407" s="58"/>
      <c r="L407" s="319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  <c r="EM407" s="58"/>
      <c r="EN407" s="58"/>
      <c r="EO407" s="58"/>
      <c r="EP407" s="58"/>
      <c r="EQ407" s="58"/>
      <c r="ER407" s="58"/>
      <c r="ES407" s="58"/>
      <c r="ET407" s="58"/>
      <c r="EU407" s="58"/>
      <c r="EV407" s="58"/>
      <c r="EW407" s="58"/>
      <c r="EX407" s="58"/>
      <c r="EY407" s="58"/>
      <c r="EZ407" s="58"/>
      <c r="FA407" s="58"/>
      <c r="FB407" s="58"/>
      <c r="FC407" s="58"/>
      <c r="FD407" s="58"/>
      <c r="FE407" s="58"/>
      <c r="FF407" s="58"/>
      <c r="FG407" s="58"/>
      <c r="FH407" s="58"/>
      <c r="FI407" s="58"/>
      <c r="FJ407" s="58"/>
      <c r="FK407" s="58"/>
      <c r="FL407" s="58"/>
      <c r="FM407" s="58"/>
      <c r="FN407" s="58"/>
      <c r="FO407" s="58"/>
      <c r="FP407" s="58"/>
      <c r="FQ407" s="58"/>
      <c r="FR407" s="58"/>
      <c r="FS407" s="58"/>
      <c r="FT407" s="58"/>
      <c r="FU407" s="58"/>
      <c r="FV407" s="58"/>
      <c r="FW407" s="58"/>
      <c r="FX407" s="58"/>
      <c r="FY407" s="58"/>
      <c r="FZ407" s="58"/>
      <c r="GA407" s="58"/>
      <c r="GB407" s="58"/>
      <c r="GC407" s="58"/>
      <c r="GD407" s="58"/>
      <c r="GE407" s="58"/>
      <c r="GF407" s="58"/>
      <c r="GG407" s="58"/>
      <c r="GH407" s="58"/>
      <c r="GI407" s="58"/>
      <c r="GJ407" s="58"/>
      <c r="GK407" s="58"/>
    </row>
    <row r="408" spans="1:193" s="74" customFormat="1">
      <c r="A408" s="78"/>
      <c r="B408" s="78"/>
      <c r="C408" s="78"/>
      <c r="D408" s="78"/>
      <c r="E408" s="78"/>
      <c r="F408" s="78"/>
      <c r="G408" s="67"/>
      <c r="H408" s="319"/>
      <c r="I408" s="319"/>
      <c r="J408" s="78"/>
      <c r="K408" s="58"/>
      <c r="L408" s="319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  <c r="EN408" s="58"/>
      <c r="EO408" s="58"/>
      <c r="EP408" s="58"/>
      <c r="EQ408" s="58"/>
      <c r="ER408" s="58"/>
      <c r="ES408" s="58"/>
      <c r="ET408" s="58"/>
      <c r="EU408" s="58"/>
      <c r="EV408" s="58"/>
      <c r="EW408" s="58"/>
      <c r="EX408" s="58"/>
      <c r="EY408" s="58"/>
      <c r="EZ408" s="58"/>
      <c r="FA408" s="58"/>
      <c r="FB408" s="58"/>
      <c r="FC408" s="58"/>
      <c r="FD408" s="58"/>
      <c r="FE408" s="58"/>
      <c r="FF408" s="58"/>
      <c r="FG408" s="58"/>
      <c r="FH408" s="58"/>
      <c r="FI408" s="58"/>
      <c r="FJ408" s="58"/>
      <c r="FK408" s="58"/>
      <c r="FL408" s="58"/>
      <c r="FM408" s="58"/>
      <c r="FN408" s="58"/>
      <c r="FO408" s="58"/>
      <c r="FP408" s="58"/>
      <c r="FQ408" s="58"/>
      <c r="FR408" s="58"/>
      <c r="FS408" s="58"/>
      <c r="FT408" s="58"/>
      <c r="FU408" s="58"/>
      <c r="FV408" s="58"/>
      <c r="FW408" s="58"/>
      <c r="FX408" s="58"/>
      <c r="FY408" s="58"/>
      <c r="FZ408" s="58"/>
      <c r="GA408" s="58"/>
      <c r="GB408" s="58"/>
      <c r="GC408" s="58"/>
      <c r="GD408" s="58"/>
      <c r="GE408" s="58"/>
      <c r="GF408" s="58"/>
      <c r="GG408" s="58"/>
      <c r="GH408" s="58"/>
      <c r="GI408" s="58"/>
      <c r="GJ408" s="58"/>
      <c r="GK408" s="58"/>
    </row>
    <row r="409" spans="1:193" s="74" customFormat="1">
      <c r="A409" s="78"/>
      <c r="B409" s="78"/>
      <c r="C409" s="78"/>
      <c r="D409" s="78"/>
      <c r="E409" s="78"/>
      <c r="F409" s="78"/>
      <c r="G409" s="67"/>
      <c r="H409" s="319"/>
      <c r="I409" s="319"/>
      <c r="J409" s="78"/>
      <c r="K409" s="58"/>
      <c r="L409" s="319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  <c r="EM409" s="58"/>
      <c r="EN409" s="58"/>
      <c r="EO409" s="58"/>
      <c r="EP409" s="58"/>
      <c r="EQ409" s="58"/>
      <c r="ER409" s="58"/>
      <c r="ES409" s="58"/>
      <c r="ET409" s="58"/>
      <c r="EU409" s="58"/>
      <c r="EV409" s="58"/>
      <c r="EW409" s="58"/>
      <c r="EX409" s="58"/>
      <c r="EY409" s="58"/>
      <c r="EZ409" s="58"/>
      <c r="FA409" s="58"/>
      <c r="FB409" s="58"/>
      <c r="FC409" s="58"/>
      <c r="FD409" s="58"/>
      <c r="FE409" s="58"/>
      <c r="FF409" s="58"/>
      <c r="FG409" s="58"/>
      <c r="FH409" s="58"/>
      <c r="FI409" s="58"/>
      <c r="FJ409" s="58"/>
      <c r="FK409" s="58"/>
      <c r="FL409" s="58"/>
      <c r="FM409" s="58"/>
      <c r="FN409" s="58"/>
      <c r="FO409" s="58"/>
      <c r="FP409" s="58"/>
      <c r="FQ409" s="58"/>
      <c r="FR409" s="58"/>
      <c r="FS409" s="58"/>
      <c r="FT409" s="58"/>
      <c r="FU409" s="58"/>
      <c r="FV409" s="58"/>
      <c r="FW409" s="58"/>
      <c r="FX409" s="58"/>
      <c r="FY409" s="58"/>
      <c r="FZ409" s="58"/>
      <c r="GA409" s="58"/>
      <c r="GB409" s="58"/>
      <c r="GC409" s="58"/>
      <c r="GD409" s="58"/>
      <c r="GE409" s="58"/>
      <c r="GF409" s="58"/>
      <c r="GG409" s="58"/>
      <c r="GH409" s="58"/>
      <c r="GI409" s="58"/>
      <c r="GJ409" s="58"/>
      <c r="GK409" s="58"/>
    </row>
    <row r="410" spans="1:193" s="74" customFormat="1">
      <c r="A410" s="78"/>
      <c r="B410" s="78"/>
      <c r="C410" s="78"/>
      <c r="D410" s="78"/>
      <c r="E410" s="78"/>
      <c r="F410" s="78"/>
      <c r="G410" s="67"/>
      <c r="H410" s="319"/>
      <c r="I410" s="319"/>
      <c r="J410" s="78"/>
      <c r="K410" s="58"/>
      <c r="L410" s="319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  <c r="EM410" s="58"/>
      <c r="EN410" s="58"/>
      <c r="EO410" s="58"/>
      <c r="EP410" s="58"/>
      <c r="EQ410" s="58"/>
      <c r="ER410" s="58"/>
      <c r="ES410" s="58"/>
      <c r="ET410" s="58"/>
      <c r="EU410" s="58"/>
      <c r="EV410" s="58"/>
      <c r="EW410" s="58"/>
      <c r="EX410" s="58"/>
      <c r="EY410" s="58"/>
      <c r="EZ410" s="58"/>
      <c r="FA410" s="58"/>
      <c r="FB410" s="58"/>
      <c r="FC410" s="58"/>
      <c r="FD410" s="58"/>
      <c r="FE410" s="58"/>
      <c r="FF410" s="58"/>
      <c r="FG410" s="58"/>
      <c r="FH410" s="58"/>
      <c r="FI410" s="58"/>
      <c r="FJ410" s="58"/>
      <c r="FK410" s="58"/>
      <c r="FL410" s="58"/>
      <c r="FM410" s="58"/>
      <c r="FN410" s="58"/>
      <c r="FO410" s="58"/>
      <c r="FP410" s="58"/>
      <c r="FQ410" s="58"/>
      <c r="FR410" s="58"/>
      <c r="FS410" s="58"/>
      <c r="FT410" s="58"/>
      <c r="FU410" s="58"/>
      <c r="FV410" s="58"/>
      <c r="FW410" s="58"/>
      <c r="FX410" s="58"/>
      <c r="FY410" s="58"/>
      <c r="FZ410" s="58"/>
      <c r="GA410" s="58"/>
      <c r="GB410" s="58"/>
      <c r="GC410" s="58"/>
      <c r="GD410" s="58"/>
      <c r="GE410" s="58"/>
      <c r="GF410" s="58"/>
      <c r="GG410" s="58"/>
      <c r="GH410" s="58"/>
      <c r="GI410" s="58"/>
      <c r="GJ410" s="58"/>
      <c r="GK410" s="58"/>
    </row>
    <row r="411" spans="1:193" s="74" customFormat="1">
      <c r="A411" s="78"/>
      <c r="B411" s="78"/>
      <c r="C411" s="78"/>
      <c r="D411" s="78"/>
      <c r="E411" s="78"/>
      <c r="F411" s="78"/>
      <c r="G411" s="67"/>
      <c r="H411" s="319"/>
      <c r="I411" s="319"/>
      <c r="J411" s="78"/>
      <c r="K411" s="58"/>
      <c r="L411" s="319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  <c r="EM411" s="58"/>
      <c r="EN411" s="58"/>
      <c r="EO411" s="58"/>
      <c r="EP411" s="58"/>
      <c r="EQ411" s="58"/>
      <c r="ER411" s="58"/>
      <c r="ES411" s="58"/>
      <c r="ET411" s="58"/>
      <c r="EU411" s="58"/>
      <c r="EV411" s="58"/>
      <c r="EW411" s="58"/>
      <c r="EX411" s="58"/>
      <c r="EY411" s="58"/>
      <c r="EZ411" s="58"/>
      <c r="FA411" s="58"/>
      <c r="FB411" s="58"/>
      <c r="FC411" s="58"/>
      <c r="FD411" s="58"/>
      <c r="FE411" s="58"/>
      <c r="FF411" s="58"/>
      <c r="FG411" s="58"/>
      <c r="FH411" s="58"/>
      <c r="FI411" s="58"/>
      <c r="FJ411" s="58"/>
      <c r="FK411" s="58"/>
      <c r="FL411" s="58"/>
      <c r="FM411" s="58"/>
      <c r="FN411" s="58"/>
      <c r="FO411" s="58"/>
      <c r="FP411" s="58"/>
      <c r="FQ411" s="58"/>
      <c r="FR411" s="58"/>
      <c r="FS411" s="58"/>
      <c r="FT411" s="58"/>
      <c r="FU411" s="58"/>
      <c r="FV411" s="58"/>
      <c r="FW411" s="58"/>
      <c r="FX411" s="58"/>
      <c r="FY411" s="58"/>
      <c r="FZ411" s="58"/>
      <c r="GA411" s="58"/>
      <c r="GB411" s="58"/>
      <c r="GC411" s="58"/>
      <c r="GD411" s="58"/>
      <c r="GE411" s="58"/>
      <c r="GF411" s="58"/>
      <c r="GG411" s="58"/>
      <c r="GH411" s="58"/>
      <c r="GI411" s="58"/>
      <c r="GJ411" s="58"/>
      <c r="GK411" s="58"/>
    </row>
    <row r="412" spans="1:193" s="74" customFormat="1">
      <c r="A412" s="78"/>
      <c r="B412" s="78"/>
      <c r="C412" s="78"/>
      <c r="D412" s="78"/>
      <c r="E412" s="78"/>
      <c r="F412" s="78"/>
      <c r="G412" s="67"/>
      <c r="H412" s="319"/>
      <c r="I412" s="319"/>
      <c r="J412" s="78"/>
      <c r="K412" s="58"/>
      <c r="L412" s="319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  <c r="EN412" s="58"/>
      <c r="EO412" s="58"/>
      <c r="EP412" s="58"/>
      <c r="EQ412" s="58"/>
      <c r="ER412" s="58"/>
      <c r="ES412" s="58"/>
      <c r="ET412" s="58"/>
      <c r="EU412" s="58"/>
      <c r="EV412" s="58"/>
      <c r="EW412" s="58"/>
      <c r="EX412" s="58"/>
      <c r="EY412" s="58"/>
      <c r="EZ412" s="58"/>
      <c r="FA412" s="58"/>
      <c r="FB412" s="58"/>
      <c r="FC412" s="58"/>
      <c r="FD412" s="58"/>
      <c r="FE412" s="58"/>
      <c r="FF412" s="58"/>
      <c r="FG412" s="58"/>
      <c r="FH412" s="58"/>
      <c r="FI412" s="58"/>
      <c r="FJ412" s="58"/>
      <c r="FK412" s="58"/>
      <c r="FL412" s="58"/>
      <c r="FM412" s="58"/>
      <c r="FN412" s="58"/>
      <c r="FO412" s="58"/>
      <c r="FP412" s="58"/>
      <c r="FQ412" s="58"/>
      <c r="FR412" s="58"/>
      <c r="FS412" s="58"/>
      <c r="FT412" s="58"/>
      <c r="FU412" s="58"/>
      <c r="FV412" s="58"/>
      <c r="FW412" s="58"/>
      <c r="FX412" s="58"/>
      <c r="FY412" s="58"/>
      <c r="FZ412" s="58"/>
      <c r="GA412" s="58"/>
      <c r="GB412" s="58"/>
      <c r="GC412" s="58"/>
      <c r="GD412" s="58"/>
      <c r="GE412" s="58"/>
      <c r="GF412" s="58"/>
      <c r="GG412" s="58"/>
      <c r="GH412" s="58"/>
      <c r="GI412" s="58"/>
      <c r="GJ412" s="58"/>
      <c r="GK412" s="58"/>
    </row>
    <row r="413" spans="1:193" s="74" customFormat="1">
      <c r="A413" s="78"/>
      <c r="B413" s="78"/>
      <c r="C413" s="78"/>
      <c r="D413" s="78"/>
      <c r="E413" s="78"/>
      <c r="F413" s="78"/>
      <c r="G413" s="67"/>
      <c r="H413" s="319"/>
      <c r="I413" s="319"/>
      <c r="J413" s="78"/>
      <c r="K413" s="58"/>
      <c r="L413" s="319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  <c r="EN413" s="58"/>
      <c r="EO413" s="58"/>
      <c r="EP413" s="58"/>
      <c r="EQ413" s="58"/>
      <c r="ER413" s="58"/>
      <c r="ES413" s="58"/>
      <c r="ET413" s="58"/>
      <c r="EU413" s="58"/>
      <c r="EV413" s="58"/>
      <c r="EW413" s="58"/>
      <c r="EX413" s="58"/>
      <c r="EY413" s="58"/>
      <c r="EZ413" s="58"/>
      <c r="FA413" s="58"/>
      <c r="FB413" s="58"/>
      <c r="FC413" s="58"/>
      <c r="FD413" s="58"/>
      <c r="FE413" s="58"/>
      <c r="FF413" s="58"/>
      <c r="FG413" s="58"/>
      <c r="FH413" s="58"/>
      <c r="FI413" s="58"/>
      <c r="FJ413" s="58"/>
      <c r="FK413" s="58"/>
      <c r="FL413" s="58"/>
      <c r="FM413" s="58"/>
      <c r="FN413" s="58"/>
      <c r="FO413" s="58"/>
      <c r="FP413" s="58"/>
      <c r="FQ413" s="58"/>
      <c r="FR413" s="58"/>
      <c r="FS413" s="58"/>
      <c r="FT413" s="58"/>
      <c r="FU413" s="58"/>
      <c r="FV413" s="58"/>
      <c r="FW413" s="58"/>
      <c r="FX413" s="58"/>
      <c r="FY413" s="58"/>
      <c r="FZ413" s="58"/>
      <c r="GA413" s="58"/>
      <c r="GB413" s="58"/>
      <c r="GC413" s="58"/>
      <c r="GD413" s="58"/>
      <c r="GE413" s="58"/>
      <c r="GF413" s="58"/>
      <c r="GG413" s="58"/>
      <c r="GH413" s="58"/>
      <c r="GI413" s="58"/>
      <c r="GJ413" s="58"/>
      <c r="GK413" s="58"/>
    </row>
    <row r="414" spans="1:193" s="74" customFormat="1">
      <c r="A414" s="78"/>
      <c r="B414" s="78"/>
      <c r="C414" s="78"/>
      <c r="D414" s="78"/>
      <c r="E414" s="78"/>
      <c r="F414" s="78"/>
      <c r="G414" s="67"/>
      <c r="H414" s="319"/>
      <c r="I414" s="319"/>
      <c r="J414" s="78"/>
      <c r="K414" s="58"/>
      <c r="L414" s="319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  <c r="EM414" s="58"/>
      <c r="EN414" s="58"/>
      <c r="EO414" s="58"/>
      <c r="EP414" s="58"/>
      <c r="EQ414" s="58"/>
      <c r="ER414" s="58"/>
      <c r="ES414" s="58"/>
      <c r="ET414" s="58"/>
      <c r="EU414" s="58"/>
      <c r="EV414" s="58"/>
      <c r="EW414" s="58"/>
      <c r="EX414" s="58"/>
      <c r="EY414" s="58"/>
      <c r="EZ414" s="58"/>
      <c r="FA414" s="58"/>
      <c r="FB414" s="58"/>
      <c r="FC414" s="58"/>
      <c r="FD414" s="58"/>
      <c r="FE414" s="58"/>
      <c r="FF414" s="58"/>
      <c r="FG414" s="58"/>
      <c r="FH414" s="58"/>
      <c r="FI414" s="58"/>
      <c r="FJ414" s="58"/>
      <c r="FK414" s="58"/>
      <c r="FL414" s="58"/>
      <c r="FM414" s="58"/>
      <c r="FN414" s="58"/>
      <c r="FO414" s="58"/>
      <c r="FP414" s="58"/>
      <c r="FQ414" s="58"/>
      <c r="FR414" s="58"/>
      <c r="FS414" s="58"/>
      <c r="FT414" s="58"/>
      <c r="FU414" s="58"/>
      <c r="FV414" s="58"/>
      <c r="FW414" s="58"/>
      <c r="FX414" s="58"/>
      <c r="FY414" s="58"/>
      <c r="FZ414" s="58"/>
      <c r="GA414" s="58"/>
      <c r="GB414" s="58"/>
      <c r="GC414" s="58"/>
      <c r="GD414" s="58"/>
      <c r="GE414" s="58"/>
      <c r="GF414" s="58"/>
      <c r="GG414" s="58"/>
      <c r="GH414" s="58"/>
      <c r="GI414" s="58"/>
      <c r="GJ414" s="58"/>
      <c r="GK414" s="58"/>
    </row>
    <row r="415" spans="1:193" s="74" customFormat="1">
      <c r="A415" s="78"/>
      <c r="B415" s="78"/>
      <c r="C415" s="78"/>
      <c r="D415" s="78"/>
      <c r="E415" s="78"/>
      <c r="F415" s="78"/>
      <c r="G415" s="67"/>
      <c r="H415" s="319"/>
      <c r="I415" s="319"/>
      <c r="J415" s="78"/>
      <c r="K415" s="58"/>
      <c r="L415" s="319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  <c r="EM415" s="58"/>
      <c r="EN415" s="58"/>
      <c r="EO415" s="58"/>
      <c r="EP415" s="58"/>
      <c r="EQ415" s="58"/>
      <c r="ER415" s="58"/>
      <c r="ES415" s="58"/>
      <c r="ET415" s="58"/>
      <c r="EU415" s="58"/>
      <c r="EV415" s="58"/>
      <c r="EW415" s="58"/>
      <c r="EX415" s="58"/>
      <c r="EY415" s="58"/>
      <c r="EZ415" s="58"/>
      <c r="FA415" s="58"/>
      <c r="FB415" s="58"/>
      <c r="FC415" s="58"/>
      <c r="FD415" s="58"/>
      <c r="FE415" s="58"/>
      <c r="FF415" s="58"/>
      <c r="FG415" s="58"/>
      <c r="FH415" s="58"/>
      <c r="FI415" s="58"/>
      <c r="FJ415" s="58"/>
      <c r="FK415" s="58"/>
      <c r="FL415" s="58"/>
      <c r="FM415" s="58"/>
      <c r="FN415" s="58"/>
      <c r="FO415" s="58"/>
      <c r="FP415" s="58"/>
      <c r="FQ415" s="58"/>
      <c r="FR415" s="58"/>
      <c r="FS415" s="58"/>
      <c r="FT415" s="58"/>
      <c r="FU415" s="58"/>
      <c r="FV415" s="58"/>
      <c r="FW415" s="58"/>
      <c r="FX415" s="58"/>
      <c r="FY415" s="58"/>
      <c r="FZ415" s="58"/>
      <c r="GA415" s="58"/>
      <c r="GB415" s="58"/>
      <c r="GC415" s="58"/>
      <c r="GD415" s="58"/>
      <c r="GE415" s="58"/>
      <c r="GF415" s="58"/>
      <c r="GG415" s="58"/>
      <c r="GH415" s="58"/>
      <c r="GI415" s="58"/>
      <c r="GJ415" s="58"/>
      <c r="GK415" s="58"/>
    </row>
    <row r="416" spans="1:193" s="74" customFormat="1">
      <c r="A416" s="78"/>
      <c r="B416" s="78"/>
      <c r="C416" s="78"/>
      <c r="D416" s="78"/>
      <c r="E416" s="78"/>
      <c r="F416" s="78"/>
      <c r="G416" s="67"/>
      <c r="H416" s="319"/>
      <c r="I416" s="319"/>
      <c r="J416" s="78"/>
      <c r="K416" s="58"/>
      <c r="L416" s="319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  <c r="EM416" s="58"/>
      <c r="EN416" s="58"/>
      <c r="EO416" s="58"/>
      <c r="EP416" s="58"/>
      <c r="EQ416" s="58"/>
      <c r="ER416" s="58"/>
      <c r="ES416" s="58"/>
      <c r="ET416" s="58"/>
      <c r="EU416" s="58"/>
      <c r="EV416" s="58"/>
      <c r="EW416" s="58"/>
      <c r="EX416" s="58"/>
      <c r="EY416" s="58"/>
      <c r="EZ416" s="58"/>
      <c r="FA416" s="58"/>
      <c r="FB416" s="58"/>
      <c r="FC416" s="58"/>
      <c r="FD416" s="58"/>
      <c r="FE416" s="58"/>
      <c r="FF416" s="58"/>
      <c r="FG416" s="58"/>
      <c r="FH416" s="58"/>
      <c r="FI416" s="58"/>
      <c r="FJ416" s="58"/>
      <c r="FK416" s="58"/>
      <c r="FL416" s="58"/>
      <c r="FM416" s="58"/>
      <c r="FN416" s="58"/>
      <c r="FO416" s="58"/>
      <c r="FP416" s="58"/>
      <c r="FQ416" s="58"/>
      <c r="FR416" s="58"/>
      <c r="FS416" s="58"/>
      <c r="FT416" s="58"/>
      <c r="FU416" s="58"/>
      <c r="FV416" s="58"/>
      <c r="FW416" s="58"/>
      <c r="FX416" s="58"/>
      <c r="FY416" s="58"/>
      <c r="FZ416" s="58"/>
      <c r="GA416" s="58"/>
      <c r="GB416" s="58"/>
      <c r="GC416" s="58"/>
      <c r="GD416" s="58"/>
      <c r="GE416" s="58"/>
      <c r="GF416" s="58"/>
      <c r="GG416" s="58"/>
      <c r="GH416" s="58"/>
      <c r="GI416" s="58"/>
      <c r="GJ416" s="58"/>
      <c r="GK416" s="58"/>
    </row>
    <row r="417" spans="1:193" s="74" customFormat="1">
      <c r="A417" s="78"/>
      <c r="B417" s="78"/>
      <c r="C417" s="78"/>
      <c r="D417" s="78"/>
      <c r="E417" s="78"/>
      <c r="F417" s="78"/>
      <c r="G417" s="67"/>
      <c r="H417" s="319"/>
      <c r="I417" s="319"/>
      <c r="J417" s="78"/>
      <c r="K417" s="58"/>
      <c r="L417" s="319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  <c r="EM417" s="58"/>
      <c r="EN417" s="58"/>
      <c r="EO417" s="58"/>
      <c r="EP417" s="58"/>
      <c r="EQ417" s="58"/>
      <c r="ER417" s="58"/>
      <c r="ES417" s="58"/>
      <c r="ET417" s="58"/>
      <c r="EU417" s="58"/>
      <c r="EV417" s="58"/>
      <c r="EW417" s="58"/>
      <c r="EX417" s="58"/>
      <c r="EY417" s="58"/>
      <c r="EZ417" s="58"/>
      <c r="FA417" s="58"/>
      <c r="FB417" s="58"/>
      <c r="FC417" s="58"/>
      <c r="FD417" s="58"/>
      <c r="FE417" s="58"/>
      <c r="FF417" s="58"/>
      <c r="FG417" s="58"/>
      <c r="FH417" s="58"/>
      <c r="FI417" s="58"/>
      <c r="FJ417" s="58"/>
      <c r="FK417" s="58"/>
      <c r="FL417" s="58"/>
      <c r="FM417" s="58"/>
      <c r="FN417" s="58"/>
      <c r="FO417" s="58"/>
      <c r="FP417" s="58"/>
      <c r="FQ417" s="58"/>
      <c r="FR417" s="58"/>
      <c r="FS417" s="58"/>
      <c r="FT417" s="58"/>
      <c r="FU417" s="58"/>
      <c r="FV417" s="58"/>
      <c r="FW417" s="58"/>
      <c r="FX417" s="58"/>
      <c r="FY417" s="58"/>
      <c r="FZ417" s="58"/>
      <c r="GA417" s="58"/>
      <c r="GB417" s="58"/>
      <c r="GC417" s="58"/>
      <c r="GD417" s="58"/>
      <c r="GE417" s="58"/>
      <c r="GF417" s="58"/>
      <c r="GG417" s="58"/>
      <c r="GH417" s="58"/>
      <c r="GI417" s="58"/>
      <c r="GJ417" s="58"/>
      <c r="GK417" s="58"/>
    </row>
    <row r="418" spans="1:193" s="74" customFormat="1">
      <c r="A418" s="78"/>
      <c r="B418" s="78"/>
      <c r="C418" s="78"/>
      <c r="D418" s="78"/>
      <c r="E418" s="78"/>
      <c r="F418" s="78"/>
      <c r="G418" s="67"/>
      <c r="H418" s="319"/>
      <c r="I418" s="319"/>
      <c r="J418" s="78"/>
      <c r="K418" s="58"/>
      <c r="L418" s="319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  <c r="EM418" s="58"/>
      <c r="EN418" s="58"/>
      <c r="EO418" s="58"/>
      <c r="EP418" s="58"/>
      <c r="EQ418" s="58"/>
      <c r="ER418" s="58"/>
      <c r="ES418" s="58"/>
      <c r="ET418" s="58"/>
      <c r="EU418" s="58"/>
      <c r="EV418" s="58"/>
      <c r="EW418" s="58"/>
      <c r="EX418" s="58"/>
      <c r="EY418" s="58"/>
      <c r="EZ418" s="58"/>
      <c r="FA418" s="58"/>
      <c r="FB418" s="58"/>
      <c r="FC418" s="58"/>
      <c r="FD418" s="58"/>
      <c r="FE418" s="58"/>
      <c r="FF418" s="58"/>
      <c r="FG418" s="58"/>
      <c r="FH418" s="58"/>
      <c r="FI418" s="58"/>
      <c r="FJ418" s="58"/>
      <c r="FK418" s="58"/>
      <c r="FL418" s="58"/>
      <c r="FM418" s="58"/>
      <c r="FN418" s="58"/>
      <c r="FO418" s="58"/>
      <c r="FP418" s="58"/>
      <c r="FQ418" s="58"/>
      <c r="FR418" s="58"/>
      <c r="FS418" s="58"/>
      <c r="FT418" s="58"/>
      <c r="FU418" s="58"/>
      <c r="FV418" s="58"/>
      <c r="FW418" s="58"/>
      <c r="FX418" s="58"/>
      <c r="FY418" s="58"/>
      <c r="FZ418" s="58"/>
      <c r="GA418" s="58"/>
      <c r="GB418" s="58"/>
      <c r="GC418" s="58"/>
      <c r="GD418" s="58"/>
      <c r="GE418" s="58"/>
      <c r="GF418" s="58"/>
      <c r="GG418" s="58"/>
      <c r="GH418" s="58"/>
      <c r="GI418" s="58"/>
      <c r="GJ418" s="58"/>
      <c r="GK418" s="58"/>
    </row>
    <row r="419" spans="1:193" s="74" customFormat="1">
      <c r="A419" s="78"/>
      <c r="B419" s="78"/>
      <c r="C419" s="78"/>
      <c r="D419" s="78"/>
      <c r="E419" s="78"/>
      <c r="F419" s="78"/>
      <c r="G419" s="67"/>
      <c r="H419" s="319"/>
      <c r="I419" s="319"/>
      <c r="J419" s="78"/>
      <c r="K419" s="58"/>
      <c r="L419" s="319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  <c r="EM419" s="58"/>
      <c r="EN419" s="58"/>
      <c r="EO419" s="58"/>
      <c r="EP419" s="58"/>
      <c r="EQ419" s="58"/>
      <c r="ER419" s="58"/>
      <c r="ES419" s="58"/>
      <c r="ET419" s="58"/>
      <c r="EU419" s="58"/>
      <c r="EV419" s="58"/>
      <c r="EW419" s="58"/>
      <c r="EX419" s="58"/>
      <c r="EY419" s="58"/>
      <c r="EZ419" s="58"/>
      <c r="FA419" s="58"/>
      <c r="FB419" s="58"/>
      <c r="FC419" s="58"/>
      <c r="FD419" s="58"/>
      <c r="FE419" s="58"/>
      <c r="FF419" s="58"/>
      <c r="FG419" s="58"/>
      <c r="FH419" s="58"/>
      <c r="FI419" s="58"/>
      <c r="FJ419" s="58"/>
      <c r="FK419" s="58"/>
      <c r="FL419" s="58"/>
      <c r="FM419" s="58"/>
      <c r="FN419" s="58"/>
      <c r="FO419" s="58"/>
      <c r="FP419" s="58"/>
      <c r="FQ419" s="58"/>
      <c r="FR419" s="58"/>
      <c r="FS419" s="58"/>
      <c r="FT419" s="58"/>
      <c r="FU419" s="58"/>
      <c r="FV419" s="58"/>
      <c r="FW419" s="58"/>
      <c r="FX419" s="58"/>
      <c r="FY419" s="58"/>
      <c r="FZ419" s="58"/>
      <c r="GA419" s="58"/>
      <c r="GB419" s="58"/>
      <c r="GC419" s="58"/>
      <c r="GD419" s="58"/>
      <c r="GE419" s="58"/>
      <c r="GF419" s="58"/>
      <c r="GG419" s="58"/>
      <c r="GH419" s="58"/>
      <c r="GI419" s="58"/>
      <c r="GJ419" s="58"/>
      <c r="GK419" s="58"/>
    </row>
    <row r="420" spans="1:193" s="74" customFormat="1">
      <c r="A420" s="78"/>
      <c r="B420" s="78"/>
      <c r="C420" s="78"/>
      <c r="D420" s="78"/>
      <c r="E420" s="78"/>
      <c r="F420" s="78"/>
      <c r="G420" s="67"/>
      <c r="H420" s="319"/>
      <c r="I420" s="319"/>
      <c r="J420" s="78"/>
      <c r="K420" s="58"/>
      <c r="L420" s="319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  <c r="EM420" s="58"/>
      <c r="EN420" s="58"/>
      <c r="EO420" s="58"/>
      <c r="EP420" s="58"/>
      <c r="EQ420" s="58"/>
      <c r="ER420" s="58"/>
      <c r="ES420" s="58"/>
      <c r="ET420" s="58"/>
      <c r="EU420" s="58"/>
      <c r="EV420" s="58"/>
      <c r="EW420" s="58"/>
      <c r="EX420" s="58"/>
      <c r="EY420" s="58"/>
      <c r="EZ420" s="58"/>
      <c r="FA420" s="58"/>
      <c r="FB420" s="58"/>
      <c r="FC420" s="58"/>
      <c r="FD420" s="58"/>
      <c r="FE420" s="58"/>
      <c r="FF420" s="58"/>
      <c r="FG420" s="58"/>
      <c r="FH420" s="58"/>
      <c r="FI420" s="58"/>
      <c r="FJ420" s="58"/>
      <c r="FK420" s="58"/>
      <c r="FL420" s="58"/>
      <c r="FM420" s="58"/>
      <c r="FN420" s="58"/>
      <c r="FO420" s="58"/>
      <c r="FP420" s="58"/>
      <c r="FQ420" s="58"/>
      <c r="FR420" s="58"/>
      <c r="FS420" s="58"/>
      <c r="FT420" s="58"/>
      <c r="FU420" s="58"/>
      <c r="FV420" s="58"/>
      <c r="FW420" s="58"/>
      <c r="FX420" s="58"/>
      <c r="FY420" s="58"/>
      <c r="FZ420" s="58"/>
      <c r="GA420" s="58"/>
      <c r="GB420" s="58"/>
      <c r="GC420" s="58"/>
      <c r="GD420" s="58"/>
      <c r="GE420" s="58"/>
      <c r="GF420" s="58"/>
      <c r="GG420" s="58"/>
      <c r="GH420" s="58"/>
      <c r="GI420" s="58"/>
      <c r="GJ420" s="58"/>
      <c r="GK420" s="58"/>
    </row>
    <row r="421" spans="1:193" s="74" customFormat="1">
      <c r="A421" s="78"/>
      <c r="B421" s="78"/>
      <c r="C421" s="78"/>
      <c r="D421" s="78"/>
      <c r="E421" s="78"/>
      <c r="F421" s="78"/>
      <c r="G421" s="67"/>
      <c r="H421" s="319"/>
      <c r="I421" s="319"/>
      <c r="J421" s="78"/>
      <c r="K421" s="58"/>
      <c r="L421" s="319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  <c r="EM421" s="58"/>
      <c r="EN421" s="58"/>
      <c r="EO421" s="58"/>
      <c r="EP421" s="58"/>
      <c r="EQ421" s="58"/>
      <c r="ER421" s="58"/>
      <c r="ES421" s="58"/>
      <c r="ET421" s="58"/>
      <c r="EU421" s="58"/>
      <c r="EV421" s="58"/>
      <c r="EW421" s="58"/>
      <c r="EX421" s="58"/>
      <c r="EY421" s="58"/>
      <c r="EZ421" s="58"/>
      <c r="FA421" s="58"/>
      <c r="FB421" s="58"/>
      <c r="FC421" s="58"/>
      <c r="FD421" s="58"/>
      <c r="FE421" s="58"/>
      <c r="FF421" s="58"/>
      <c r="FG421" s="58"/>
      <c r="FH421" s="58"/>
      <c r="FI421" s="58"/>
      <c r="FJ421" s="58"/>
      <c r="FK421" s="58"/>
      <c r="FL421" s="58"/>
      <c r="FM421" s="58"/>
      <c r="FN421" s="58"/>
      <c r="FO421" s="58"/>
      <c r="FP421" s="58"/>
      <c r="FQ421" s="58"/>
      <c r="FR421" s="58"/>
      <c r="FS421" s="58"/>
      <c r="FT421" s="58"/>
      <c r="FU421" s="58"/>
      <c r="FV421" s="58"/>
      <c r="FW421" s="58"/>
      <c r="FX421" s="58"/>
      <c r="FY421" s="58"/>
      <c r="FZ421" s="58"/>
      <c r="GA421" s="58"/>
      <c r="GB421" s="58"/>
      <c r="GC421" s="58"/>
      <c r="GD421" s="58"/>
      <c r="GE421" s="58"/>
      <c r="GF421" s="58"/>
      <c r="GG421" s="58"/>
      <c r="GH421" s="58"/>
      <c r="GI421" s="58"/>
      <c r="GJ421" s="58"/>
      <c r="GK421" s="58"/>
    </row>
    <row r="422" spans="1:193" s="74" customFormat="1">
      <c r="A422" s="78"/>
      <c r="B422" s="78"/>
      <c r="C422" s="78"/>
      <c r="D422" s="78"/>
      <c r="E422" s="78"/>
      <c r="F422" s="78"/>
      <c r="G422" s="67"/>
      <c r="H422" s="319"/>
      <c r="I422" s="319"/>
      <c r="J422" s="78"/>
      <c r="K422" s="58"/>
      <c r="L422" s="319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  <c r="EN422" s="58"/>
      <c r="EO422" s="58"/>
      <c r="EP422" s="58"/>
      <c r="EQ422" s="58"/>
      <c r="ER422" s="58"/>
      <c r="ES422" s="58"/>
      <c r="ET422" s="58"/>
      <c r="EU422" s="58"/>
      <c r="EV422" s="58"/>
      <c r="EW422" s="58"/>
      <c r="EX422" s="58"/>
      <c r="EY422" s="58"/>
      <c r="EZ422" s="58"/>
      <c r="FA422" s="58"/>
      <c r="FB422" s="58"/>
      <c r="FC422" s="58"/>
      <c r="FD422" s="58"/>
      <c r="FE422" s="58"/>
      <c r="FF422" s="58"/>
      <c r="FG422" s="58"/>
      <c r="FH422" s="58"/>
      <c r="FI422" s="58"/>
      <c r="FJ422" s="58"/>
      <c r="FK422" s="58"/>
      <c r="FL422" s="58"/>
      <c r="FM422" s="58"/>
      <c r="FN422" s="58"/>
      <c r="FO422" s="58"/>
      <c r="FP422" s="58"/>
      <c r="FQ422" s="58"/>
      <c r="FR422" s="58"/>
      <c r="FS422" s="58"/>
      <c r="FT422" s="58"/>
      <c r="FU422" s="58"/>
      <c r="FV422" s="58"/>
      <c r="FW422" s="58"/>
      <c r="FX422" s="58"/>
      <c r="FY422" s="58"/>
      <c r="FZ422" s="58"/>
      <c r="GA422" s="58"/>
      <c r="GB422" s="58"/>
      <c r="GC422" s="58"/>
      <c r="GD422" s="58"/>
      <c r="GE422" s="58"/>
      <c r="GF422" s="58"/>
      <c r="GG422" s="58"/>
      <c r="GH422" s="58"/>
      <c r="GI422" s="58"/>
      <c r="GJ422" s="58"/>
      <c r="GK422" s="58"/>
    </row>
    <row r="423" spans="1:193" s="74" customFormat="1">
      <c r="A423" s="78"/>
      <c r="B423" s="78"/>
      <c r="C423" s="78"/>
      <c r="D423" s="78"/>
      <c r="E423" s="78"/>
      <c r="F423" s="78"/>
      <c r="G423" s="67"/>
      <c r="H423" s="319"/>
      <c r="I423" s="319"/>
      <c r="J423" s="78"/>
      <c r="K423" s="58"/>
      <c r="L423" s="319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  <c r="EM423" s="58"/>
      <c r="EN423" s="58"/>
      <c r="EO423" s="58"/>
      <c r="EP423" s="58"/>
      <c r="EQ423" s="58"/>
      <c r="ER423" s="58"/>
      <c r="ES423" s="58"/>
      <c r="ET423" s="58"/>
      <c r="EU423" s="58"/>
      <c r="EV423" s="58"/>
      <c r="EW423" s="58"/>
      <c r="EX423" s="58"/>
      <c r="EY423" s="58"/>
      <c r="EZ423" s="58"/>
      <c r="FA423" s="58"/>
      <c r="FB423" s="58"/>
      <c r="FC423" s="58"/>
      <c r="FD423" s="58"/>
      <c r="FE423" s="58"/>
      <c r="FF423" s="58"/>
      <c r="FG423" s="58"/>
      <c r="FH423" s="58"/>
      <c r="FI423" s="58"/>
      <c r="FJ423" s="58"/>
      <c r="FK423" s="58"/>
      <c r="FL423" s="58"/>
      <c r="FM423" s="58"/>
      <c r="FN423" s="58"/>
      <c r="FO423" s="58"/>
      <c r="FP423" s="58"/>
      <c r="FQ423" s="58"/>
      <c r="FR423" s="58"/>
      <c r="FS423" s="58"/>
      <c r="FT423" s="58"/>
      <c r="FU423" s="58"/>
      <c r="FV423" s="58"/>
      <c r="FW423" s="58"/>
      <c r="FX423" s="58"/>
      <c r="FY423" s="58"/>
      <c r="FZ423" s="58"/>
      <c r="GA423" s="58"/>
      <c r="GB423" s="58"/>
      <c r="GC423" s="58"/>
      <c r="GD423" s="58"/>
      <c r="GE423" s="58"/>
      <c r="GF423" s="58"/>
      <c r="GG423" s="58"/>
      <c r="GH423" s="58"/>
      <c r="GI423" s="58"/>
      <c r="GJ423" s="58"/>
      <c r="GK423" s="58"/>
    </row>
    <row r="424" spans="1:193" s="74" customFormat="1">
      <c r="A424" s="78"/>
      <c r="B424" s="78"/>
      <c r="C424" s="78"/>
      <c r="D424" s="78"/>
      <c r="E424" s="78"/>
      <c r="F424" s="78"/>
      <c r="G424" s="67"/>
      <c r="H424" s="319"/>
      <c r="I424" s="319"/>
      <c r="J424" s="78"/>
      <c r="K424" s="58"/>
      <c r="L424" s="319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  <c r="EN424" s="58"/>
      <c r="EO424" s="58"/>
      <c r="EP424" s="58"/>
      <c r="EQ424" s="58"/>
      <c r="ER424" s="58"/>
      <c r="ES424" s="58"/>
      <c r="ET424" s="58"/>
      <c r="EU424" s="58"/>
      <c r="EV424" s="58"/>
      <c r="EW424" s="58"/>
      <c r="EX424" s="58"/>
      <c r="EY424" s="58"/>
      <c r="EZ424" s="58"/>
      <c r="FA424" s="58"/>
      <c r="FB424" s="58"/>
      <c r="FC424" s="58"/>
      <c r="FD424" s="58"/>
      <c r="FE424" s="58"/>
      <c r="FF424" s="58"/>
      <c r="FG424" s="58"/>
      <c r="FH424" s="58"/>
      <c r="FI424" s="58"/>
      <c r="FJ424" s="58"/>
      <c r="FK424" s="58"/>
      <c r="FL424" s="58"/>
      <c r="FM424" s="58"/>
      <c r="FN424" s="58"/>
      <c r="FO424" s="58"/>
      <c r="FP424" s="58"/>
      <c r="FQ424" s="58"/>
      <c r="FR424" s="58"/>
      <c r="FS424" s="58"/>
      <c r="FT424" s="58"/>
      <c r="FU424" s="58"/>
      <c r="FV424" s="58"/>
      <c r="FW424" s="58"/>
      <c r="FX424" s="58"/>
      <c r="FY424" s="58"/>
      <c r="FZ424" s="58"/>
      <c r="GA424" s="58"/>
      <c r="GB424" s="58"/>
      <c r="GC424" s="58"/>
      <c r="GD424" s="58"/>
      <c r="GE424" s="58"/>
      <c r="GF424" s="58"/>
      <c r="GG424" s="58"/>
      <c r="GH424" s="58"/>
      <c r="GI424" s="58"/>
      <c r="GJ424" s="58"/>
      <c r="GK424" s="58"/>
    </row>
    <row r="425" spans="1:193" s="74" customFormat="1">
      <c r="A425" s="78"/>
      <c r="B425" s="78"/>
      <c r="C425" s="78"/>
      <c r="D425" s="78"/>
      <c r="E425" s="78"/>
      <c r="F425" s="78"/>
      <c r="G425" s="67"/>
      <c r="H425" s="319"/>
      <c r="I425" s="319"/>
      <c r="J425" s="78"/>
      <c r="K425" s="58"/>
      <c r="L425" s="319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  <c r="EN425" s="58"/>
      <c r="EO425" s="58"/>
      <c r="EP425" s="58"/>
      <c r="EQ425" s="58"/>
      <c r="ER425" s="58"/>
      <c r="ES425" s="58"/>
      <c r="ET425" s="58"/>
      <c r="EU425" s="58"/>
      <c r="EV425" s="58"/>
      <c r="EW425" s="58"/>
      <c r="EX425" s="58"/>
      <c r="EY425" s="58"/>
      <c r="EZ425" s="58"/>
      <c r="FA425" s="58"/>
      <c r="FB425" s="58"/>
      <c r="FC425" s="58"/>
      <c r="FD425" s="58"/>
      <c r="FE425" s="58"/>
      <c r="FF425" s="58"/>
      <c r="FG425" s="58"/>
      <c r="FH425" s="58"/>
      <c r="FI425" s="58"/>
      <c r="FJ425" s="58"/>
      <c r="FK425" s="58"/>
      <c r="FL425" s="58"/>
      <c r="FM425" s="58"/>
      <c r="FN425" s="58"/>
      <c r="FO425" s="58"/>
      <c r="FP425" s="58"/>
      <c r="FQ425" s="58"/>
      <c r="FR425" s="58"/>
      <c r="FS425" s="58"/>
      <c r="FT425" s="58"/>
      <c r="FU425" s="58"/>
      <c r="FV425" s="58"/>
      <c r="FW425" s="58"/>
      <c r="FX425" s="58"/>
      <c r="FY425" s="58"/>
      <c r="FZ425" s="58"/>
      <c r="GA425" s="58"/>
      <c r="GB425" s="58"/>
      <c r="GC425" s="58"/>
      <c r="GD425" s="58"/>
      <c r="GE425" s="58"/>
      <c r="GF425" s="58"/>
      <c r="GG425" s="58"/>
      <c r="GH425" s="58"/>
      <c r="GI425" s="58"/>
      <c r="GJ425" s="58"/>
      <c r="GK425" s="58"/>
    </row>
    <row r="426" spans="1:193" s="74" customFormat="1">
      <c r="A426" s="78"/>
      <c r="B426" s="78"/>
      <c r="C426" s="78"/>
      <c r="D426" s="78"/>
      <c r="E426" s="78"/>
      <c r="F426" s="78"/>
      <c r="G426" s="67"/>
      <c r="H426" s="319"/>
      <c r="I426" s="319"/>
      <c r="J426" s="78"/>
      <c r="K426" s="58"/>
      <c r="L426" s="319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  <c r="EN426" s="58"/>
      <c r="EO426" s="58"/>
      <c r="EP426" s="58"/>
      <c r="EQ426" s="58"/>
      <c r="ER426" s="58"/>
      <c r="ES426" s="58"/>
      <c r="ET426" s="58"/>
      <c r="EU426" s="58"/>
      <c r="EV426" s="58"/>
      <c r="EW426" s="58"/>
      <c r="EX426" s="58"/>
      <c r="EY426" s="58"/>
      <c r="EZ426" s="58"/>
      <c r="FA426" s="58"/>
      <c r="FB426" s="58"/>
      <c r="FC426" s="58"/>
      <c r="FD426" s="58"/>
      <c r="FE426" s="58"/>
      <c r="FF426" s="58"/>
      <c r="FG426" s="58"/>
      <c r="FH426" s="58"/>
      <c r="FI426" s="58"/>
      <c r="FJ426" s="58"/>
      <c r="FK426" s="58"/>
      <c r="FL426" s="58"/>
      <c r="FM426" s="58"/>
      <c r="FN426" s="58"/>
      <c r="FO426" s="58"/>
      <c r="FP426" s="58"/>
      <c r="FQ426" s="58"/>
      <c r="FR426" s="58"/>
      <c r="FS426" s="58"/>
      <c r="FT426" s="58"/>
      <c r="FU426" s="58"/>
      <c r="FV426" s="58"/>
      <c r="FW426" s="58"/>
      <c r="FX426" s="58"/>
      <c r="FY426" s="58"/>
      <c r="FZ426" s="58"/>
      <c r="GA426" s="58"/>
      <c r="GB426" s="58"/>
      <c r="GC426" s="58"/>
      <c r="GD426" s="58"/>
      <c r="GE426" s="58"/>
      <c r="GF426" s="58"/>
      <c r="GG426" s="58"/>
      <c r="GH426" s="58"/>
      <c r="GI426" s="58"/>
      <c r="GJ426" s="58"/>
      <c r="GK426" s="58"/>
    </row>
    <row r="427" spans="1:193" s="74" customFormat="1">
      <c r="A427" s="78"/>
      <c r="B427" s="78"/>
      <c r="C427" s="78"/>
      <c r="D427" s="78"/>
      <c r="E427" s="78"/>
      <c r="F427" s="78"/>
      <c r="G427" s="67"/>
      <c r="H427" s="319"/>
      <c r="I427" s="319"/>
      <c r="J427" s="78"/>
      <c r="K427" s="58"/>
      <c r="L427" s="319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  <c r="EN427" s="58"/>
      <c r="EO427" s="58"/>
      <c r="EP427" s="58"/>
      <c r="EQ427" s="58"/>
      <c r="ER427" s="58"/>
      <c r="ES427" s="58"/>
      <c r="ET427" s="58"/>
      <c r="EU427" s="58"/>
      <c r="EV427" s="58"/>
      <c r="EW427" s="58"/>
      <c r="EX427" s="58"/>
      <c r="EY427" s="58"/>
      <c r="EZ427" s="58"/>
      <c r="FA427" s="58"/>
      <c r="FB427" s="58"/>
      <c r="FC427" s="58"/>
      <c r="FD427" s="58"/>
      <c r="FE427" s="58"/>
      <c r="FF427" s="58"/>
      <c r="FG427" s="58"/>
      <c r="FH427" s="58"/>
      <c r="FI427" s="58"/>
      <c r="FJ427" s="58"/>
      <c r="FK427" s="58"/>
      <c r="FL427" s="58"/>
      <c r="FM427" s="58"/>
      <c r="FN427" s="58"/>
      <c r="FO427" s="58"/>
      <c r="FP427" s="58"/>
      <c r="FQ427" s="58"/>
      <c r="FR427" s="58"/>
      <c r="FS427" s="58"/>
      <c r="FT427" s="58"/>
      <c r="FU427" s="58"/>
      <c r="FV427" s="58"/>
      <c r="FW427" s="58"/>
      <c r="FX427" s="58"/>
      <c r="FY427" s="58"/>
      <c r="FZ427" s="58"/>
      <c r="GA427" s="58"/>
      <c r="GB427" s="58"/>
      <c r="GC427" s="58"/>
      <c r="GD427" s="58"/>
      <c r="GE427" s="58"/>
      <c r="GF427" s="58"/>
      <c r="GG427" s="58"/>
      <c r="GH427" s="58"/>
      <c r="GI427" s="58"/>
      <c r="GJ427" s="58"/>
      <c r="GK427" s="58"/>
    </row>
    <row r="428" spans="1:193" s="74" customFormat="1">
      <c r="A428" s="78"/>
      <c r="B428" s="78"/>
      <c r="C428" s="78"/>
      <c r="D428" s="78"/>
      <c r="E428" s="78"/>
      <c r="F428" s="78"/>
      <c r="G428" s="67"/>
      <c r="H428" s="319"/>
      <c r="I428" s="319"/>
      <c r="J428" s="78"/>
      <c r="K428" s="58"/>
      <c r="L428" s="319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  <c r="EN428" s="58"/>
      <c r="EO428" s="58"/>
      <c r="EP428" s="58"/>
      <c r="EQ428" s="58"/>
      <c r="ER428" s="58"/>
      <c r="ES428" s="58"/>
      <c r="ET428" s="58"/>
      <c r="EU428" s="58"/>
      <c r="EV428" s="58"/>
      <c r="EW428" s="58"/>
      <c r="EX428" s="58"/>
      <c r="EY428" s="58"/>
      <c r="EZ428" s="58"/>
      <c r="FA428" s="58"/>
      <c r="FB428" s="58"/>
      <c r="FC428" s="58"/>
      <c r="FD428" s="58"/>
      <c r="FE428" s="58"/>
      <c r="FF428" s="58"/>
      <c r="FG428" s="58"/>
      <c r="FH428" s="58"/>
      <c r="FI428" s="58"/>
      <c r="FJ428" s="58"/>
      <c r="FK428" s="58"/>
      <c r="FL428" s="58"/>
      <c r="FM428" s="58"/>
      <c r="FN428" s="58"/>
      <c r="FO428" s="58"/>
      <c r="FP428" s="58"/>
      <c r="FQ428" s="58"/>
      <c r="FR428" s="58"/>
      <c r="FS428" s="58"/>
      <c r="FT428" s="58"/>
      <c r="FU428" s="58"/>
      <c r="FV428" s="58"/>
      <c r="FW428" s="58"/>
      <c r="FX428" s="58"/>
      <c r="FY428" s="58"/>
      <c r="FZ428" s="58"/>
      <c r="GA428" s="58"/>
      <c r="GB428" s="58"/>
      <c r="GC428" s="58"/>
      <c r="GD428" s="58"/>
      <c r="GE428" s="58"/>
      <c r="GF428" s="58"/>
      <c r="GG428" s="58"/>
      <c r="GH428" s="58"/>
      <c r="GI428" s="58"/>
      <c r="GJ428" s="58"/>
      <c r="GK428" s="58"/>
    </row>
    <row r="429" spans="1:193" s="74" customFormat="1">
      <c r="A429" s="78"/>
      <c r="B429" s="78"/>
      <c r="C429" s="78"/>
      <c r="D429" s="78"/>
      <c r="E429" s="78"/>
      <c r="F429" s="78"/>
      <c r="G429" s="67"/>
      <c r="H429" s="319"/>
      <c r="I429" s="319"/>
      <c r="J429" s="78"/>
      <c r="K429" s="58"/>
      <c r="L429" s="319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  <c r="EN429" s="58"/>
      <c r="EO429" s="58"/>
      <c r="EP429" s="58"/>
      <c r="EQ429" s="58"/>
      <c r="ER429" s="58"/>
      <c r="ES429" s="58"/>
      <c r="ET429" s="58"/>
      <c r="EU429" s="58"/>
      <c r="EV429" s="58"/>
      <c r="EW429" s="58"/>
      <c r="EX429" s="58"/>
      <c r="EY429" s="58"/>
      <c r="EZ429" s="58"/>
      <c r="FA429" s="58"/>
      <c r="FB429" s="58"/>
      <c r="FC429" s="58"/>
      <c r="FD429" s="58"/>
      <c r="FE429" s="58"/>
      <c r="FF429" s="58"/>
      <c r="FG429" s="58"/>
      <c r="FH429" s="58"/>
      <c r="FI429" s="58"/>
      <c r="FJ429" s="58"/>
      <c r="FK429" s="58"/>
      <c r="FL429" s="58"/>
      <c r="FM429" s="58"/>
      <c r="FN429" s="58"/>
      <c r="FO429" s="58"/>
      <c r="FP429" s="58"/>
      <c r="FQ429" s="58"/>
      <c r="FR429" s="58"/>
      <c r="FS429" s="58"/>
      <c r="FT429" s="58"/>
      <c r="FU429" s="58"/>
      <c r="FV429" s="58"/>
      <c r="FW429" s="58"/>
      <c r="FX429" s="58"/>
      <c r="FY429" s="58"/>
      <c r="FZ429" s="58"/>
      <c r="GA429" s="58"/>
      <c r="GB429" s="58"/>
      <c r="GC429" s="58"/>
      <c r="GD429" s="58"/>
      <c r="GE429" s="58"/>
      <c r="GF429" s="58"/>
      <c r="GG429" s="58"/>
      <c r="GH429" s="58"/>
      <c r="GI429" s="58"/>
      <c r="GJ429" s="58"/>
      <c r="GK429" s="58"/>
    </row>
    <row r="430" spans="1:193" s="74" customFormat="1">
      <c r="A430" s="78"/>
      <c r="B430" s="78"/>
      <c r="C430" s="78"/>
      <c r="D430" s="78"/>
      <c r="E430" s="78"/>
      <c r="F430" s="78"/>
      <c r="G430" s="67"/>
      <c r="H430" s="319"/>
      <c r="I430" s="319"/>
      <c r="J430" s="78"/>
      <c r="K430" s="58"/>
      <c r="L430" s="319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  <c r="EN430" s="58"/>
      <c r="EO430" s="58"/>
      <c r="EP430" s="58"/>
      <c r="EQ430" s="58"/>
      <c r="ER430" s="58"/>
      <c r="ES430" s="58"/>
      <c r="ET430" s="58"/>
      <c r="EU430" s="58"/>
      <c r="EV430" s="58"/>
      <c r="EW430" s="58"/>
      <c r="EX430" s="58"/>
      <c r="EY430" s="58"/>
      <c r="EZ430" s="58"/>
      <c r="FA430" s="58"/>
      <c r="FB430" s="58"/>
      <c r="FC430" s="58"/>
      <c r="FD430" s="58"/>
      <c r="FE430" s="58"/>
      <c r="FF430" s="58"/>
      <c r="FG430" s="58"/>
      <c r="FH430" s="58"/>
      <c r="FI430" s="58"/>
      <c r="FJ430" s="58"/>
      <c r="FK430" s="58"/>
      <c r="FL430" s="58"/>
      <c r="FM430" s="58"/>
      <c r="FN430" s="58"/>
      <c r="FO430" s="58"/>
      <c r="FP430" s="58"/>
      <c r="FQ430" s="58"/>
      <c r="FR430" s="58"/>
      <c r="FS430" s="58"/>
      <c r="FT430" s="58"/>
      <c r="FU430" s="58"/>
      <c r="FV430" s="58"/>
      <c r="FW430" s="58"/>
      <c r="FX430" s="58"/>
      <c r="FY430" s="58"/>
      <c r="FZ430" s="58"/>
      <c r="GA430" s="58"/>
      <c r="GB430" s="58"/>
      <c r="GC430" s="58"/>
      <c r="GD430" s="58"/>
      <c r="GE430" s="58"/>
      <c r="GF430" s="58"/>
      <c r="GG430" s="58"/>
      <c r="GH430" s="58"/>
      <c r="GI430" s="58"/>
      <c r="GJ430" s="58"/>
      <c r="GK430" s="58"/>
    </row>
    <row r="431" spans="1:193" s="74" customFormat="1">
      <c r="A431" s="78"/>
      <c r="B431" s="78"/>
      <c r="C431" s="78"/>
      <c r="D431" s="78"/>
      <c r="E431" s="78"/>
      <c r="F431" s="78"/>
      <c r="G431" s="67"/>
      <c r="H431" s="319"/>
      <c r="I431" s="319"/>
      <c r="J431" s="78"/>
      <c r="K431" s="58"/>
      <c r="L431" s="319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  <c r="EN431" s="58"/>
      <c r="EO431" s="58"/>
      <c r="EP431" s="58"/>
      <c r="EQ431" s="58"/>
      <c r="ER431" s="58"/>
      <c r="ES431" s="58"/>
      <c r="ET431" s="58"/>
      <c r="EU431" s="58"/>
      <c r="EV431" s="58"/>
      <c r="EW431" s="58"/>
      <c r="EX431" s="58"/>
      <c r="EY431" s="58"/>
      <c r="EZ431" s="58"/>
      <c r="FA431" s="58"/>
      <c r="FB431" s="58"/>
      <c r="FC431" s="58"/>
      <c r="FD431" s="58"/>
      <c r="FE431" s="58"/>
      <c r="FF431" s="58"/>
      <c r="FG431" s="58"/>
      <c r="FH431" s="58"/>
      <c r="FI431" s="58"/>
      <c r="FJ431" s="58"/>
      <c r="FK431" s="58"/>
      <c r="FL431" s="58"/>
      <c r="FM431" s="58"/>
      <c r="FN431" s="58"/>
      <c r="FO431" s="58"/>
      <c r="FP431" s="58"/>
      <c r="FQ431" s="58"/>
      <c r="FR431" s="58"/>
      <c r="FS431" s="58"/>
      <c r="FT431" s="58"/>
      <c r="FU431" s="58"/>
      <c r="FV431" s="58"/>
      <c r="FW431" s="58"/>
      <c r="FX431" s="58"/>
      <c r="FY431" s="58"/>
      <c r="FZ431" s="58"/>
      <c r="GA431" s="58"/>
      <c r="GB431" s="58"/>
      <c r="GC431" s="58"/>
      <c r="GD431" s="58"/>
      <c r="GE431" s="58"/>
      <c r="GF431" s="58"/>
      <c r="GG431" s="58"/>
      <c r="GH431" s="58"/>
      <c r="GI431" s="58"/>
      <c r="GJ431" s="58"/>
      <c r="GK431" s="58"/>
    </row>
    <row r="432" spans="1:193" s="74" customFormat="1">
      <c r="A432" s="78"/>
      <c r="B432" s="78"/>
      <c r="C432" s="78"/>
      <c r="D432" s="78"/>
      <c r="E432" s="78"/>
      <c r="F432" s="78"/>
      <c r="G432" s="67"/>
      <c r="H432" s="319"/>
      <c r="I432" s="319"/>
      <c r="J432" s="78"/>
      <c r="K432" s="58"/>
      <c r="L432" s="319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  <c r="EN432" s="58"/>
      <c r="EO432" s="58"/>
      <c r="EP432" s="58"/>
      <c r="EQ432" s="58"/>
      <c r="ER432" s="58"/>
      <c r="ES432" s="58"/>
      <c r="ET432" s="58"/>
      <c r="EU432" s="58"/>
      <c r="EV432" s="58"/>
      <c r="EW432" s="58"/>
      <c r="EX432" s="58"/>
      <c r="EY432" s="58"/>
      <c r="EZ432" s="58"/>
      <c r="FA432" s="58"/>
      <c r="FB432" s="58"/>
      <c r="FC432" s="58"/>
      <c r="FD432" s="58"/>
      <c r="FE432" s="58"/>
      <c r="FF432" s="58"/>
      <c r="FG432" s="58"/>
      <c r="FH432" s="58"/>
      <c r="FI432" s="58"/>
      <c r="FJ432" s="58"/>
      <c r="FK432" s="58"/>
      <c r="FL432" s="58"/>
      <c r="FM432" s="58"/>
      <c r="FN432" s="58"/>
      <c r="FO432" s="58"/>
      <c r="FP432" s="58"/>
      <c r="FQ432" s="58"/>
      <c r="FR432" s="58"/>
      <c r="FS432" s="58"/>
      <c r="FT432" s="58"/>
      <c r="FU432" s="58"/>
      <c r="FV432" s="58"/>
      <c r="FW432" s="58"/>
      <c r="FX432" s="58"/>
      <c r="FY432" s="58"/>
      <c r="FZ432" s="58"/>
      <c r="GA432" s="58"/>
      <c r="GB432" s="58"/>
      <c r="GC432" s="58"/>
      <c r="GD432" s="58"/>
      <c r="GE432" s="58"/>
      <c r="GF432" s="58"/>
      <c r="GG432" s="58"/>
      <c r="GH432" s="58"/>
      <c r="GI432" s="58"/>
      <c r="GJ432" s="58"/>
      <c r="GK432" s="58"/>
    </row>
    <row r="433" spans="1:193" s="74" customFormat="1">
      <c r="A433" s="78"/>
      <c r="B433" s="78"/>
      <c r="C433" s="78"/>
      <c r="D433" s="78"/>
      <c r="E433" s="78"/>
      <c r="F433" s="78"/>
      <c r="G433" s="67"/>
      <c r="H433" s="319"/>
      <c r="I433" s="319"/>
      <c r="J433" s="78"/>
      <c r="K433" s="58"/>
      <c r="L433" s="319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  <c r="EN433" s="58"/>
      <c r="EO433" s="58"/>
      <c r="EP433" s="58"/>
      <c r="EQ433" s="58"/>
      <c r="ER433" s="58"/>
      <c r="ES433" s="58"/>
      <c r="ET433" s="58"/>
      <c r="EU433" s="58"/>
      <c r="EV433" s="58"/>
      <c r="EW433" s="58"/>
      <c r="EX433" s="58"/>
      <c r="EY433" s="58"/>
      <c r="EZ433" s="58"/>
      <c r="FA433" s="58"/>
      <c r="FB433" s="58"/>
      <c r="FC433" s="58"/>
      <c r="FD433" s="58"/>
      <c r="FE433" s="58"/>
      <c r="FF433" s="58"/>
      <c r="FG433" s="58"/>
      <c r="FH433" s="58"/>
      <c r="FI433" s="58"/>
      <c r="FJ433" s="58"/>
      <c r="FK433" s="58"/>
      <c r="FL433" s="58"/>
      <c r="FM433" s="58"/>
      <c r="FN433" s="58"/>
      <c r="FO433" s="58"/>
      <c r="FP433" s="58"/>
      <c r="FQ433" s="58"/>
      <c r="FR433" s="58"/>
      <c r="FS433" s="58"/>
      <c r="FT433" s="58"/>
      <c r="FU433" s="58"/>
      <c r="FV433" s="58"/>
      <c r="FW433" s="58"/>
      <c r="FX433" s="58"/>
      <c r="FY433" s="58"/>
      <c r="FZ433" s="58"/>
      <c r="GA433" s="58"/>
      <c r="GB433" s="58"/>
      <c r="GC433" s="58"/>
      <c r="GD433" s="58"/>
      <c r="GE433" s="58"/>
      <c r="GF433" s="58"/>
      <c r="GG433" s="58"/>
      <c r="GH433" s="58"/>
      <c r="GI433" s="58"/>
      <c r="GJ433" s="58"/>
      <c r="GK433" s="58"/>
    </row>
    <row r="434" spans="1:193" s="74" customFormat="1">
      <c r="A434" s="78"/>
      <c r="B434" s="78"/>
      <c r="C434" s="78"/>
      <c r="D434" s="78"/>
      <c r="E434" s="78"/>
      <c r="F434" s="78"/>
      <c r="G434" s="67"/>
      <c r="H434" s="319"/>
      <c r="I434" s="319"/>
      <c r="J434" s="78"/>
      <c r="K434" s="58"/>
      <c r="L434" s="319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  <c r="EN434" s="58"/>
      <c r="EO434" s="58"/>
      <c r="EP434" s="58"/>
      <c r="EQ434" s="58"/>
      <c r="ER434" s="58"/>
      <c r="ES434" s="58"/>
      <c r="ET434" s="58"/>
      <c r="EU434" s="58"/>
      <c r="EV434" s="58"/>
      <c r="EW434" s="58"/>
      <c r="EX434" s="58"/>
      <c r="EY434" s="58"/>
      <c r="EZ434" s="58"/>
      <c r="FA434" s="58"/>
      <c r="FB434" s="58"/>
      <c r="FC434" s="58"/>
      <c r="FD434" s="58"/>
      <c r="FE434" s="58"/>
      <c r="FF434" s="58"/>
      <c r="FG434" s="58"/>
      <c r="FH434" s="58"/>
      <c r="FI434" s="58"/>
      <c r="FJ434" s="58"/>
      <c r="FK434" s="58"/>
      <c r="FL434" s="58"/>
      <c r="FM434" s="58"/>
      <c r="FN434" s="58"/>
      <c r="FO434" s="58"/>
      <c r="FP434" s="58"/>
      <c r="FQ434" s="58"/>
      <c r="FR434" s="58"/>
      <c r="FS434" s="58"/>
      <c r="FT434" s="58"/>
      <c r="FU434" s="58"/>
      <c r="FV434" s="58"/>
      <c r="FW434" s="58"/>
      <c r="FX434" s="58"/>
      <c r="FY434" s="58"/>
      <c r="FZ434" s="58"/>
      <c r="GA434" s="58"/>
      <c r="GB434" s="58"/>
      <c r="GC434" s="58"/>
      <c r="GD434" s="58"/>
      <c r="GE434" s="58"/>
      <c r="GF434" s="58"/>
      <c r="GG434" s="58"/>
      <c r="GH434" s="58"/>
      <c r="GI434" s="58"/>
      <c r="GJ434" s="58"/>
      <c r="GK434" s="58"/>
    </row>
    <row r="435" spans="1:193" s="74" customFormat="1">
      <c r="A435" s="78"/>
      <c r="B435" s="78"/>
      <c r="C435" s="78"/>
      <c r="D435" s="78"/>
      <c r="E435" s="78"/>
      <c r="F435" s="78"/>
      <c r="G435" s="67"/>
      <c r="H435" s="319"/>
      <c r="I435" s="319"/>
      <c r="J435" s="78"/>
      <c r="K435" s="58"/>
      <c r="L435" s="319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  <c r="EM435" s="58"/>
      <c r="EN435" s="58"/>
      <c r="EO435" s="58"/>
      <c r="EP435" s="58"/>
      <c r="EQ435" s="58"/>
      <c r="ER435" s="58"/>
      <c r="ES435" s="58"/>
      <c r="ET435" s="58"/>
      <c r="EU435" s="58"/>
      <c r="EV435" s="58"/>
      <c r="EW435" s="58"/>
      <c r="EX435" s="58"/>
      <c r="EY435" s="58"/>
      <c r="EZ435" s="58"/>
      <c r="FA435" s="58"/>
      <c r="FB435" s="58"/>
      <c r="FC435" s="58"/>
      <c r="FD435" s="58"/>
      <c r="FE435" s="58"/>
      <c r="FF435" s="58"/>
      <c r="FG435" s="58"/>
      <c r="FH435" s="58"/>
      <c r="FI435" s="58"/>
      <c r="FJ435" s="58"/>
      <c r="FK435" s="58"/>
      <c r="FL435" s="58"/>
      <c r="FM435" s="58"/>
      <c r="FN435" s="58"/>
      <c r="FO435" s="58"/>
      <c r="FP435" s="58"/>
      <c r="FQ435" s="58"/>
      <c r="FR435" s="58"/>
      <c r="FS435" s="58"/>
      <c r="FT435" s="58"/>
      <c r="FU435" s="58"/>
      <c r="FV435" s="58"/>
      <c r="FW435" s="58"/>
      <c r="FX435" s="58"/>
      <c r="FY435" s="58"/>
      <c r="FZ435" s="58"/>
      <c r="GA435" s="58"/>
      <c r="GB435" s="58"/>
      <c r="GC435" s="58"/>
      <c r="GD435" s="58"/>
      <c r="GE435" s="58"/>
      <c r="GF435" s="58"/>
      <c r="GG435" s="58"/>
      <c r="GH435" s="58"/>
      <c r="GI435" s="58"/>
      <c r="GJ435" s="58"/>
      <c r="GK435" s="58"/>
    </row>
    <row r="436" spans="1:193" s="74" customFormat="1">
      <c r="A436" s="78"/>
      <c r="B436" s="78"/>
      <c r="C436" s="78"/>
      <c r="D436" s="78"/>
      <c r="E436" s="78"/>
      <c r="F436" s="78"/>
      <c r="G436" s="67"/>
      <c r="H436" s="319"/>
      <c r="I436" s="319"/>
      <c r="J436" s="78"/>
      <c r="K436" s="58"/>
      <c r="L436" s="319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  <c r="EM436" s="58"/>
      <c r="EN436" s="58"/>
      <c r="EO436" s="58"/>
      <c r="EP436" s="58"/>
      <c r="EQ436" s="58"/>
      <c r="ER436" s="58"/>
      <c r="ES436" s="58"/>
      <c r="ET436" s="58"/>
      <c r="EU436" s="58"/>
      <c r="EV436" s="58"/>
      <c r="EW436" s="58"/>
      <c r="EX436" s="58"/>
      <c r="EY436" s="58"/>
      <c r="EZ436" s="58"/>
      <c r="FA436" s="58"/>
      <c r="FB436" s="58"/>
      <c r="FC436" s="58"/>
      <c r="FD436" s="58"/>
      <c r="FE436" s="58"/>
      <c r="FF436" s="58"/>
      <c r="FG436" s="58"/>
      <c r="FH436" s="58"/>
      <c r="FI436" s="58"/>
      <c r="FJ436" s="58"/>
      <c r="FK436" s="58"/>
      <c r="FL436" s="58"/>
      <c r="FM436" s="58"/>
      <c r="FN436" s="58"/>
      <c r="FO436" s="58"/>
      <c r="FP436" s="58"/>
      <c r="FQ436" s="58"/>
      <c r="FR436" s="58"/>
      <c r="FS436" s="58"/>
      <c r="FT436" s="58"/>
      <c r="FU436" s="58"/>
      <c r="FV436" s="58"/>
      <c r="FW436" s="58"/>
      <c r="FX436" s="58"/>
      <c r="FY436" s="58"/>
      <c r="FZ436" s="58"/>
      <c r="GA436" s="58"/>
      <c r="GB436" s="58"/>
      <c r="GC436" s="58"/>
      <c r="GD436" s="58"/>
      <c r="GE436" s="58"/>
      <c r="GF436" s="58"/>
      <c r="GG436" s="58"/>
      <c r="GH436" s="58"/>
      <c r="GI436" s="58"/>
      <c r="GJ436" s="58"/>
      <c r="GK436" s="58"/>
    </row>
    <row r="437" spans="1:193" s="74" customFormat="1">
      <c r="A437" s="78"/>
      <c r="B437" s="78"/>
      <c r="C437" s="78"/>
      <c r="D437" s="78"/>
      <c r="E437" s="78"/>
      <c r="F437" s="78"/>
      <c r="G437" s="67"/>
      <c r="H437" s="319"/>
      <c r="I437" s="319"/>
      <c r="J437" s="78"/>
      <c r="K437" s="58"/>
      <c r="L437" s="319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  <c r="EN437" s="58"/>
      <c r="EO437" s="58"/>
      <c r="EP437" s="58"/>
      <c r="EQ437" s="58"/>
      <c r="ER437" s="58"/>
      <c r="ES437" s="58"/>
      <c r="ET437" s="58"/>
      <c r="EU437" s="58"/>
      <c r="EV437" s="58"/>
      <c r="EW437" s="58"/>
      <c r="EX437" s="58"/>
      <c r="EY437" s="58"/>
      <c r="EZ437" s="58"/>
      <c r="FA437" s="58"/>
      <c r="FB437" s="58"/>
      <c r="FC437" s="58"/>
      <c r="FD437" s="58"/>
      <c r="FE437" s="58"/>
      <c r="FF437" s="58"/>
      <c r="FG437" s="58"/>
      <c r="FH437" s="58"/>
      <c r="FI437" s="58"/>
      <c r="FJ437" s="58"/>
      <c r="FK437" s="58"/>
      <c r="FL437" s="58"/>
      <c r="FM437" s="58"/>
      <c r="FN437" s="58"/>
      <c r="FO437" s="58"/>
      <c r="FP437" s="58"/>
      <c r="FQ437" s="58"/>
      <c r="FR437" s="58"/>
      <c r="FS437" s="58"/>
      <c r="FT437" s="58"/>
      <c r="FU437" s="58"/>
      <c r="FV437" s="58"/>
      <c r="FW437" s="58"/>
      <c r="FX437" s="58"/>
      <c r="FY437" s="58"/>
      <c r="FZ437" s="58"/>
      <c r="GA437" s="58"/>
      <c r="GB437" s="58"/>
      <c r="GC437" s="58"/>
      <c r="GD437" s="58"/>
      <c r="GE437" s="58"/>
      <c r="GF437" s="58"/>
      <c r="GG437" s="58"/>
      <c r="GH437" s="58"/>
      <c r="GI437" s="58"/>
      <c r="GJ437" s="58"/>
      <c r="GK437" s="58"/>
    </row>
    <row r="438" spans="1:193" s="74" customFormat="1">
      <c r="A438" s="78"/>
      <c r="B438" s="78"/>
      <c r="C438" s="78"/>
      <c r="D438" s="78"/>
      <c r="E438" s="78"/>
      <c r="F438" s="78"/>
      <c r="G438" s="67"/>
      <c r="H438" s="319"/>
      <c r="I438" s="319"/>
      <c r="J438" s="78"/>
      <c r="K438" s="58"/>
      <c r="L438" s="319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  <c r="EN438" s="58"/>
      <c r="EO438" s="58"/>
      <c r="EP438" s="58"/>
      <c r="EQ438" s="58"/>
      <c r="ER438" s="58"/>
      <c r="ES438" s="58"/>
      <c r="ET438" s="58"/>
      <c r="EU438" s="58"/>
      <c r="EV438" s="58"/>
      <c r="EW438" s="58"/>
      <c r="EX438" s="58"/>
      <c r="EY438" s="58"/>
      <c r="EZ438" s="58"/>
      <c r="FA438" s="58"/>
      <c r="FB438" s="58"/>
      <c r="FC438" s="58"/>
      <c r="FD438" s="58"/>
      <c r="FE438" s="58"/>
      <c r="FF438" s="58"/>
      <c r="FG438" s="58"/>
      <c r="FH438" s="58"/>
      <c r="FI438" s="58"/>
      <c r="FJ438" s="58"/>
      <c r="FK438" s="58"/>
      <c r="FL438" s="58"/>
      <c r="FM438" s="58"/>
      <c r="FN438" s="58"/>
      <c r="FO438" s="58"/>
      <c r="FP438" s="58"/>
      <c r="FQ438" s="58"/>
      <c r="FR438" s="58"/>
      <c r="FS438" s="58"/>
      <c r="FT438" s="58"/>
      <c r="FU438" s="58"/>
      <c r="FV438" s="58"/>
      <c r="FW438" s="58"/>
      <c r="FX438" s="58"/>
      <c r="FY438" s="58"/>
      <c r="FZ438" s="58"/>
      <c r="GA438" s="58"/>
      <c r="GB438" s="58"/>
      <c r="GC438" s="58"/>
      <c r="GD438" s="58"/>
      <c r="GE438" s="58"/>
      <c r="GF438" s="58"/>
      <c r="GG438" s="58"/>
      <c r="GH438" s="58"/>
      <c r="GI438" s="58"/>
      <c r="GJ438" s="58"/>
      <c r="GK438" s="58"/>
    </row>
    <row r="439" spans="1:193" s="74" customFormat="1">
      <c r="A439" s="78"/>
      <c r="B439" s="78"/>
      <c r="C439" s="78"/>
      <c r="D439" s="78"/>
      <c r="E439" s="78"/>
      <c r="F439" s="78"/>
      <c r="G439" s="67"/>
      <c r="H439" s="319"/>
      <c r="I439" s="319"/>
      <c r="J439" s="78"/>
      <c r="K439" s="58"/>
      <c r="L439" s="319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  <c r="EN439" s="58"/>
      <c r="EO439" s="58"/>
      <c r="EP439" s="58"/>
      <c r="EQ439" s="58"/>
      <c r="ER439" s="58"/>
      <c r="ES439" s="58"/>
      <c r="ET439" s="58"/>
      <c r="EU439" s="58"/>
      <c r="EV439" s="58"/>
      <c r="EW439" s="58"/>
      <c r="EX439" s="58"/>
      <c r="EY439" s="58"/>
      <c r="EZ439" s="58"/>
      <c r="FA439" s="58"/>
      <c r="FB439" s="58"/>
      <c r="FC439" s="58"/>
      <c r="FD439" s="58"/>
      <c r="FE439" s="58"/>
      <c r="FF439" s="58"/>
      <c r="FG439" s="58"/>
      <c r="FH439" s="58"/>
      <c r="FI439" s="58"/>
      <c r="FJ439" s="58"/>
      <c r="FK439" s="58"/>
      <c r="FL439" s="58"/>
      <c r="FM439" s="58"/>
      <c r="FN439" s="58"/>
      <c r="FO439" s="58"/>
      <c r="FP439" s="58"/>
      <c r="FQ439" s="58"/>
      <c r="FR439" s="58"/>
      <c r="FS439" s="58"/>
      <c r="FT439" s="58"/>
      <c r="FU439" s="58"/>
      <c r="FV439" s="58"/>
      <c r="FW439" s="58"/>
      <c r="FX439" s="58"/>
      <c r="FY439" s="58"/>
      <c r="FZ439" s="58"/>
      <c r="GA439" s="58"/>
      <c r="GB439" s="58"/>
      <c r="GC439" s="58"/>
      <c r="GD439" s="58"/>
      <c r="GE439" s="58"/>
      <c r="GF439" s="58"/>
      <c r="GG439" s="58"/>
      <c r="GH439" s="58"/>
      <c r="GI439" s="58"/>
      <c r="GJ439" s="58"/>
      <c r="GK439" s="58"/>
    </row>
    <row r="440" spans="1:193" s="74" customFormat="1">
      <c r="A440" s="78"/>
      <c r="B440" s="78"/>
      <c r="C440" s="78"/>
      <c r="D440" s="78"/>
      <c r="E440" s="78"/>
      <c r="F440" s="78"/>
      <c r="G440" s="67"/>
      <c r="H440" s="319"/>
      <c r="I440" s="319"/>
      <c r="J440" s="78"/>
      <c r="K440" s="58"/>
      <c r="L440" s="319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  <c r="EN440" s="58"/>
      <c r="EO440" s="58"/>
      <c r="EP440" s="58"/>
      <c r="EQ440" s="58"/>
      <c r="ER440" s="58"/>
      <c r="ES440" s="58"/>
      <c r="ET440" s="58"/>
      <c r="EU440" s="58"/>
      <c r="EV440" s="58"/>
      <c r="EW440" s="58"/>
      <c r="EX440" s="58"/>
      <c r="EY440" s="58"/>
      <c r="EZ440" s="58"/>
      <c r="FA440" s="58"/>
      <c r="FB440" s="58"/>
      <c r="FC440" s="58"/>
      <c r="FD440" s="58"/>
      <c r="FE440" s="58"/>
      <c r="FF440" s="58"/>
      <c r="FG440" s="58"/>
      <c r="FH440" s="58"/>
      <c r="FI440" s="58"/>
      <c r="FJ440" s="58"/>
      <c r="FK440" s="58"/>
      <c r="FL440" s="58"/>
      <c r="FM440" s="58"/>
      <c r="FN440" s="58"/>
      <c r="FO440" s="58"/>
      <c r="FP440" s="58"/>
      <c r="FQ440" s="58"/>
      <c r="FR440" s="58"/>
      <c r="FS440" s="58"/>
      <c r="FT440" s="58"/>
      <c r="FU440" s="58"/>
      <c r="FV440" s="58"/>
      <c r="FW440" s="58"/>
      <c r="FX440" s="58"/>
      <c r="FY440" s="58"/>
      <c r="FZ440" s="58"/>
      <c r="GA440" s="58"/>
      <c r="GB440" s="58"/>
      <c r="GC440" s="58"/>
      <c r="GD440" s="58"/>
      <c r="GE440" s="58"/>
      <c r="GF440" s="58"/>
      <c r="GG440" s="58"/>
      <c r="GH440" s="58"/>
      <c r="GI440" s="58"/>
      <c r="GJ440" s="58"/>
      <c r="GK440" s="58"/>
    </row>
    <row r="441" spans="1:193" s="74" customFormat="1">
      <c r="A441" s="78"/>
      <c r="B441" s="78"/>
      <c r="C441" s="78"/>
      <c r="D441" s="78"/>
      <c r="E441" s="78"/>
      <c r="F441" s="78"/>
      <c r="G441" s="67"/>
      <c r="H441" s="319"/>
      <c r="I441" s="319"/>
      <c r="J441" s="78"/>
      <c r="K441" s="58"/>
      <c r="L441" s="319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  <c r="EM441" s="58"/>
      <c r="EN441" s="58"/>
      <c r="EO441" s="58"/>
      <c r="EP441" s="58"/>
      <c r="EQ441" s="58"/>
      <c r="ER441" s="58"/>
      <c r="ES441" s="58"/>
      <c r="ET441" s="58"/>
      <c r="EU441" s="58"/>
      <c r="EV441" s="58"/>
      <c r="EW441" s="58"/>
      <c r="EX441" s="58"/>
      <c r="EY441" s="58"/>
      <c r="EZ441" s="58"/>
      <c r="FA441" s="58"/>
      <c r="FB441" s="58"/>
      <c r="FC441" s="58"/>
      <c r="FD441" s="58"/>
      <c r="FE441" s="58"/>
      <c r="FF441" s="58"/>
      <c r="FG441" s="58"/>
      <c r="FH441" s="58"/>
      <c r="FI441" s="58"/>
      <c r="FJ441" s="58"/>
      <c r="FK441" s="58"/>
      <c r="FL441" s="58"/>
      <c r="FM441" s="58"/>
      <c r="FN441" s="58"/>
      <c r="FO441" s="58"/>
      <c r="FP441" s="58"/>
      <c r="FQ441" s="58"/>
      <c r="FR441" s="58"/>
      <c r="FS441" s="58"/>
      <c r="FT441" s="58"/>
      <c r="FU441" s="58"/>
      <c r="FV441" s="58"/>
      <c r="FW441" s="58"/>
      <c r="FX441" s="58"/>
      <c r="FY441" s="58"/>
      <c r="FZ441" s="58"/>
      <c r="GA441" s="58"/>
      <c r="GB441" s="58"/>
      <c r="GC441" s="58"/>
      <c r="GD441" s="58"/>
      <c r="GE441" s="58"/>
      <c r="GF441" s="58"/>
      <c r="GG441" s="58"/>
      <c r="GH441" s="58"/>
      <c r="GI441" s="58"/>
      <c r="GJ441" s="58"/>
      <c r="GK441" s="58"/>
    </row>
    <row r="442" spans="1:193" s="74" customFormat="1">
      <c r="A442" s="78"/>
      <c r="B442" s="78"/>
      <c r="C442" s="78"/>
      <c r="D442" s="78"/>
      <c r="E442" s="78"/>
      <c r="F442" s="78"/>
      <c r="G442" s="67"/>
      <c r="H442" s="319"/>
      <c r="I442" s="319"/>
      <c r="J442" s="78"/>
      <c r="K442" s="58"/>
      <c r="L442" s="319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  <c r="EM442" s="58"/>
      <c r="EN442" s="58"/>
      <c r="EO442" s="58"/>
      <c r="EP442" s="58"/>
      <c r="EQ442" s="58"/>
      <c r="ER442" s="58"/>
      <c r="ES442" s="58"/>
      <c r="ET442" s="58"/>
      <c r="EU442" s="58"/>
      <c r="EV442" s="58"/>
      <c r="EW442" s="58"/>
      <c r="EX442" s="58"/>
      <c r="EY442" s="58"/>
      <c r="EZ442" s="58"/>
      <c r="FA442" s="58"/>
      <c r="FB442" s="58"/>
      <c r="FC442" s="58"/>
      <c r="FD442" s="58"/>
      <c r="FE442" s="58"/>
      <c r="FF442" s="58"/>
      <c r="FG442" s="58"/>
      <c r="FH442" s="58"/>
      <c r="FI442" s="58"/>
      <c r="FJ442" s="58"/>
      <c r="FK442" s="58"/>
      <c r="FL442" s="58"/>
      <c r="FM442" s="58"/>
      <c r="FN442" s="58"/>
      <c r="FO442" s="58"/>
      <c r="FP442" s="58"/>
      <c r="FQ442" s="58"/>
      <c r="FR442" s="58"/>
      <c r="FS442" s="58"/>
      <c r="FT442" s="58"/>
      <c r="FU442" s="58"/>
      <c r="FV442" s="58"/>
      <c r="FW442" s="58"/>
      <c r="FX442" s="58"/>
      <c r="FY442" s="58"/>
      <c r="FZ442" s="58"/>
      <c r="GA442" s="58"/>
      <c r="GB442" s="58"/>
      <c r="GC442" s="58"/>
      <c r="GD442" s="58"/>
      <c r="GE442" s="58"/>
      <c r="GF442" s="58"/>
      <c r="GG442" s="58"/>
      <c r="GH442" s="58"/>
      <c r="GI442" s="58"/>
      <c r="GJ442" s="58"/>
      <c r="GK442" s="58"/>
    </row>
    <row r="443" spans="1:193" s="74" customFormat="1">
      <c r="A443" s="78"/>
      <c r="B443" s="78"/>
      <c r="C443" s="78"/>
      <c r="D443" s="78"/>
      <c r="E443" s="78"/>
      <c r="F443" s="78"/>
      <c r="G443" s="67"/>
      <c r="H443" s="319"/>
      <c r="I443" s="319"/>
      <c r="J443" s="78"/>
      <c r="K443" s="58"/>
      <c r="L443" s="319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  <c r="EM443" s="58"/>
      <c r="EN443" s="58"/>
      <c r="EO443" s="58"/>
      <c r="EP443" s="58"/>
      <c r="EQ443" s="58"/>
      <c r="ER443" s="58"/>
      <c r="ES443" s="58"/>
      <c r="ET443" s="58"/>
      <c r="EU443" s="58"/>
      <c r="EV443" s="58"/>
      <c r="EW443" s="58"/>
      <c r="EX443" s="58"/>
      <c r="EY443" s="58"/>
      <c r="EZ443" s="58"/>
      <c r="FA443" s="58"/>
      <c r="FB443" s="58"/>
      <c r="FC443" s="58"/>
      <c r="FD443" s="58"/>
      <c r="FE443" s="58"/>
      <c r="FF443" s="58"/>
      <c r="FG443" s="58"/>
      <c r="FH443" s="58"/>
      <c r="FI443" s="58"/>
      <c r="FJ443" s="58"/>
      <c r="FK443" s="58"/>
      <c r="FL443" s="58"/>
      <c r="FM443" s="58"/>
      <c r="FN443" s="58"/>
      <c r="FO443" s="58"/>
      <c r="FP443" s="58"/>
      <c r="FQ443" s="58"/>
      <c r="FR443" s="58"/>
      <c r="FS443" s="58"/>
      <c r="FT443" s="58"/>
      <c r="FU443" s="58"/>
      <c r="FV443" s="58"/>
      <c r="FW443" s="58"/>
      <c r="FX443" s="58"/>
      <c r="FY443" s="58"/>
      <c r="FZ443" s="58"/>
      <c r="GA443" s="58"/>
      <c r="GB443" s="58"/>
      <c r="GC443" s="58"/>
      <c r="GD443" s="58"/>
      <c r="GE443" s="58"/>
      <c r="GF443" s="58"/>
      <c r="GG443" s="58"/>
      <c r="GH443" s="58"/>
      <c r="GI443" s="58"/>
      <c r="GJ443" s="58"/>
      <c r="GK443" s="58"/>
    </row>
    <row r="444" spans="1:193" s="74" customFormat="1">
      <c r="A444" s="78"/>
      <c r="B444" s="78"/>
      <c r="C444" s="78"/>
      <c r="D444" s="78"/>
      <c r="E444" s="78"/>
      <c r="F444" s="78"/>
      <c r="G444" s="67"/>
      <c r="H444" s="319"/>
      <c r="I444" s="319"/>
      <c r="J444" s="78"/>
      <c r="K444" s="58"/>
      <c r="L444" s="319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  <c r="EM444" s="58"/>
      <c r="EN444" s="58"/>
      <c r="EO444" s="58"/>
      <c r="EP444" s="58"/>
      <c r="EQ444" s="58"/>
      <c r="ER444" s="58"/>
      <c r="ES444" s="58"/>
      <c r="ET444" s="58"/>
      <c r="EU444" s="58"/>
      <c r="EV444" s="58"/>
      <c r="EW444" s="58"/>
      <c r="EX444" s="58"/>
      <c r="EY444" s="58"/>
      <c r="EZ444" s="58"/>
      <c r="FA444" s="58"/>
      <c r="FB444" s="58"/>
      <c r="FC444" s="58"/>
      <c r="FD444" s="58"/>
      <c r="FE444" s="58"/>
      <c r="FF444" s="58"/>
      <c r="FG444" s="58"/>
      <c r="FH444" s="58"/>
      <c r="FI444" s="58"/>
      <c r="FJ444" s="58"/>
      <c r="FK444" s="58"/>
      <c r="FL444" s="58"/>
      <c r="FM444" s="58"/>
      <c r="FN444" s="58"/>
      <c r="FO444" s="58"/>
      <c r="FP444" s="58"/>
      <c r="FQ444" s="58"/>
      <c r="FR444" s="58"/>
      <c r="FS444" s="58"/>
      <c r="FT444" s="58"/>
      <c r="FU444" s="58"/>
      <c r="FV444" s="58"/>
      <c r="FW444" s="58"/>
      <c r="FX444" s="58"/>
      <c r="FY444" s="58"/>
      <c r="FZ444" s="58"/>
      <c r="GA444" s="58"/>
      <c r="GB444" s="58"/>
      <c r="GC444" s="58"/>
      <c r="GD444" s="58"/>
      <c r="GE444" s="58"/>
      <c r="GF444" s="58"/>
      <c r="GG444" s="58"/>
      <c r="GH444" s="58"/>
      <c r="GI444" s="58"/>
      <c r="GJ444" s="58"/>
      <c r="GK444" s="58"/>
    </row>
    <row r="445" spans="1:193" s="74" customFormat="1">
      <c r="A445" s="78"/>
      <c r="B445" s="78"/>
      <c r="C445" s="78"/>
      <c r="D445" s="78"/>
      <c r="E445" s="78"/>
      <c r="F445" s="78"/>
      <c r="G445" s="67"/>
      <c r="H445" s="319"/>
      <c r="I445" s="319"/>
      <c r="J445" s="78"/>
      <c r="K445" s="58"/>
      <c r="L445" s="319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  <c r="EM445" s="58"/>
      <c r="EN445" s="58"/>
      <c r="EO445" s="58"/>
      <c r="EP445" s="58"/>
      <c r="EQ445" s="58"/>
      <c r="ER445" s="58"/>
      <c r="ES445" s="58"/>
      <c r="ET445" s="58"/>
      <c r="EU445" s="58"/>
      <c r="EV445" s="58"/>
      <c r="EW445" s="58"/>
      <c r="EX445" s="58"/>
      <c r="EY445" s="58"/>
      <c r="EZ445" s="58"/>
      <c r="FA445" s="58"/>
      <c r="FB445" s="58"/>
      <c r="FC445" s="58"/>
      <c r="FD445" s="58"/>
      <c r="FE445" s="58"/>
      <c r="FF445" s="58"/>
      <c r="FG445" s="58"/>
      <c r="FH445" s="58"/>
      <c r="FI445" s="58"/>
      <c r="FJ445" s="58"/>
      <c r="FK445" s="58"/>
      <c r="FL445" s="58"/>
      <c r="FM445" s="58"/>
      <c r="FN445" s="58"/>
      <c r="FO445" s="58"/>
      <c r="FP445" s="58"/>
      <c r="FQ445" s="58"/>
      <c r="FR445" s="58"/>
      <c r="FS445" s="58"/>
      <c r="FT445" s="58"/>
      <c r="FU445" s="58"/>
      <c r="FV445" s="58"/>
      <c r="FW445" s="58"/>
      <c r="FX445" s="58"/>
      <c r="FY445" s="58"/>
      <c r="FZ445" s="58"/>
      <c r="GA445" s="58"/>
      <c r="GB445" s="58"/>
      <c r="GC445" s="58"/>
      <c r="GD445" s="58"/>
      <c r="GE445" s="58"/>
      <c r="GF445" s="58"/>
      <c r="GG445" s="58"/>
      <c r="GH445" s="58"/>
      <c r="GI445" s="58"/>
      <c r="GJ445" s="58"/>
      <c r="GK445" s="58"/>
    </row>
    <row r="446" spans="1:193" s="74" customFormat="1">
      <c r="A446" s="78"/>
      <c r="B446" s="78"/>
      <c r="C446" s="78"/>
      <c r="D446" s="78"/>
      <c r="E446" s="78"/>
      <c r="F446" s="78"/>
      <c r="G446" s="67"/>
      <c r="H446" s="319"/>
      <c r="I446" s="319"/>
      <c r="J446" s="78"/>
      <c r="K446" s="58"/>
      <c r="L446" s="319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  <c r="EM446" s="58"/>
      <c r="EN446" s="58"/>
      <c r="EO446" s="58"/>
      <c r="EP446" s="58"/>
      <c r="EQ446" s="58"/>
      <c r="ER446" s="58"/>
      <c r="ES446" s="58"/>
      <c r="ET446" s="58"/>
      <c r="EU446" s="58"/>
      <c r="EV446" s="58"/>
      <c r="EW446" s="58"/>
      <c r="EX446" s="58"/>
      <c r="EY446" s="58"/>
      <c r="EZ446" s="58"/>
      <c r="FA446" s="58"/>
      <c r="FB446" s="58"/>
      <c r="FC446" s="58"/>
      <c r="FD446" s="58"/>
      <c r="FE446" s="58"/>
      <c r="FF446" s="58"/>
      <c r="FG446" s="58"/>
      <c r="FH446" s="58"/>
      <c r="FI446" s="58"/>
      <c r="FJ446" s="58"/>
      <c r="FK446" s="58"/>
      <c r="FL446" s="58"/>
      <c r="FM446" s="58"/>
      <c r="FN446" s="58"/>
      <c r="FO446" s="58"/>
      <c r="FP446" s="58"/>
      <c r="FQ446" s="58"/>
      <c r="FR446" s="58"/>
      <c r="FS446" s="58"/>
      <c r="FT446" s="58"/>
      <c r="FU446" s="58"/>
      <c r="FV446" s="58"/>
      <c r="FW446" s="58"/>
      <c r="FX446" s="58"/>
      <c r="FY446" s="58"/>
      <c r="FZ446" s="58"/>
      <c r="GA446" s="58"/>
      <c r="GB446" s="58"/>
      <c r="GC446" s="58"/>
      <c r="GD446" s="58"/>
      <c r="GE446" s="58"/>
      <c r="GF446" s="58"/>
      <c r="GG446" s="58"/>
      <c r="GH446" s="58"/>
      <c r="GI446" s="58"/>
      <c r="GJ446" s="58"/>
      <c r="GK446" s="58"/>
    </row>
    <row r="447" spans="1:193" s="74" customFormat="1">
      <c r="A447" s="78"/>
      <c r="B447" s="78"/>
      <c r="C447" s="78"/>
      <c r="D447" s="78"/>
      <c r="E447" s="78"/>
      <c r="F447" s="78"/>
      <c r="G447" s="67"/>
      <c r="H447" s="319"/>
      <c r="I447" s="319"/>
      <c r="J447" s="78"/>
      <c r="K447" s="58"/>
      <c r="L447" s="319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  <c r="EM447" s="58"/>
      <c r="EN447" s="58"/>
      <c r="EO447" s="58"/>
      <c r="EP447" s="58"/>
      <c r="EQ447" s="58"/>
      <c r="ER447" s="58"/>
      <c r="ES447" s="58"/>
      <c r="ET447" s="58"/>
      <c r="EU447" s="58"/>
      <c r="EV447" s="58"/>
      <c r="EW447" s="58"/>
      <c r="EX447" s="58"/>
      <c r="EY447" s="58"/>
      <c r="EZ447" s="58"/>
      <c r="FA447" s="58"/>
      <c r="FB447" s="58"/>
      <c r="FC447" s="58"/>
      <c r="FD447" s="58"/>
      <c r="FE447" s="58"/>
      <c r="FF447" s="58"/>
      <c r="FG447" s="58"/>
      <c r="FH447" s="58"/>
      <c r="FI447" s="58"/>
      <c r="FJ447" s="58"/>
      <c r="FK447" s="58"/>
      <c r="FL447" s="58"/>
      <c r="FM447" s="58"/>
      <c r="FN447" s="58"/>
      <c r="FO447" s="58"/>
      <c r="FP447" s="58"/>
      <c r="FQ447" s="58"/>
      <c r="FR447" s="58"/>
      <c r="FS447" s="58"/>
      <c r="FT447" s="58"/>
      <c r="FU447" s="58"/>
      <c r="FV447" s="58"/>
      <c r="FW447" s="58"/>
      <c r="FX447" s="58"/>
      <c r="FY447" s="58"/>
      <c r="FZ447" s="58"/>
      <c r="GA447" s="58"/>
      <c r="GB447" s="58"/>
      <c r="GC447" s="58"/>
      <c r="GD447" s="58"/>
      <c r="GE447" s="58"/>
      <c r="GF447" s="58"/>
      <c r="GG447" s="58"/>
      <c r="GH447" s="58"/>
      <c r="GI447" s="58"/>
      <c r="GJ447" s="58"/>
      <c r="GK447" s="58"/>
    </row>
    <row r="448" spans="1:193" s="74" customFormat="1">
      <c r="A448" s="78"/>
      <c r="B448" s="78"/>
      <c r="C448" s="78"/>
      <c r="D448" s="78"/>
      <c r="E448" s="78"/>
      <c r="F448" s="78"/>
      <c r="G448" s="67"/>
      <c r="H448" s="319"/>
      <c r="I448" s="319"/>
      <c r="J448" s="78"/>
      <c r="K448" s="58"/>
      <c r="L448" s="319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  <c r="EM448" s="58"/>
      <c r="EN448" s="58"/>
      <c r="EO448" s="58"/>
      <c r="EP448" s="58"/>
      <c r="EQ448" s="58"/>
      <c r="ER448" s="58"/>
      <c r="ES448" s="58"/>
      <c r="ET448" s="58"/>
      <c r="EU448" s="58"/>
      <c r="EV448" s="58"/>
      <c r="EW448" s="58"/>
      <c r="EX448" s="58"/>
      <c r="EY448" s="58"/>
      <c r="EZ448" s="58"/>
      <c r="FA448" s="58"/>
      <c r="FB448" s="58"/>
      <c r="FC448" s="58"/>
      <c r="FD448" s="58"/>
      <c r="FE448" s="58"/>
      <c r="FF448" s="58"/>
      <c r="FG448" s="58"/>
      <c r="FH448" s="58"/>
      <c r="FI448" s="58"/>
      <c r="FJ448" s="58"/>
      <c r="FK448" s="58"/>
      <c r="FL448" s="58"/>
      <c r="FM448" s="58"/>
      <c r="FN448" s="58"/>
      <c r="FO448" s="58"/>
      <c r="FP448" s="58"/>
      <c r="FQ448" s="58"/>
      <c r="FR448" s="58"/>
      <c r="FS448" s="58"/>
      <c r="FT448" s="58"/>
      <c r="FU448" s="58"/>
      <c r="FV448" s="58"/>
      <c r="FW448" s="58"/>
      <c r="FX448" s="58"/>
      <c r="FY448" s="58"/>
      <c r="FZ448" s="58"/>
      <c r="GA448" s="58"/>
      <c r="GB448" s="58"/>
      <c r="GC448" s="58"/>
      <c r="GD448" s="58"/>
      <c r="GE448" s="58"/>
      <c r="GF448" s="58"/>
      <c r="GG448" s="58"/>
      <c r="GH448" s="58"/>
      <c r="GI448" s="58"/>
      <c r="GJ448" s="58"/>
      <c r="GK448" s="58"/>
    </row>
    <row r="449" spans="1:193" s="74" customFormat="1">
      <c r="A449" s="78"/>
      <c r="B449" s="78"/>
      <c r="C449" s="78"/>
      <c r="D449" s="78"/>
      <c r="E449" s="78"/>
      <c r="F449" s="78"/>
      <c r="G449" s="67"/>
      <c r="H449" s="319"/>
      <c r="I449" s="319"/>
      <c r="J449" s="78"/>
      <c r="K449" s="58"/>
      <c r="L449" s="319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  <c r="EM449" s="58"/>
      <c r="EN449" s="58"/>
      <c r="EO449" s="58"/>
      <c r="EP449" s="58"/>
      <c r="EQ449" s="58"/>
      <c r="ER449" s="58"/>
      <c r="ES449" s="58"/>
      <c r="ET449" s="58"/>
      <c r="EU449" s="58"/>
      <c r="EV449" s="58"/>
      <c r="EW449" s="58"/>
      <c r="EX449" s="58"/>
      <c r="EY449" s="58"/>
      <c r="EZ449" s="58"/>
      <c r="FA449" s="58"/>
      <c r="FB449" s="58"/>
      <c r="FC449" s="58"/>
      <c r="FD449" s="58"/>
      <c r="FE449" s="58"/>
      <c r="FF449" s="58"/>
      <c r="FG449" s="58"/>
      <c r="FH449" s="58"/>
      <c r="FI449" s="58"/>
      <c r="FJ449" s="58"/>
      <c r="FK449" s="58"/>
      <c r="FL449" s="58"/>
      <c r="FM449" s="58"/>
      <c r="FN449" s="58"/>
      <c r="FO449" s="58"/>
      <c r="FP449" s="58"/>
      <c r="FQ449" s="58"/>
      <c r="FR449" s="58"/>
      <c r="FS449" s="58"/>
      <c r="FT449" s="58"/>
      <c r="FU449" s="58"/>
      <c r="FV449" s="58"/>
      <c r="FW449" s="58"/>
      <c r="FX449" s="58"/>
      <c r="FY449" s="58"/>
      <c r="FZ449" s="58"/>
      <c r="GA449" s="58"/>
      <c r="GB449" s="58"/>
      <c r="GC449" s="58"/>
      <c r="GD449" s="58"/>
      <c r="GE449" s="58"/>
      <c r="GF449" s="58"/>
      <c r="GG449" s="58"/>
      <c r="GH449" s="58"/>
      <c r="GI449" s="58"/>
      <c r="GJ449" s="58"/>
      <c r="GK449" s="58"/>
    </row>
    <row r="450" spans="1:193" s="74" customFormat="1">
      <c r="A450" s="78"/>
      <c r="B450" s="78"/>
      <c r="C450" s="78"/>
      <c r="D450" s="78"/>
      <c r="E450" s="78"/>
      <c r="F450" s="78"/>
      <c r="G450" s="67"/>
      <c r="H450" s="319"/>
      <c r="I450" s="319"/>
      <c r="J450" s="78"/>
      <c r="K450" s="58"/>
      <c r="L450" s="319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  <c r="EM450" s="58"/>
      <c r="EN450" s="58"/>
      <c r="EO450" s="58"/>
      <c r="EP450" s="58"/>
      <c r="EQ450" s="58"/>
      <c r="ER450" s="58"/>
      <c r="ES450" s="58"/>
      <c r="ET450" s="58"/>
      <c r="EU450" s="58"/>
      <c r="EV450" s="58"/>
      <c r="EW450" s="58"/>
      <c r="EX450" s="58"/>
      <c r="EY450" s="58"/>
      <c r="EZ450" s="58"/>
      <c r="FA450" s="58"/>
      <c r="FB450" s="58"/>
      <c r="FC450" s="58"/>
      <c r="FD450" s="58"/>
      <c r="FE450" s="58"/>
      <c r="FF450" s="58"/>
      <c r="FG450" s="58"/>
      <c r="FH450" s="58"/>
      <c r="FI450" s="58"/>
      <c r="FJ450" s="58"/>
      <c r="FK450" s="58"/>
      <c r="FL450" s="58"/>
      <c r="FM450" s="58"/>
      <c r="FN450" s="58"/>
      <c r="FO450" s="58"/>
      <c r="FP450" s="58"/>
      <c r="FQ450" s="58"/>
      <c r="FR450" s="58"/>
      <c r="FS450" s="58"/>
      <c r="FT450" s="58"/>
      <c r="FU450" s="58"/>
      <c r="FV450" s="58"/>
      <c r="FW450" s="58"/>
      <c r="FX450" s="58"/>
      <c r="FY450" s="58"/>
      <c r="FZ450" s="58"/>
      <c r="GA450" s="58"/>
      <c r="GB450" s="58"/>
      <c r="GC450" s="58"/>
      <c r="GD450" s="58"/>
      <c r="GE450" s="58"/>
      <c r="GF450" s="58"/>
      <c r="GG450" s="58"/>
      <c r="GH450" s="58"/>
      <c r="GI450" s="58"/>
      <c r="GJ450" s="58"/>
      <c r="GK450" s="58"/>
    </row>
    <row r="451" spans="1:193" s="74" customFormat="1">
      <c r="A451" s="78"/>
      <c r="B451" s="78"/>
      <c r="C451" s="78"/>
      <c r="D451" s="78"/>
      <c r="E451" s="78"/>
      <c r="F451" s="78"/>
      <c r="G451" s="67"/>
      <c r="H451" s="319"/>
      <c r="I451" s="319"/>
      <c r="J451" s="78"/>
      <c r="K451" s="58"/>
      <c r="L451" s="319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  <c r="EM451" s="58"/>
      <c r="EN451" s="58"/>
      <c r="EO451" s="58"/>
      <c r="EP451" s="58"/>
      <c r="EQ451" s="58"/>
      <c r="ER451" s="58"/>
      <c r="ES451" s="58"/>
      <c r="ET451" s="58"/>
      <c r="EU451" s="58"/>
      <c r="EV451" s="58"/>
      <c r="EW451" s="58"/>
      <c r="EX451" s="58"/>
      <c r="EY451" s="58"/>
      <c r="EZ451" s="58"/>
      <c r="FA451" s="58"/>
      <c r="FB451" s="58"/>
      <c r="FC451" s="58"/>
      <c r="FD451" s="58"/>
      <c r="FE451" s="58"/>
      <c r="FF451" s="58"/>
      <c r="FG451" s="58"/>
      <c r="FH451" s="58"/>
      <c r="FI451" s="58"/>
      <c r="FJ451" s="58"/>
      <c r="FK451" s="58"/>
      <c r="FL451" s="58"/>
      <c r="FM451" s="58"/>
      <c r="FN451" s="58"/>
      <c r="FO451" s="58"/>
      <c r="FP451" s="58"/>
      <c r="FQ451" s="58"/>
      <c r="FR451" s="58"/>
      <c r="FS451" s="58"/>
      <c r="FT451" s="58"/>
      <c r="FU451" s="58"/>
      <c r="FV451" s="58"/>
      <c r="FW451" s="58"/>
      <c r="FX451" s="58"/>
      <c r="FY451" s="58"/>
      <c r="FZ451" s="58"/>
      <c r="GA451" s="58"/>
      <c r="GB451" s="58"/>
      <c r="GC451" s="58"/>
      <c r="GD451" s="58"/>
      <c r="GE451" s="58"/>
      <c r="GF451" s="58"/>
      <c r="GG451" s="58"/>
      <c r="GH451" s="58"/>
      <c r="GI451" s="58"/>
      <c r="GJ451" s="58"/>
      <c r="GK451" s="58"/>
    </row>
    <row r="452" spans="1:193" s="74" customFormat="1">
      <c r="A452" s="78"/>
      <c r="B452" s="78"/>
      <c r="C452" s="78"/>
      <c r="D452" s="78"/>
      <c r="E452" s="78"/>
      <c r="F452" s="78"/>
      <c r="G452" s="67"/>
      <c r="H452" s="319"/>
      <c r="I452" s="319"/>
      <c r="J452" s="78"/>
      <c r="K452" s="58"/>
      <c r="L452" s="319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  <c r="EM452" s="58"/>
      <c r="EN452" s="58"/>
      <c r="EO452" s="58"/>
      <c r="EP452" s="58"/>
      <c r="EQ452" s="58"/>
      <c r="ER452" s="58"/>
      <c r="ES452" s="58"/>
      <c r="ET452" s="58"/>
      <c r="EU452" s="58"/>
      <c r="EV452" s="58"/>
      <c r="EW452" s="58"/>
      <c r="EX452" s="58"/>
      <c r="EY452" s="58"/>
      <c r="EZ452" s="58"/>
      <c r="FA452" s="58"/>
      <c r="FB452" s="58"/>
      <c r="FC452" s="58"/>
      <c r="FD452" s="58"/>
      <c r="FE452" s="58"/>
      <c r="FF452" s="58"/>
      <c r="FG452" s="58"/>
      <c r="FH452" s="58"/>
      <c r="FI452" s="58"/>
      <c r="FJ452" s="58"/>
      <c r="FK452" s="58"/>
      <c r="FL452" s="58"/>
      <c r="FM452" s="58"/>
      <c r="FN452" s="58"/>
      <c r="FO452" s="58"/>
      <c r="FP452" s="58"/>
      <c r="FQ452" s="58"/>
      <c r="FR452" s="58"/>
      <c r="FS452" s="58"/>
      <c r="FT452" s="58"/>
      <c r="FU452" s="58"/>
      <c r="FV452" s="58"/>
      <c r="FW452" s="58"/>
      <c r="FX452" s="58"/>
      <c r="FY452" s="58"/>
      <c r="FZ452" s="58"/>
      <c r="GA452" s="58"/>
      <c r="GB452" s="58"/>
      <c r="GC452" s="58"/>
      <c r="GD452" s="58"/>
      <c r="GE452" s="58"/>
      <c r="GF452" s="58"/>
      <c r="GG452" s="58"/>
      <c r="GH452" s="58"/>
      <c r="GI452" s="58"/>
      <c r="GJ452" s="58"/>
      <c r="GK452" s="58"/>
    </row>
    <row r="453" spans="1:193" s="74" customFormat="1">
      <c r="A453" s="78"/>
      <c r="B453" s="78"/>
      <c r="C453" s="78"/>
      <c r="D453" s="78"/>
      <c r="E453" s="78"/>
      <c r="F453" s="78"/>
      <c r="G453" s="67"/>
      <c r="H453" s="319"/>
      <c r="I453" s="319"/>
      <c r="J453" s="78"/>
      <c r="K453" s="58"/>
      <c r="L453" s="319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  <c r="EM453" s="58"/>
      <c r="EN453" s="58"/>
      <c r="EO453" s="58"/>
      <c r="EP453" s="58"/>
      <c r="EQ453" s="58"/>
      <c r="ER453" s="58"/>
      <c r="ES453" s="58"/>
      <c r="ET453" s="58"/>
      <c r="EU453" s="58"/>
      <c r="EV453" s="58"/>
      <c r="EW453" s="58"/>
      <c r="EX453" s="58"/>
      <c r="EY453" s="58"/>
      <c r="EZ453" s="58"/>
      <c r="FA453" s="58"/>
      <c r="FB453" s="58"/>
      <c r="FC453" s="58"/>
      <c r="FD453" s="58"/>
      <c r="FE453" s="58"/>
      <c r="FF453" s="58"/>
      <c r="FG453" s="58"/>
      <c r="FH453" s="58"/>
      <c r="FI453" s="58"/>
      <c r="FJ453" s="58"/>
      <c r="FK453" s="58"/>
      <c r="FL453" s="58"/>
      <c r="FM453" s="58"/>
      <c r="FN453" s="58"/>
      <c r="FO453" s="58"/>
      <c r="FP453" s="58"/>
      <c r="FQ453" s="58"/>
      <c r="FR453" s="58"/>
      <c r="FS453" s="58"/>
      <c r="FT453" s="58"/>
      <c r="FU453" s="58"/>
      <c r="FV453" s="58"/>
      <c r="FW453" s="58"/>
      <c r="FX453" s="58"/>
      <c r="FY453" s="58"/>
      <c r="FZ453" s="58"/>
      <c r="GA453" s="58"/>
      <c r="GB453" s="58"/>
      <c r="GC453" s="58"/>
      <c r="GD453" s="58"/>
      <c r="GE453" s="58"/>
      <c r="GF453" s="58"/>
      <c r="GG453" s="58"/>
      <c r="GH453" s="58"/>
      <c r="GI453" s="58"/>
      <c r="GJ453" s="58"/>
      <c r="GK453" s="58"/>
    </row>
    <row r="454" spans="1:193" s="74" customFormat="1">
      <c r="A454" s="78"/>
      <c r="B454" s="78"/>
      <c r="C454" s="78"/>
      <c r="D454" s="78"/>
      <c r="E454" s="78"/>
      <c r="F454" s="78"/>
      <c r="G454" s="67"/>
      <c r="H454" s="319"/>
      <c r="I454" s="319"/>
      <c r="J454" s="78"/>
      <c r="K454" s="58"/>
      <c r="L454" s="319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  <c r="EM454" s="58"/>
      <c r="EN454" s="58"/>
      <c r="EO454" s="58"/>
      <c r="EP454" s="58"/>
      <c r="EQ454" s="58"/>
      <c r="ER454" s="58"/>
      <c r="ES454" s="58"/>
      <c r="ET454" s="58"/>
      <c r="EU454" s="58"/>
      <c r="EV454" s="58"/>
      <c r="EW454" s="58"/>
      <c r="EX454" s="58"/>
      <c r="EY454" s="58"/>
      <c r="EZ454" s="58"/>
      <c r="FA454" s="58"/>
      <c r="FB454" s="58"/>
      <c r="FC454" s="58"/>
      <c r="FD454" s="58"/>
      <c r="FE454" s="58"/>
      <c r="FF454" s="58"/>
      <c r="FG454" s="58"/>
      <c r="FH454" s="58"/>
      <c r="FI454" s="58"/>
      <c r="FJ454" s="58"/>
      <c r="FK454" s="58"/>
      <c r="FL454" s="58"/>
      <c r="FM454" s="58"/>
      <c r="FN454" s="58"/>
      <c r="FO454" s="58"/>
      <c r="FP454" s="58"/>
      <c r="FQ454" s="58"/>
      <c r="FR454" s="58"/>
      <c r="FS454" s="58"/>
      <c r="FT454" s="58"/>
      <c r="FU454" s="58"/>
      <c r="FV454" s="58"/>
      <c r="FW454" s="58"/>
      <c r="FX454" s="58"/>
      <c r="FY454" s="58"/>
      <c r="FZ454" s="58"/>
      <c r="GA454" s="58"/>
      <c r="GB454" s="58"/>
      <c r="GC454" s="58"/>
      <c r="GD454" s="58"/>
      <c r="GE454" s="58"/>
      <c r="GF454" s="58"/>
      <c r="GG454" s="58"/>
      <c r="GH454" s="58"/>
      <c r="GI454" s="58"/>
      <c r="GJ454" s="58"/>
      <c r="GK454" s="58"/>
    </row>
    <row r="455" spans="1:193" s="74" customFormat="1">
      <c r="A455" s="78"/>
      <c r="B455" s="78"/>
      <c r="C455" s="78"/>
      <c r="D455" s="78"/>
      <c r="E455" s="78"/>
      <c r="F455" s="78"/>
      <c r="G455" s="67"/>
      <c r="H455" s="319"/>
      <c r="I455" s="319"/>
      <c r="J455" s="78"/>
      <c r="K455" s="58"/>
      <c r="L455" s="319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  <c r="EM455" s="58"/>
      <c r="EN455" s="58"/>
      <c r="EO455" s="58"/>
      <c r="EP455" s="58"/>
      <c r="EQ455" s="58"/>
      <c r="ER455" s="58"/>
      <c r="ES455" s="58"/>
      <c r="ET455" s="58"/>
      <c r="EU455" s="58"/>
      <c r="EV455" s="58"/>
      <c r="EW455" s="58"/>
      <c r="EX455" s="58"/>
      <c r="EY455" s="58"/>
      <c r="EZ455" s="58"/>
      <c r="FA455" s="58"/>
      <c r="FB455" s="58"/>
      <c r="FC455" s="58"/>
      <c r="FD455" s="58"/>
      <c r="FE455" s="58"/>
      <c r="FF455" s="58"/>
      <c r="FG455" s="58"/>
      <c r="FH455" s="58"/>
      <c r="FI455" s="58"/>
      <c r="FJ455" s="58"/>
      <c r="FK455" s="58"/>
      <c r="FL455" s="58"/>
      <c r="FM455" s="58"/>
      <c r="FN455" s="58"/>
      <c r="FO455" s="58"/>
      <c r="FP455" s="58"/>
      <c r="FQ455" s="58"/>
      <c r="FR455" s="58"/>
      <c r="FS455" s="58"/>
      <c r="FT455" s="58"/>
      <c r="FU455" s="58"/>
      <c r="FV455" s="58"/>
      <c r="FW455" s="58"/>
      <c r="FX455" s="58"/>
      <c r="FY455" s="58"/>
      <c r="FZ455" s="58"/>
      <c r="GA455" s="58"/>
      <c r="GB455" s="58"/>
      <c r="GC455" s="58"/>
      <c r="GD455" s="58"/>
      <c r="GE455" s="58"/>
      <c r="GF455" s="58"/>
      <c r="GG455" s="58"/>
      <c r="GH455" s="58"/>
      <c r="GI455" s="58"/>
      <c r="GJ455" s="58"/>
      <c r="GK455" s="58"/>
    </row>
    <row r="456" spans="1:193" s="74" customFormat="1">
      <c r="A456" s="78"/>
      <c r="B456" s="78"/>
      <c r="C456" s="78"/>
      <c r="D456" s="78"/>
      <c r="E456" s="78"/>
      <c r="F456" s="78"/>
      <c r="G456" s="67"/>
      <c r="H456" s="319"/>
      <c r="I456" s="319"/>
      <c r="J456" s="78"/>
      <c r="K456" s="58"/>
      <c r="L456" s="319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  <c r="EN456" s="58"/>
      <c r="EO456" s="58"/>
      <c r="EP456" s="58"/>
      <c r="EQ456" s="58"/>
      <c r="ER456" s="58"/>
      <c r="ES456" s="58"/>
      <c r="ET456" s="58"/>
      <c r="EU456" s="58"/>
      <c r="EV456" s="58"/>
      <c r="EW456" s="58"/>
      <c r="EX456" s="58"/>
      <c r="EY456" s="58"/>
      <c r="EZ456" s="58"/>
      <c r="FA456" s="58"/>
      <c r="FB456" s="58"/>
      <c r="FC456" s="58"/>
      <c r="FD456" s="58"/>
      <c r="FE456" s="58"/>
      <c r="FF456" s="58"/>
      <c r="FG456" s="58"/>
      <c r="FH456" s="58"/>
      <c r="FI456" s="58"/>
      <c r="FJ456" s="58"/>
      <c r="FK456" s="58"/>
      <c r="FL456" s="58"/>
      <c r="FM456" s="58"/>
      <c r="FN456" s="58"/>
      <c r="FO456" s="58"/>
      <c r="FP456" s="58"/>
      <c r="FQ456" s="58"/>
      <c r="FR456" s="58"/>
      <c r="FS456" s="58"/>
      <c r="FT456" s="58"/>
      <c r="FU456" s="58"/>
      <c r="FV456" s="58"/>
      <c r="FW456" s="58"/>
      <c r="FX456" s="58"/>
      <c r="FY456" s="58"/>
      <c r="FZ456" s="58"/>
      <c r="GA456" s="58"/>
      <c r="GB456" s="58"/>
      <c r="GC456" s="58"/>
      <c r="GD456" s="58"/>
      <c r="GE456" s="58"/>
      <c r="GF456" s="58"/>
      <c r="GG456" s="58"/>
      <c r="GH456" s="58"/>
      <c r="GI456" s="58"/>
      <c r="GJ456" s="58"/>
      <c r="GK456" s="58"/>
    </row>
    <row r="457" spans="1:193" s="74" customFormat="1">
      <c r="A457" s="78"/>
      <c r="B457" s="78"/>
      <c r="C457" s="78"/>
      <c r="D457" s="78"/>
      <c r="E457" s="78"/>
      <c r="F457" s="78"/>
      <c r="G457" s="67"/>
      <c r="H457" s="319"/>
      <c r="I457" s="319"/>
      <c r="J457" s="78"/>
      <c r="K457" s="58"/>
      <c r="L457" s="319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  <c r="EN457" s="58"/>
      <c r="EO457" s="58"/>
      <c r="EP457" s="58"/>
      <c r="EQ457" s="58"/>
      <c r="ER457" s="58"/>
      <c r="ES457" s="58"/>
      <c r="ET457" s="58"/>
      <c r="EU457" s="58"/>
      <c r="EV457" s="58"/>
      <c r="EW457" s="58"/>
      <c r="EX457" s="58"/>
      <c r="EY457" s="58"/>
      <c r="EZ457" s="58"/>
      <c r="FA457" s="58"/>
      <c r="FB457" s="58"/>
      <c r="FC457" s="58"/>
      <c r="FD457" s="58"/>
      <c r="FE457" s="58"/>
      <c r="FF457" s="58"/>
      <c r="FG457" s="58"/>
      <c r="FH457" s="58"/>
      <c r="FI457" s="58"/>
      <c r="FJ457" s="58"/>
      <c r="FK457" s="58"/>
      <c r="FL457" s="58"/>
      <c r="FM457" s="58"/>
      <c r="FN457" s="58"/>
      <c r="FO457" s="58"/>
      <c r="FP457" s="58"/>
      <c r="FQ457" s="58"/>
      <c r="FR457" s="58"/>
      <c r="FS457" s="58"/>
      <c r="FT457" s="58"/>
      <c r="FU457" s="58"/>
      <c r="FV457" s="58"/>
      <c r="FW457" s="58"/>
      <c r="FX457" s="58"/>
      <c r="FY457" s="58"/>
      <c r="FZ457" s="58"/>
      <c r="GA457" s="58"/>
      <c r="GB457" s="58"/>
      <c r="GC457" s="58"/>
      <c r="GD457" s="58"/>
      <c r="GE457" s="58"/>
      <c r="GF457" s="58"/>
      <c r="GG457" s="58"/>
      <c r="GH457" s="58"/>
      <c r="GI457" s="58"/>
      <c r="GJ457" s="58"/>
      <c r="GK457" s="58"/>
    </row>
    <row r="458" spans="1:193" s="74" customFormat="1">
      <c r="A458" s="78"/>
      <c r="B458" s="78"/>
      <c r="C458" s="78"/>
      <c r="D458" s="78"/>
      <c r="E458" s="78"/>
      <c r="F458" s="78"/>
      <c r="G458" s="67"/>
      <c r="H458" s="319"/>
      <c r="I458" s="319"/>
      <c r="J458" s="78"/>
      <c r="K458" s="58"/>
      <c r="L458" s="319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  <c r="EN458" s="58"/>
      <c r="EO458" s="58"/>
      <c r="EP458" s="58"/>
      <c r="EQ458" s="58"/>
      <c r="ER458" s="58"/>
      <c r="ES458" s="58"/>
      <c r="ET458" s="58"/>
      <c r="EU458" s="58"/>
      <c r="EV458" s="58"/>
      <c r="EW458" s="58"/>
      <c r="EX458" s="58"/>
      <c r="EY458" s="58"/>
      <c r="EZ458" s="58"/>
      <c r="FA458" s="58"/>
      <c r="FB458" s="58"/>
      <c r="FC458" s="58"/>
      <c r="FD458" s="58"/>
      <c r="FE458" s="58"/>
      <c r="FF458" s="58"/>
      <c r="FG458" s="58"/>
      <c r="FH458" s="58"/>
      <c r="FI458" s="58"/>
      <c r="FJ458" s="58"/>
      <c r="FK458" s="58"/>
      <c r="FL458" s="58"/>
      <c r="FM458" s="58"/>
      <c r="FN458" s="58"/>
      <c r="FO458" s="58"/>
      <c r="FP458" s="58"/>
      <c r="FQ458" s="58"/>
      <c r="FR458" s="58"/>
      <c r="FS458" s="58"/>
      <c r="FT458" s="58"/>
      <c r="FU458" s="58"/>
      <c r="FV458" s="58"/>
      <c r="FW458" s="58"/>
      <c r="FX458" s="58"/>
      <c r="FY458" s="58"/>
      <c r="FZ458" s="58"/>
      <c r="GA458" s="58"/>
      <c r="GB458" s="58"/>
      <c r="GC458" s="58"/>
      <c r="GD458" s="58"/>
      <c r="GE458" s="58"/>
      <c r="GF458" s="58"/>
      <c r="GG458" s="58"/>
      <c r="GH458" s="58"/>
      <c r="GI458" s="58"/>
      <c r="GJ458" s="58"/>
      <c r="GK458" s="58"/>
    </row>
    <row r="459" spans="1:193" s="74" customFormat="1">
      <c r="A459" s="78"/>
      <c r="B459" s="78"/>
      <c r="C459" s="78"/>
      <c r="D459" s="78"/>
      <c r="E459" s="78"/>
      <c r="F459" s="78"/>
      <c r="G459" s="67"/>
      <c r="H459" s="319"/>
      <c r="I459" s="319"/>
      <c r="J459" s="78"/>
      <c r="K459" s="58"/>
      <c r="L459" s="319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  <c r="EN459" s="58"/>
      <c r="EO459" s="58"/>
      <c r="EP459" s="58"/>
      <c r="EQ459" s="58"/>
      <c r="ER459" s="58"/>
      <c r="ES459" s="58"/>
      <c r="ET459" s="58"/>
      <c r="EU459" s="58"/>
      <c r="EV459" s="58"/>
      <c r="EW459" s="58"/>
      <c r="EX459" s="58"/>
      <c r="EY459" s="58"/>
      <c r="EZ459" s="58"/>
      <c r="FA459" s="58"/>
      <c r="FB459" s="58"/>
      <c r="FC459" s="58"/>
      <c r="FD459" s="58"/>
      <c r="FE459" s="58"/>
      <c r="FF459" s="58"/>
      <c r="FG459" s="58"/>
      <c r="FH459" s="58"/>
      <c r="FI459" s="58"/>
      <c r="FJ459" s="58"/>
      <c r="FK459" s="58"/>
      <c r="FL459" s="58"/>
      <c r="FM459" s="58"/>
      <c r="FN459" s="58"/>
      <c r="FO459" s="58"/>
      <c r="FP459" s="58"/>
      <c r="FQ459" s="58"/>
      <c r="FR459" s="58"/>
      <c r="FS459" s="58"/>
      <c r="FT459" s="58"/>
      <c r="FU459" s="58"/>
      <c r="FV459" s="58"/>
      <c r="FW459" s="58"/>
      <c r="FX459" s="58"/>
      <c r="FY459" s="58"/>
      <c r="FZ459" s="58"/>
      <c r="GA459" s="58"/>
      <c r="GB459" s="58"/>
      <c r="GC459" s="58"/>
      <c r="GD459" s="58"/>
      <c r="GE459" s="58"/>
      <c r="GF459" s="58"/>
      <c r="GG459" s="58"/>
      <c r="GH459" s="58"/>
      <c r="GI459" s="58"/>
      <c r="GJ459" s="58"/>
      <c r="GK459" s="58"/>
    </row>
    <row r="460" spans="1:193" s="74" customFormat="1">
      <c r="A460" s="78"/>
      <c r="B460" s="78"/>
      <c r="C460" s="78"/>
      <c r="D460" s="78"/>
      <c r="E460" s="78"/>
      <c r="F460" s="78"/>
      <c r="G460" s="67"/>
      <c r="H460" s="319"/>
      <c r="I460" s="319"/>
      <c r="J460" s="78"/>
      <c r="K460" s="58"/>
      <c r="L460" s="319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  <c r="EN460" s="58"/>
      <c r="EO460" s="58"/>
      <c r="EP460" s="58"/>
      <c r="EQ460" s="58"/>
      <c r="ER460" s="58"/>
      <c r="ES460" s="58"/>
      <c r="ET460" s="58"/>
      <c r="EU460" s="58"/>
      <c r="EV460" s="58"/>
      <c r="EW460" s="58"/>
      <c r="EX460" s="58"/>
      <c r="EY460" s="58"/>
      <c r="EZ460" s="58"/>
      <c r="FA460" s="58"/>
      <c r="FB460" s="58"/>
      <c r="FC460" s="58"/>
      <c r="FD460" s="58"/>
      <c r="FE460" s="58"/>
      <c r="FF460" s="58"/>
      <c r="FG460" s="58"/>
      <c r="FH460" s="58"/>
      <c r="FI460" s="58"/>
      <c r="FJ460" s="58"/>
      <c r="FK460" s="58"/>
      <c r="FL460" s="58"/>
      <c r="FM460" s="58"/>
      <c r="FN460" s="58"/>
      <c r="FO460" s="58"/>
      <c r="FP460" s="58"/>
      <c r="FQ460" s="58"/>
      <c r="FR460" s="58"/>
      <c r="FS460" s="58"/>
      <c r="FT460" s="58"/>
      <c r="FU460" s="58"/>
      <c r="FV460" s="58"/>
      <c r="FW460" s="58"/>
      <c r="FX460" s="58"/>
      <c r="FY460" s="58"/>
      <c r="FZ460" s="58"/>
      <c r="GA460" s="58"/>
      <c r="GB460" s="58"/>
      <c r="GC460" s="58"/>
      <c r="GD460" s="58"/>
      <c r="GE460" s="58"/>
      <c r="GF460" s="58"/>
      <c r="GG460" s="58"/>
      <c r="GH460" s="58"/>
      <c r="GI460" s="58"/>
      <c r="GJ460" s="58"/>
      <c r="GK460" s="58"/>
    </row>
    <row r="461" spans="1:193" s="74" customFormat="1">
      <c r="A461" s="78"/>
      <c r="B461" s="78"/>
      <c r="C461" s="78"/>
      <c r="D461" s="78"/>
      <c r="E461" s="78"/>
      <c r="F461" s="78"/>
      <c r="G461" s="67"/>
      <c r="H461" s="319"/>
      <c r="I461" s="319"/>
      <c r="J461" s="78"/>
      <c r="K461" s="58"/>
      <c r="L461" s="319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  <c r="EM461" s="58"/>
      <c r="EN461" s="58"/>
      <c r="EO461" s="58"/>
      <c r="EP461" s="58"/>
      <c r="EQ461" s="58"/>
      <c r="ER461" s="58"/>
      <c r="ES461" s="58"/>
      <c r="ET461" s="58"/>
      <c r="EU461" s="58"/>
      <c r="EV461" s="58"/>
      <c r="EW461" s="58"/>
      <c r="EX461" s="58"/>
      <c r="EY461" s="58"/>
      <c r="EZ461" s="58"/>
      <c r="FA461" s="58"/>
      <c r="FB461" s="58"/>
      <c r="FC461" s="58"/>
      <c r="FD461" s="58"/>
      <c r="FE461" s="58"/>
      <c r="FF461" s="58"/>
      <c r="FG461" s="58"/>
      <c r="FH461" s="58"/>
      <c r="FI461" s="58"/>
      <c r="FJ461" s="58"/>
      <c r="FK461" s="58"/>
      <c r="FL461" s="58"/>
      <c r="FM461" s="58"/>
      <c r="FN461" s="58"/>
      <c r="FO461" s="58"/>
      <c r="FP461" s="58"/>
      <c r="FQ461" s="58"/>
      <c r="FR461" s="58"/>
      <c r="FS461" s="58"/>
      <c r="FT461" s="58"/>
      <c r="FU461" s="58"/>
      <c r="FV461" s="58"/>
      <c r="FW461" s="58"/>
      <c r="FX461" s="58"/>
      <c r="FY461" s="58"/>
      <c r="FZ461" s="58"/>
      <c r="GA461" s="58"/>
      <c r="GB461" s="58"/>
      <c r="GC461" s="58"/>
      <c r="GD461" s="58"/>
      <c r="GE461" s="58"/>
      <c r="GF461" s="58"/>
      <c r="GG461" s="58"/>
      <c r="GH461" s="58"/>
      <c r="GI461" s="58"/>
      <c r="GJ461" s="58"/>
      <c r="GK461" s="58"/>
    </row>
    <row r="462" spans="1:193" s="74" customFormat="1">
      <c r="A462" s="78"/>
      <c r="B462" s="78"/>
      <c r="C462" s="78"/>
      <c r="D462" s="78"/>
      <c r="E462" s="78"/>
      <c r="F462" s="78"/>
      <c r="G462" s="67"/>
      <c r="H462" s="319"/>
      <c r="I462" s="319"/>
      <c r="J462" s="78"/>
      <c r="K462" s="58"/>
      <c r="L462" s="319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  <c r="EL462" s="58"/>
      <c r="EM462" s="58"/>
      <c r="EN462" s="58"/>
      <c r="EO462" s="58"/>
      <c r="EP462" s="58"/>
      <c r="EQ462" s="58"/>
      <c r="ER462" s="58"/>
      <c r="ES462" s="58"/>
      <c r="ET462" s="58"/>
      <c r="EU462" s="58"/>
      <c r="EV462" s="58"/>
      <c r="EW462" s="58"/>
      <c r="EX462" s="58"/>
      <c r="EY462" s="58"/>
      <c r="EZ462" s="58"/>
      <c r="FA462" s="58"/>
      <c r="FB462" s="58"/>
      <c r="FC462" s="58"/>
      <c r="FD462" s="58"/>
      <c r="FE462" s="58"/>
      <c r="FF462" s="58"/>
      <c r="FG462" s="58"/>
      <c r="FH462" s="58"/>
      <c r="FI462" s="58"/>
      <c r="FJ462" s="58"/>
      <c r="FK462" s="58"/>
      <c r="FL462" s="58"/>
      <c r="FM462" s="58"/>
      <c r="FN462" s="58"/>
      <c r="FO462" s="58"/>
      <c r="FP462" s="58"/>
      <c r="FQ462" s="58"/>
      <c r="FR462" s="58"/>
      <c r="FS462" s="58"/>
      <c r="FT462" s="58"/>
      <c r="FU462" s="58"/>
      <c r="FV462" s="58"/>
      <c r="FW462" s="58"/>
      <c r="FX462" s="58"/>
      <c r="FY462" s="58"/>
      <c r="FZ462" s="58"/>
      <c r="GA462" s="58"/>
      <c r="GB462" s="58"/>
      <c r="GC462" s="58"/>
      <c r="GD462" s="58"/>
      <c r="GE462" s="58"/>
      <c r="GF462" s="58"/>
      <c r="GG462" s="58"/>
      <c r="GH462" s="58"/>
      <c r="GI462" s="58"/>
      <c r="GJ462" s="58"/>
      <c r="GK462" s="58"/>
    </row>
    <row r="463" spans="1:193" s="74" customFormat="1">
      <c r="A463" s="78"/>
      <c r="B463" s="78"/>
      <c r="C463" s="78"/>
      <c r="D463" s="78"/>
      <c r="E463" s="78"/>
      <c r="F463" s="78"/>
      <c r="G463" s="67"/>
      <c r="H463" s="319"/>
      <c r="I463" s="319"/>
      <c r="J463" s="78"/>
      <c r="K463" s="58"/>
      <c r="L463" s="319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  <c r="EM463" s="58"/>
      <c r="EN463" s="58"/>
      <c r="EO463" s="58"/>
      <c r="EP463" s="58"/>
      <c r="EQ463" s="58"/>
      <c r="ER463" s="58"/>
      <c r="ES463" s="58"/>
      <c r="ET463" s="58"/>
      <c r="EU463" s="58"/>
      <c r="EV463" s="58"/>
      <c r="EW463" s="58"/>
      <c r="EX463" s="58"/>
      <c r="EY463" s="58"/>
      <c r="EZ463" s="58"/>
      <c r="FA463" s="58"/>
      <c r="FB463" s="58"/>
      <c r="FC463" s="58"/>
      <c r="FD463" s="58"/>
      <c r="FE463" s="58"/>
      <c r="FF463" s="58"/>
      <c r="FG463" s="58"/>
      <c r="FH463" s="58"/>
      <c r="FI463" s="58"/>
      <c r="FJ463" s="58"/>
      <c r="FK463" s="58"/>
      <c r="FL463" s="58"/>
      <c r="FM463" s="58"/>
      <c r="FN463" s="58"/>
      <c r="FO463" s="58"/>
      <c r="FP463" s="58"/>
      <c r="FQ463" s="58"/>
      <c r="FR463" s="58"/>
      <c r="FS463" s="58"/>
      <c r="FT463" s="58"/>
      <c r="FU463" s="58"/>
      <c r="FV463" s="58"/>
      <c r="FW463" s="58"/>
      <c r="FX463" s="58"/>
      <c r="FY463" s="58"/>
      <c r="FZ463" s="58"/>
      <c r="GA463" s="58"/>
      <c r="GB463" s="58"/>
      <c r="GC463" s="58"/>
      <c r="GD463" s="58"/>
      <c r="GE463" s="58"/>
      <c r="GF463" s="58"/>
      <c r="GG463" s="58"/>
      <c r="GH463" s="58"/>
      <c r="GI463" s="58"/>
      <c r="GJ463" s="58"/>
      <c r="GK463" s="58"/>
    </row>
    <row r="464" spans="1:193" s="74" customFormat="1">
      <c r="A464" s="78"/>
      <c r="B464" s="78"/>
      <c r="C464" s="78"/>
      <c r="D464" s="78"/>
      <c r="E464" s="78"/>
      <c r="F464" s="78"/>
      <c r="G464" s="67"/>
      <c r="H464" s="319"/>
      <c r="I464" s="319"/>
      <c r="J464" s="78"/>
      <c r="K464" s="58"/>
      <c r="L464" s="319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  <c r="EM464" s="58"/>
      <c r="EN464" s="58"/>
      <c r="EO464" s="58"/>
      <c r="EP464" s="58"/>
      <c r="EQ464" s="58"/>
      <c r="ER464" s="58"/>
      <c r="ES464" s="58"/>
      <c r="ET464" s="58"/>
      <c r="EU464" s="58"/>
      <c r="EV464" s="58"/>
      <c r="EW464" s="58"/>
      <c r="EX464" s="58"/>
      <c r="EY464" s="58"/>
      <c r="EZ464" s="58"/>
      <c r="FA464" s="58"/>
      <c r="FB464" s="58"/>
      <c r="FC464" s="58"/>
      <c r="FD464" s="58"/>
      <c r="FE464" s="58"/>
      <c r="FF464" s="58"/>
      <c r="FG464" s="58"/>
      <c r="FH464" s="58"/>
      <c r="FI464" s="58"/>
      <c r="FJ464" s="58"/>
      <c r="FK464" s="58"/>
      <c r="FL464" s="58"/>
      <c r="FM464" s="58"/>
      <c r="FN464" s="58"/>
      <c r="FO464" s="58"/>
      <c r="FP464" s="58"/>
      <c r="FQ464" s="58"/>
      <c r="FR464" s="58"/>
      <c r="FS464" s="58"/>
      <c r="FT464" s="58"/>
      <c r="FU464" s="58"/>
      <c r="FV464" s="58"/>
      <c r="FW464" s="58"/>
      <c r="FX464" s="58"/>
      <c r="FY464" s="58"/>
      <c r="FZ464" s="58"/>
      <c r="GA464" s="58"/>
      <c r="GB464" s="58"/>
      <c r="GC464" s="58"/>
      <c r="GD464" s="58"/>
      <c r="GE464" s="58"/>
      <c r="GF464" s="58"/>
      <c r="GG464" s="58"/>
      <c r="GH464" s="58"/>
      <c r="GI464" s="58"/>
      <c r="GJ464" s="58"/>
      <c r="GK464" s="58"/>
    </row>
    <row r="465" spans="1:193" s="74" customFormat="1">
      <c r="A465" s="78"/>
      <c r="B465" s="78"/>
      <c r="C465" s="78"/>
      <c r="D465" s="78"/>
      <c r="E465" s="78"/>
      <c r="F465" s="78"/>
      <c r="G465" s="67"/>
      <c r="H465" s="319"/>
      <c r="I465" s="319"/>
      <c r="J465" s="78"/>
      <c r="K465" s="58"/>
      <c r="L465" s="319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  <c r="EM465" s="58"/>
      <c r="EN465" s="58"/>
      <c r="EO465" s="58"/>
      <c r="EP465" s="58"/>
      <c r="EQ465" s="58"/>
      <c r="ER465" s="58"/>
      <c r="ES465" s="58"/>
      <c r="ET465" s="58"/>
      <c r="EU465" s="58"/>
      <c r="EV465" s="58"/>
      <c r="EW465" s="58"/>
      <c r="EX465" s="58"/>
      <c r="EY465" s="58"/>
      <c r="EZ465" s="58"/>
      <c r="FA465" s="58"/>
      <c r="FB465" s="58"/>
      <c r="FC465" s="58"/>
      <c r="FD465" s="58"/>
      <c r="FE465" s="58"/>
      <c r="FF465" s="58"/>
      <c r="FG465" s="58"/>
      <c r="FH465" s="58"/>
      <c r="FI465" s="58"/>
      <c r="FJ465" s="58"/>
      <c r="FK465" s="58"/>
      <c r="FL465" s="58"/>
      <c r="FM465" s="58"/>
      <c r="FN465" s="58"/>
      <c r="FO465" s="58"/>
      <c r="FP465" s="58"/>
      <c r="FQ465" s="58"/>
      <c r="FR465" s="58"/>
      <c r="FS465" s="58"/>
      <c r="FT465" s="58"/>
      <c r="FU465" s="58"/>
      <c r="FV465" s="58"/>
      <c r="FW465" s="58"/>
      <c r="FX465" s="58"/>
      <c r="FY465" s="58"/>
      <c r="FZ465" s="58"/>
      <c r="GA465" s="58"/>
      <c r="GB465" s="58"/>
      <c r="GC465" s="58"/>
      <c r="GD465" s="58"/>
      <c r="GE465" s="58"/>
      <c r="GF465" s="58"/>
      <c r="GG465" s="58"/>
      <c r="GH465" s="58"/>
      <c r="GI465" s="58"/>
      <c r="GJ465" s="58"/>
      <c r="GK465" s="58"/>
    </row>
    <row r="466" spans="1:193" s="74" customFormat="1">
      <c r="A466" s="78"/>
      <c r="B466" s="78"/>
      <c r="C466" s="78"/>
      <c r="D466" s="78"/>
      <c r="E466" s="78"/>
      <c r="F466" s="78"/>
      <c r="G466" s="67"/>
      <c r="H466" s="319"/>
      <c r="I466" s="319"/>
      <c r="J466" s="78"/>
      <c r="K466" s="58"/>
      <c r="L466" s="319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  <c r="EM466" s="58"/>
      <c r="EN466" s="58"/>
      <c r="EO466" s="58"/>
      <c r="EP466" s="58"/>
      <c r="EQ466" s="58"/>
      <c r="ER466" s="58"/>
      <c r="ES466" s="58"/>
      <c r="ET466" s="58"/>
      <c r="EU466" s="58"/>
      <c r="EV466" s="58"/>
      <c r="EW466" s="58"/>
      <c r="EX466" s="58"/>
      <c r="EY466" s="58"/>
      <c r="EZ466" s="58"/>
      <c r="FA466" s="58"/>
      <c r="FB466" s="58"/>
      <c r="FC466" s="58"/>
      <c r="FD466" s="58"/>
      <c r="FE466" s="58"/>
      <c r="FF466" s="58"/>
      <c r="FG466" s="58"/>
      <c r="FH466" s="58"/>
      <c r="FI466" s="58"/>
      <c r="FJ466" s="58"/>
      <c r="FK466" s="58"/>
      <c r="FL466" s="58"/>
      <c r="FM466" s="58"/>
      <c r="FN466" s="58"/>
      <c r="FO466" s="58"/>
      <c r="FP466" s="58"/>
      <c r="FQ466" s="58"/>
      <c r="FR466" s="58"/>
      <c r="FS466" s="58"/>
      <c r="FT466" s="58"/>
      <c r="FU466" s="58"/>
      <c r="FV466" s="58"/>
      <c r="FW466" s="58"/>
      <c r="FX466" s="58"/>
      <c r="FY466" s="58"/>
      <c r="FZ466" s="58"/>
      <c r="GA466" s="58"/>
      <c r="GB466" s="58"/>
      <c r="GC466" s="58"/>
      <c r="GD466" s="58"/>
      <c r="GE466" s="58"/>
      <c r="GF466" s="58"/>
      <c r="GG466" s="58"/>
      <c r="GH466" s="58"/>
      <c r="GI466" s="58"/>
      <c r="GJ466" s="58"/>
      <c r="GK466" s="58"/>
    </row>
    <row r="467" spans="1:193" s="74" customFormat="1">
      <c r="A467" s="78"/>
      <c r="B467" s="78"/>
      <c r="C467" s="78"/>
      <c r="D467" s="78"/>
      <c r="E467" s="78"/>
      <c r="F467" s="78"/>
      <c r="G467" s="67"/>
      <c r="H467" s="319"/>
      <c r="I467" s="319"/>
      <c r="J467" s="78"/>
      <c r="K467" s="58"/>
      <c r="L467" s="319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  <c r="EN467" s="58"/>
      <c r="EO467" s="58"/>
      <c r="EP467" s="58"/>
      <c r="EQ467" s="58"/>
      <c r="ER467" s="58"/>
      <c r="ES467" s="58"/>
      <c r="ET467" s="58"/>
      <c r="EU467" s="58"/>
      <c r="EV467" s="58"/>
      <c r="EW467" s="58"/>
      <c r="EX467" s="58"/>
      <c r="EY467" s="58"/>
      <c r="EZ467" s="58"/>
      <c r="FA467" s="58"/>
      <c r="FB467" s="58"/>
      <c r="FC467" s="58"/>
      <c r="FD467" s="58"/>
      <c r="FE467" s="58"/>
      <c r="FF467" s="58"/>
      <c r="FG467" s="58"/>
      <c r="FH467" s="58"/>
      <c r="FI467" s="58"/>
      <c r="FJ467" s="58"/>
      <c r="FK467" s="58"/>
      <c r="FL467" s="58"/>
      <c r="FM467" s="58"/>
      <c r="FN467" s="58"/>
      <c r="FO467" s="58"/>
      <c r="FP467" s="58"/>
      <c r="FQ467" s="58"/>
      <c r="FR467" s="58"/>
      <c r="FS467" s="58"/>
      <c r="FT467" s="58"/>
      <c r="FU467" s="58"/>
      <c r="FV467" s="58"/>
      <c r="FW467" s="58"/>
      <c r="FX467" s="58"/>
      <c r="FY467" s="58"/>
      <c r="FZ467" s="58"/>
      <c r="GA467" s="58"/>
      <c r="GB467" s="58"/>
      <c r="GC467" s="58"/>
      <c r="GD467" s="58"/>
      <c r="GE467" s="58"/>
      <c r="GF467" s="58"/>
      <c r="GG467" s="58"/>
      <c r="GH467" s="58"/>
      <c r="GI467" s="58"/>
      <c r="GJ467" s="58"/>
      <c r="GK467" s="58"/>
    </row>
    <row r="468" spans="1:193" s="74" customFormat="1">
      <c r="A468" s="78"/>
      <c r="B468" s="78"/>
      <c r="C468" s="78"/>
      <c r="D468" s="78"/>
      <c r="E468" s="78"/>
      <c r="F468" s="78"/>
      <c r="G468" s="67"/>
      <c r="H468" s="319"/>
      <c r="I468" s="319"/>
      <c r="J468" s="78"/>
      <c r="K468" s="58"/>
      <c r="L468" s="319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  <c r="EM468" s="58"/>
      <c r="EN468" s="58"/>
      <c r="EO468" s="58"/>
      <c r="EP468" s="58"/>
      <c r="EQ468" s="58"/>
      <c r="ER468" s="58"/>
      <c r="ES468" s="58"/>
      <c r="ET468" s="58"/>
      <c r="EU468" s="58"/>
      <c r="EV468" s="58"/>
      <c r="EW468" s="58"/>
      <c r="EX468" s="58"/>
      <c r="EY468" s="58"/>
      <c r="EZ468" s="58"/>
      <c r="FA468" s="58"/>
      <c r="FB468" s="58"/>
      <c r="FC468" s="58"/>
      <c r="FD468" s="58"/>
      <c r="FE468" s="58"/>
      <c r="FF468" s="58"/>
      <c r="FG468" s="58"/>
      <c r="FH468" s="58"/>
      <c r="FI468" s="58"/>
      <c r="FJ468" s="58"/>
      <c r="FK468" s="58"/>
      <c r="FL468" s="58"/>
      <c r="FM468" s="58"/>
      <c r="FN468" s="58"/>
      <c r="FO468" s="58"/>
      <c r="FP468" s="58"/>
      <c r="FQ468" s="58"/>
      <c r="FR468" s="58"/>
      <c r="FS468" s="58"/>
      <c r="FT468" s="58"/>
      <c r="FU468" s="58"/>
      <c r="FV468" s="58"/>
      <c r="FW468" s="58"/>
      <c r="FX468" s="58"/>
      <c r="FY468" s="58"/>
      <c r="FZ468" s="58"/>
      <c r="GA468" s="58"/>
      <c r="GB468" s="58"/>
      <c r="GC468" s="58"/>
      <c r="GD468" s="58"/>
      <c r="GE468" s="58"/>
      <c r="GF468" s="58"/>
      <c r="GG468" s="58"/>
      <c r="GH468" s="58"/>
      <c r="GI468" s="58"/>
      <c r="GJ468" s="58"/>
      <c r="GK468" s="58"/>
    </row>
    <row r="469" spans="1:193" s="74" customFormat="1">
      <c r="A469" s="78"/>
      <c r="B469" s="78"/>
      <c r="C469" s="78"/>
      <c r="D469" s="78"/>
      <c r="E469" s="78"/>
      <c r="F469" s="78"/>
      <c r="G469" s="67"/>
      <c r="H469" s="319"/>
      <c r="I469" s="319"/>
      <c r="J469" s="78"/>
      <c r="K469" s="58"/>
      <c r="L469" s="319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  <c r="EN469" s="58"/>
      <c r="EO469" s="58"/>
      <c r="EP469" s="58"/>
      <c r="EQ469" s="58"/>
      <c r="ER469" s="58"/>
      <c r="ES469" s="58"/>
      <c r="ET469" s="58"/>
      <c r="EU469" s="58"/>
      <c r="EV469" s="58"/>
      <c r="EW469" s="58"/>
      <c r="EX469" s="58"/>
      <c r="EY469" s="58"/>
      <c r="EZ469" s="58"/>
      <c r="FA469" s="58"/>
      <c r="FB469" s="58"/>
      <c r="FC469" s="58"/>
      <c r="FD469" s="58"/>
      <c r="FE469" s="58"/>
      <c r="FF469" s="58"/>
      <c r="FG469" s="58"/>
      <c r="FH469" s="58"/>
      <c r="FI469" s="58"/>
      <c r="FJ469" s="58"/>
      <c r="FK469" s="58"/>
      <c r="FL469" s="58"/>
      <c r="FM469" s="58"/>
      <c r="FN469" s="58"/>
      <c r="FO469" s="58"/>
      <c r="FP469" s="58"/>
      <c r="FQ469" s="58"/>
      <c r="FR469" s="58"/>
      <c r="FS469" s="58"/>
      <c r="FT469" s="58"/>
      <c r="FU469" s="58"/>
      <c r="FV469" s="58"/>
      <c r="FW469" s="58"/>
      <c r="FX469" s="58"/>
      <c r="FY469" s="58"/>
      <c r="FZ469" s="58"/>
      <c r="GA469" s="58"/>
      <c r="GB469" s="58"/>
      <c r="GC469" s="58"/>
      <c r="GD469" s="58"/>
      <c r="GE469" s="58"/>
      <c r="GF469" s="58"/>
      <c r="GG469" s="58"/>
      <c r="GH469" s="58"/>
      <c r="GI469" s="58"/>
      <c r="GJ469" s="58"/>
      <c r="GK469" s="58"/>
    </row>
    <row r="470" spans="1:193" s="74" customFormat="1">
      <c r="A470" s="78"/>
      <c r="B470" s="78"/>
      <c r="C470" s="78"/>
      <c r="D470" s="78"/>
      <c r="E470" s="78"/>
      <c r="F470" s="78"/>
      <c r="G470" s="67"/>
      <c r="H470" s="319"/>
      <c r="I470" s="319"/>
      <c r="J470" s="78"/>
      <c r="K470" s="58"/>
      <c r="L470" s="319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  <c r="EM470" s="58"/>
      <c r="EN470" s="58"/>
      <c r="EO470" s="58"/>
      <c r="EP470" s="58"/>
      <c r="EQ470" s="58"/>
      <c r="ER470" s="58"/>
      <c r="ES470" s="58"/>
      <c r="ET470" s="58"/>
      <c r="EU470" s="58"/>
      <c r="EV470" s="58"/>
      <c r="EW470" s="58"/>
      <c r="EX470" s="58"/>
      <c r="EY470" s="58"/>
      <c r="EZ470" s="58"/>
      <c r="FA470" s="58"/>
      <c r="FB470" s="58"/>
      <c r="FC470" s="58"/>
      <c r="FD470" s="58"/>
      <c r="FE470" s="58"/>
      <c r="FF470" s="58"/>
      <c r="FG470" s="58"/>
      <c r="FH470" s="58"/>
      <c r="FI470" s="58"/>
      <c r="FJ470" s="58"/>
      <c r="FK470" s="58"/>
      <c r="FL470" s="58"/>
      <c r="FM470" s="58"/>
      <c r="FN470" s="58"/>
      <c r="FO470" s="58"/>
      <c r="FP470" s="58"/>
      <c r="FQ470" s="58"/>
      <c r="FR470" s="58"/>
      <c r="FS470" s="58"/>
      <c r="FT470" s="58"/>
      <c r="FU470" s="58"/>
      <c r="FV470" s="58"/>
      <c r="FW470" s="58"/>
      <c r="FX470" s="58"/>
      <c r="FY470" s="58"/>
      <c r="FZ470" s="58"/>
      <c r="GA470" s="58"/>
      <c r="GB470" s="58"/>
      <c r="GC470" s="58"/>
      <c r="GD470" s="58"/>
      <c r="GE470" s="58"/>
      <c r="GF470" s="58"/>
      <c r="GG470" s="58"/>
      <c r="GH470" s="58"/>
      <c r="GI470" s="58"/>
      <c r="GJ470" s="58"/>
      <c r="GK470" s="58"/>
    </row>
    <row r="471" spans="1:193" s="74" customFormat="1">
      <c r="A471" s="78"/>
      <c r="B471" s="78"/>
      <c r="C471" s="78"/>
      <c r="D471" s="78"/>
      <c r="E471" s="78"/>
      <c r="F471" s="78"/>
      <c r="G471" s="67"/>
      <c r="H471" s="319"/>
      <c r="I471" s="319"/>
      <c r="J471" s="78"/>
      <c r="K471" s="58"/>
      <c r="L471" s="319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  <c r="EM471" s="58"/>
      <c r="EN471" s="58"/>
      <c r="EO471" s="58"/>
      <c r="EP471" s="58"/>
      <c r="EQ471" s="58"/>
      <c r="ER471" s="58"/>
      <c r="ES471" s="58"/>
      <c r="ET471" s="58"/>
      <c r="EU471" s="58"/>
      <c r="EV471" s="58"/>
      <c r="EW471" s="58"/>
      <c r="EX471" s="58"/>
      <c r="EY471" s="58"/>
      <c r="EZ471" s="58"/>
      <c r="FA471" s="58"/>
      <c r="FB471" s="58"/>
      <c r="FC471" s="58"/>
      <c r="FD471" s="58"/>
      <c r="FE471" s="58"/>
      <c r="FF471" s="58"/>
      <c r="FG471" s="58"/>
      <c r="FH471" s="58"/>
      <c r="FI471" s="58"/>
      <c r="FJ471" s="58"/>
      <c r="FK471" s="58"/>
      <c r="FL471" s="58"/>
      <c r="FM471" s="58"/>
      <c r="FN471" s="58"/>
      <c r="FO471" s="58"/>
      <c r="FP471" s="58"/>
      <c r="FQ471" s="58"/>
      <c r="FR471" s="58"/>
      <c r="FS471" s="58"/>
      <c r="FT471" s="58"/>
      <c r="FU471" s="58"/>
      <c r="FV471" s="58"/>
      <c r="FW471" s="58"/>
      <c r="FX471" s="58"/>
      <c r="FY471" s="58"/>
      <c r="FZ471" s="58"/>
      <c r="GA471" s="58"/>
      <c r="GB471" s="58"/>
      <c r="GC471" s="58"/>
      <c r="GD471" s="58"/>
      <c r="GE471" s="58"/>
      <c r="GF471" s="58"/>
      <c r="GG471" s="58"/>
      <c r="GH471" s="58"/>
      <c r="GI471" s="58"/>
      <c r="GJ471" s="58"/>
      <c r="GK471" s="58"/>
    </row>
    <row r="472" spans="1:193" s="74" customFormat="1">
      <c r="A472" s="78"/>
      <c r="B472" s="78"/>
      <c r="C472" s="78"/>
      <c r="D472" s="78"/>
      <c r="E472" s="78"/>
      <c r="F472" s="78"/>
      <c r="G472" s="67"/>
      <c r="H472" s="319"/>
      <c r="I472" s="319"/>
      <c r="J472" s="78"/>
      <c r="K472" s="58"/>
      <c r="L472" s="319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  <c r="EN472" s="58"/>
      <c r="EO472" s="58"/>
      <c r="EP472" s="58"/>
      <c r="EQ472" s="58"/>
      <c r="ER472" s="58"/>
      <c r="ES472" s="58"/>
      <c r="ET472" s="58"/>
      <c r="EU472" s="58"/>
      <c r="EV472" s="58"/>
      <c r="EW472" s="58"/>
      <c r="EX472" s="58"/>
      <c r="EY472" s="58"/>
      <c r="EZ472" s="58"/>
      <c r="FA472" s="58"/>
      <c r="FB472" s="58"/>
      <c r="FC472" s="58"/>
      <c r="FD472" s="58"/>
      <c r="FE472" s="58"/>
      <c r="FF472" s="58"/>
      <c r="FG472" s="58"/>
      <c r="FH472" s="58"/>
      <c r="FI472" s="58"/>
      <c r="FJ472" s="58"/>
      <c r="FK472" s="58"/>
      <c r="FL472" s="58"/>
      <c r="FM472" s="58"/>
      <c r="FN472" s="58"/>
      <c r="FO472" s="58"/>
      <c r="FP472" s="58"/>
      <c r="FQ472" s="58"/>
      <c r="FR472" s="58"/>
      <c r="FS472" s="58"/>
      <c r="FT472" s="58"/>
      <c r="FU472" s="58"/>
      <c r="FV472" s="58"/>
      <c r="FW472" s="58"/>
      <c r="FX472" s="58"/>
      <c r="FY472" s="58"/>
      <c r="FZ472" s="58"/>
      <c r="GA472" s="58"/>
      <c r="GB472" s="58"/>
      <c r="GC472" s="58"/>
      <c r="GD472" s="58"/>
      <c r="GE472" s="58"/>
      <c r="GF472" s="58"/>
      <c r="GG472" s="58"/>
      <c r="GH472" s="58"/>
      <c r="GI472" s="58"/>
      <c r="GJ472" s="58"/>
      <c r="GK472" s="58"/>
    </row>
    <row r="473" spans="1:193" s="74" customFormat="1">
      <c r="A473" s="78"/>
      <c r="B473" s="78"/>
      <c r="C473" s="78"/>
      <c r="D473" s="78"/>
      <c r="E473" s="78"/>
      <c r="F473" s="78"/>
      <c r="G473" s="67"/>
      <c r="H473" s="319"/>
      <c r="I473" s="319"/>
      <c r="J473" s="78"/>
      <c r="K473" s="58"/>
      <c r="L473" s="319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  <c r="EM473" s="58"/>
      <c r="EN473" s="58"/>
      <c r="EO473" s="58"/>
      <c r="EP473" s="58"/>
      <c r="EQ473" s="58"/>
      <c r="ER473" s="58"/>
      <c r="ES473" s="58"/>
      <c r="ET473" s="58"/>
      <c r="EU473" s="58"/>
      <c r="EV473" s="58"/>
      <c r="EW473" s="58"/>
      <c r="EX473" s="58"/>
      <c r="EY473" s="58"/>
      <c r="EZ473" s="58"/>
      <c r="FA473" s="58"/>
      <c r="FB473" s="58"/>
      <c r="FC473" s="58"/>
      <c r="FD473" s="58"/>
      <c r="FE473" s="58"/>
      <c r="FF473" s="58"/>
      <c r="FG473" s="58"/>
      <c r="FH473" s="58"/>
      <c r="FI473" s="58"/>
      <c r="FJ473" s="58"/>
      <c r="FK473" s="58"/>
      <c r="FL473" s="58"/>
      <c r="FM473" s="58"/>
      <c r="FN473" s="58"/>
      <c r="FO473" s="58"/>
      <c r="FP473" s="58"/>
      <c r="FQ473" s="58"/>
      <c r="FR473" s="58"/>
      <c r="FS473" s="58"/>
      <c r="FT473" s="58"/>
      <c r="FU473" s="58"/>
      <c r="FV473" s="58"/>
      <c r="FW473" s="58"/>
      <c r="FX473" s="58"/>
      <c r="FY473" s="58"/>
      <c r="FZ473" s="58"/>
      <c r="GA473" s="58"/>
      <c r="GB473" s="58"/>
      <c r="GC473" s="58"/>
      <c r="GD473" s="58"/>
      <c r="GE473" s="58"/>
      <c r="GF473" s="58"/>
      <c r="GG473" s="58"/>
      <c r="GH473" s="58"/>
      <c r="GI473" s="58"/>
      <c r="GJ473" s="58"/>
      <c r="GK473" s="58"/>
    </row>
    <row r="474" spans="1:193" s="74" customFormat="1">
      <c r="A474" s="78"/>
      <c r="B474" s="78"/>
      <c r="C474" s="78"/>
      <c r="D474" s="78"/>
      <c r="E474" s="78"/>
      <c r="F474" s="78"/>
      <c r="G474" s="67"/>
      <c r="H474" s="319"/>
      <c r="I474" s="319"/>
      <c r="J474" s="78"/>
      <c r="K474" s="58"/>
      <c r="L474" s="319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  <c r="EM474" s="58"/>
      <c r="EN474" s="58"/>
      <c r="EO474" s="58"/>
      <c r="EP474" s="58"/>
      <c r="EQ474" s="58"/>
      <c r="ER474" s="58"/>
      <c r="ES474" s="58"/>
      <c r="ET474" s="58"/>
      <c r="EU474" s="58"/>
      <c r="EV474" s="58"/>
      <c r="EW474" s="58"/>
      <c r="EX474" s="58"/>
      <c r="EY474" s="58"/>
      <c r="EZ474" s="58"/>
      <c r="FA474" s="58"/>
      <c r="FB474" s="58"/>
      <c r="FC474" s="58"/>
      <c r="FD474" s="58"/>
      <c r="FE474" s="58"/>
      <c r="FF474" s="58"/>
      <c r="FG474" s="58"/>
      <c r="FH474" s="58"/>
      <c r="FI474" s="58"/>
      <c r="FJ474" s="58"/>
      <c r="FK474" s="58"/>
      <c r="FL474" s="58"/>
      <c r="FM474" s="58"/>
      <c r="FN474" s="58"/>
      <c r="FO474" s="58"/>
      <c r="FP474" s="58"/>
      <c r="FQ474" s="58"/>
      <c r="FR474" s="58"/>
      <c r="FS474" s="58"/>
      <c r="FT474" s="58"/>
      <c r="FU474" s="58"/>
      <c r="FV474" s="58"/>
      <c r="FW474" s="58"/>
      <c r="FX474" s="58"/>
      <c r="FY474" s="58"/>
      <c r="FZ474" s="58"/>
      <c r="GA474" s="58"/>
      <c r="GB474" s="58"/>
      <c r="GC474" s="58"/>
      <c r="GD474" s="58"/>
      <c r="GE474" s="58"/>
      <c r="GF474" s="58"/>
      <c r="GG474" s="58"/>
      <c r="GH474" s="58"/>
      <c r="GI474" s="58"/>
      <c r="GJ474" s="58"/>
      <c r="GK474" s="58"/>
    </row>
    <row r="475" spans="1:193" s="74" customFormat="1">
      <c r="A475" s="78"/>
      <c r="B475" s="78"/>
      <c r="C475" s="78"/>
      <c r="D475" s="78"/>
      <c r="E475" s="78"/>
      <c r="F475" s="78"/>
      <c r="G475" s="67"/>
      <c r="H475" s="319"/>
      <c r="I475" s="319"/>
      <c r="J475" s="78"/>
      <c r="K475" s="58"/>
      <c r="L475" s="319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  <c r="EM475" s="58"/>
      <c r="EN475" s="58"/>
      <c r="EO475" s="58"/>
      <c r="EP475" s="58"/>
      <c r="EQ475" s="58"/>
      <c r="ER475" s="58"/>
      <c r="ES475" s="58"/>
      <c r="ET475" s="58"/>
      <c r="EU475" s="58"/>
      <c r="EV475" s="58"/>
      <c r="EW475" s="58"/>
      <c r="EX475" s="58"/>
      <c r="EY475" s="58"/>
      <c r="EZ475" s="58"/>
      <c r="FA475" s="58"/>
      <c r="FB475" s="58"/>
      <c r="FC475" s="58"/>
      <c r="FD475" s="58"/>
      <c r="FE475" s="58"/>
      <c r="FF475" s="58"/>
      <c r="FG475" s="58"/>
      <c r="FH475" s="58"/>
      <c r="FI475" s="58"/>
      <c r="FJ475" s="58"/>
      <c r="FK475" s="58"/>
      <c r="FL475" s="58"/>
      <c r="FM475" s="58"/>
      <c r="FN475" s="58"/>
      <c r="FO475" s="58"/>
      <c r="FP475" s="58"/>
      <c r="FQ475" s="58"/>
      <c r="FR475" s="58"/>
      <c r="FS475" s="58"/>
      <c r="FT475" s="58"/>
      <c r="FU475" s="58"/>
      <c r="FV475" s="58"/>
      <c r="FW475" s="58"/>
      <c r="FX475" s="58"/>
      <c r="FY475" s="58"/>
      <c r="FZ475" s="58"/>
      <c r="GA475" s="58"/>
      <c r="GB475" s="58"/>
      <c r="GC475" s="58"/>
      <c r="GD475" s="58"/>
      <c r="GE475" s="58"/>
      <c r="GF475" s="58"/>
      <c r="GG475" s="58"/>
      <c r="GH475" s="58"/>
      <c r="GI475" s="58"/>
      <c r="GJ475" s="58"/>
      <c r="GK475" s="58"/>
    </row>
    <row r="476" spans="1:193" s="74" customFormat="1">
      <c r="A476" s="78"/>
      <c r="B476" s="78"/>
      <c r="C476" s="78"/>
      <c r="D476" s="78"/>
      <c r="E476" s="78"/>
      <c r="F476" s="78"/>
      <c r="G476" s="67"/>
      <c r="H476" s="319"/>
      <c r="I476" s="319"/>
      <c r="J476" s="78"/>
      <c r="K476" s="58"/>
      <c r="L476" s="319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  <c r="EM476" s="58"/>
      <c r="EN476" s="58"/>
      <c r="EO476" s="58"/>
      <c r="EP476" s="58"/>
      <c r="EQ476" s="58"/>
      <c r="ER476" s="58"/>
      <c r="ES476" s="58"/>
      <c r="ET476" s="58"/>
      <c r="EU476" s="58"/>
      <c r="EV476" s="58"/>
      <c r="EW476" s="58"/>
      <c r="EX476" s="58"/>
      <c r="EY476" s="58"/>
      <c r="EZ476" s="58"/>
      <c r="FA476" s="58"/>
      <c r="FB476" s="58"/>
      <c r="FC476" s="58"/>
      <c r="FD476" s="58"/>
      <c r="FE476" s="58"/>
      <c r="FF476" s="58"/>
      <c r="FG476" s="58"/>
      <c r="FH476" s="58"/>
      <c r="FI476" s="58"/>
      <c r="FJ476" s="58"/>
      <c r="FK476" s="58"/>
      <c r="FL476" s="58"/>
      <c r="FM476" s="58"/>
      <c r="FN476" s="58"/>
      <c r="FO476" s="58"/>
      <c r="FP476" s="58"/>
      <c r="FQ476" s="58"/>
      <c r="FR476" s="58"/>
      <c r="FS476" s="58"/>
      <c r="FT476" s="58"/>
      <c r="FU476" s="58"/>
      <c r="FV476" s="58"/>
      <c r="FW476" s="58"/>
      <c r="FX476" s="58"/>
      <c r="FY476" s="58"/>
      <c r="FZ476" s="58"/>
      <c r="GA476" s="58"/>
      <c r="GB476" s="58"/>
      <c r="GC476" s="58"/>
      <c r="GD476" s="58"/>
      <c r="GE476" s="58"/>
      <c r="GF476" s="58"/>
      <c r="GG476" s="58"/>
      <c r="GH476" s="58"/>
      <c r="GI476" s="58"/>
      <c r="GJ476" s="58"/>
      <c r="GK476" s="58"/>
    </row>
    <row r="477" spans="1:193" s="74" customFormat="1">
      <c r="A477" s="78"/>
      <c r="B477" s="78"/>
      <c r="C477" s="78"/>
      <c r="D477" s="78"/>
      <c r="E477" s="78"/>
      <c r="F477" s="78"/>
      <c r="G477" s="67"/>
      <c r="H477" s="319"/>
      <c r="I477" s="319"/>
      <c r="J477" s="78"/>
      <c r="K477" s="58"/>
      <c r="L477" s="319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  <c r="EN477" s="58"/>
      <c r="EO477" s="58"/>
      <c r="EP477" s="58"/>
      <c r="EQ477" s="58"/>
      <c r="ER477" s="58"/>
      <c r="ES477" s="58"/>
      <c r="ET477" s="58"/>
      <c r="EU477" s="58"/>
      <c r="EV477" s="58"/>
      <c r="EW477" s="58"/>
      <c r="EX477" s="58"/>
      <c r="EY477" s="58"/>
      <c r="EZ477" s="58"/>
      <c r="FA477" s="58"/>
      <c r="FB477" s="58"/>
      <c r="FC477" s="58"/>
      <c r="FD477" s="58"/>
      <c r="FE477" s="58"/>
      <c r="FF477" s="58"/>
      <c r="FG477" s="58"/>
      <c r="FH477" s="58"/>
      <c r="FI477" s="58"/>
      <c r="FJ477" s="58"/>
      <c r="FK477" s="58"/>
      <c r="FL477" s="58"/>
      <c r="FM477" s="58"/>
      <c r="FN477" s="58"/>
      <c r="FO477" s="58"/>
      <c r="FP477" s="58"/>
      <c r="FQ477" s="58"/>
      <c r="FR477" s="58"/>
      <c r="FS477" s="58"/>
      <c r="FT477" s="58"/>
      <c r="FU477" s="58"/>
      <c r="FV477" s="58"/>
      <c r="FW477" s="58"/>
      <c r="FX477" s="58"/>
      <c r="FY477" s="58"/>
      <c r="FZ477" s="58"/>
      <c r="GA477" s="58"/>
      <c r="GB477" s="58"/>
      <c r="GC477" s="58"/>
      <c r="GD477" s="58"/>
      <c r="GE477" s="58"/>
      <c r="GF477" s="58"/>
      <c r="GG477" s="58"/>
      <c r="GH477" s="58"/>
      <c r="GI477" s="58"/>
      <c r="GJ477" s="58"/>
      <c r="GK477" s="58"/>
    </row>
    <row r="478" spans="1:193" s="74" customFormat="1">
      <c r="A478" s="78"/>
      <c r="B478" s="78"/>
      <c r="C478" s="78"/>
      <c r="D478" s="78"/>
      <c r="E478" s="78"/>
      <c r="F478" s="78"/>
      <c r="G478" s="67"/>
      <c r="H478" s="319"/>
      <c r="I478" s="319"/>
      <c r="J478" s="78"/>
      <c r="K478" s="58"/>
      <c r="L478" s="319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  <c r="EM478" s="58"/>
      <c r="EN478" s="58"/>
      <c r="EO478" s="58"/>
      <c r="EP478" s="58"/>
      <c r="EQ478" s="58"/>
      <c r="ER478" s="58"/>
      <c r="ES478" s="58"/>
      <c r="ET478" s="58"/>
      <c r="EU478" s="58"/>
      <c r="EV478" s="58"/>
      <c r="EW478" s="58"/>
      <c r="EX478" s="58"/>
      <c r="EY478" s="58"/>
      <c r="EZ478" s="58"/>
      <c r="FA478" s="58"/>
      <c r="FB478" s="58"/>
      <c r="FC478" s="58"/>
      <c r="FD478" s="58"/>
      <c r="FE478" s="58"/>
      <c r="FF478" s="58"/>
      <c r="FG478" s="58"/>
      <c r="FH478" s="58"/>
      <c r="FI478" s="58"/>
      <c r="FJ478" s="58"/>
      <c r="FK478" s="58"/>
      <c r="FL478" s="58"/>
      <c r="FM478" s="58"/>
      <c r="FN478" s="58"/>
      <c r="FO478" s="58"/>
      <c r="FP478" s="58"/>
      <c r="FQ478" s="58"/>
      <c r="FR478" s="58"/>
      <c r="FS478" s="58"/>
      <c r="FT478" s="58"/>
      <c r="FU478" s="58"/>
      <c r="FV478" s="58"/>
      <c r="FW478" s="58"/>
      <c r="FX478" s="58"/>
      <c r="FY478" s="58"/>
      <c r="FZ478" s="58"/>
      <c r="GA478" s="58"/>
      <c r="GB478" s="58"/>
      <c r="GC478" s="58"/>
      <c r="GD478" s="58"/>
      <c r="GE478" s="58"/>
      <c r="GF478" s="58"/>
      <c r="GG478" s="58"/>
      <c r="GH478" s="58"/>
      <c r="GI478" s="58"/>
      <c r="GJ478" s="58"/>
      <c r="GK478" s="58"/>
    </row>
    <row r="479" spans="1:193" s="74" customFormat="1">
      <c r="A479" s="78"/>
      <c r="B479" s="78"/>
      <c r="C479" s="78"/>
      <c r="D479" s="78"/>
      <c r="E479" s="78"/>
      <c r="F479" s="78"/>
      <c r="G479" s="67"/>
      <c r="H479" s="319"/>
      <c r="I479" s="319"/>
      <c r="J479" s="78"/>
      <c r="K479" s="58"/>
      <c r="L479" s="319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  <c r="EM479" s="58"/>
      <c r="EN479" s="58"/>
      <c r="EO479" s="58"/>
      <c r="EP479" s="58"/>
      <c r="EQ479" s="58"/>
      <c r="ER479" s="58"/>
      <c r="ES479" s="58"/>
      <c r="ET479" s="58"/>
      <c r="EU479" s="58"/>
      <c r="EV479" s="58"/>
      <c r="EW479" s="58"/>
      <c r="EX479" s="58"/>
      <c r="EY479" s="58"/>
      <c r="EZ479" s="58"/>
      <c r="FA479" s="58"/>
      <c r="FB479" s="58"/>
      <c r="FC479" s="58"/>
      <c r="FD479" s="58"/>
      <c r="FE479" s="58"/>
      <c r="FF479" s="58"/>
      <c r="FG479" s="58"/>
      <c r="FH479" s="58"/>
      <c r="FI479" s="58"/>
      <c r="FJ479" s="58"/>
      <c r="FK479" s="58"/>
      <c r="FL479" s="58"/>
      <c r="FM479" s="58"/>
      <c r="FN479" s="58"/>
      <c r="FO479" s="58"/>
      <c r="FP479" s="58"/>
      <c r="FQ479" s="58"/>
      <c r="FR479" s="58"/>
      <c r="FS479" s="58"/>
      <c r="FT479" s="58"/>
      <c r="FU479" s="58"/>
      <c r="FV479" s="58"/>
      <c r="FW479" s="58"/>
      <c r="FX479" s="58"/>
      <c r="FY479" s="58"/>
      <c r="FZ479" s="58"/>
      <c r="GA479" s="58"/>
      <c r="GB479" s="58"/>
      <c r="GC479" s="58"/>
      <c r="GD479" s="58"/>
      <c r="GE479" s="58"/>
      <c r="GF479" s="58"/>
      <c r="GG479" s="58"/>
      <c r="GH479" s="58"/>
      <c r="GI479" s="58"/>
      <c r="GJ479" s="58"/>
      <c r="GK479" s="58"/>
    </row>
    <row r="480" spans="1:193" s="74" customFormat="1">
      <c r="A480" s="78"/>
      <c r="B480" s="78"/>
      <c r="C480" s="78"/>
      <c r="D480" s="78"/>
      <c r="E480" s="78"/>
      <c r="F480" s="78"/>
      <c r="G480" s="67"/>
      <c r="H480" s="319"/>
      <c r="I480" s="319"/>
      <c r="J480" s="78"/>
      <c r="K480" s="58"/>
      <c r="L480" s="319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  <c r="EM480" s="58"/>
      <c r="EN480" s="58"/>
      <c r="EO480" s="58"/>
      <c r="EP480" s="58"/>
      <c r="EQ480" s="58"/>
      <c r="ER480" s="58"/>
      <c r="ES480" s="58"/>
      <c r="ET480" s="58"/>
      <c r="EU480" s="58"/>
      <c r="EV480" s="58"/>
      <c r="EW480" s="58"/>
      <c r="EX480" s="58"/>
      <c r="EY480" s="58"/>
      <c r="EZ480" s="58"/>
      <c r="FA480" s="58"/>
      <c r="FB480" s="58"/>
      <c r="FC480" s="58"/>
      <c r="FD480" s="58"/>
      <c r="FE480" s="58"/>
      <c r="FF480" s="58"/>
      <c r="FG480" s="58"/>
      <c r="FH480" s="58"/>
      <c r="FI480" s="58"/>
      <c r="FJ480" s="58"/>
      <c r="FK480" s="58"/>
      <c r="FL480" s="58"/>
      <c r="FM480" s="58"/>
      <c r="FN480" s="58"/>
      <c r="FO480" s="58"/>
      <c r="FP480" s="58"/>
      <c r="FQ480" s="58"/>
      <c r="FR480" s="58"/>
      <c r="FS480" s="58"/>
      <c r="FT480" s="58"/>
      <c r="FU480" s="58"/>
      <c r="FV480" s="58"/>
      <c r="FW480" s="58"/>
      <c r="FX480" s="58"/>
      <c r="FY480" s="58"/>
      <c r="FZ480" s="58"/>
      <c r="GA480" s="58"/>
      <c r="GB480" s="58"/>
      <c r="GC480" s="58"/>
      <c r="GD480" s="58"/>
      <c r="GE480" s="58"/>
      <c r="GF480" s="58"/>
      <c r="GG480" s="58"/>
      <c r="GH480" s="58"/>
      <c r="GI480" s="58"/>
      <c r="GJ480" s="58"/>
      <c r="GK480" s="58"/>
    </row>
    <row r="481" spans="1:193" s="74" customFormat="1">
      <c r="A481" s="78"/>
      <c r="B481" s="78"/>
      <c r="C481" s="78"/>
      <c r="D481" s="78"/>
      <c r="E481" s="78"/>
      <c r="F481" s="78"/>
      <c r="G481" s="67"/>
      <c r="H481" s="319"/>
      <c r="I481" s="319"/>
      <c r="J481" s="78"/>
      <c r="K481" s="58"/>
      <c r="L481" s="319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  <c r="EL481" s="58"/>
      <c r="EM481" s="58"/>
      <c r="EN481" s="58"/>
      <c r="EO481" s="58"/>
      <c r="EP481" s="58"/>
      <c r="EQ481" s="58"/>
      <c r="ER481" s="58"/>
      <c r="ES481" s="58"/>
      <c r="ET481" s="58"/>
      <c r="EU481" s="58"/>
      <c r="EV481" s="58"/>
      <c r="EW481" s="58"/>
      <c r="EX481" s="58"/>
      <c r="EY481" s="58"/>
      <c r="EZ481" s="58"/>
      <c r="FA481" s="58"/>
      <c r="FB481" s="58"/>
      <c r="FC481" s="58"/>
      <c r="FD481" s="58"/>
      <c r="FE481" s="58"/>
      <c r="FF481" s="58"/>
      <c r="FG481" s="58"/>
      <c r="FH481" s="58"/>
      <c r="FI481" s="58"/>
      <c r="FJ481" s="58"/>
      <c r="FK481" s="58"/>
      <c r="FL481" s="58"/>
      <c r="FM481" s="58"/>
      <c r="FN481" s="58"/>
      <c r="FO481" s="58"/>
      <c r="FP481" s="58"/>
      <c r="FQ481" s="58"/>
      <c r="FR481" s="58"/>
      <c r="FS481" s="58"/>
      <c r="FT481" s="58"/>
      <c r="FU481" s="58"/>
      <c r="FV481" s="58"/>
      <c r="FW481" s="58"/>
      <c r="FX481" s="58"/>
      <c r="FY481" s="58"/>
      <c r="FZ481" s="58"/>
      <c r="GA481" s="58"/>
      <c r="GB481" s="58"/>
      <c r="GC481" s="58"/>
      <c r="GD481" s="58"/>
      <c r="GE481" s="58"/>
      <c r="GF481" s="58"/>
      <c r="GG481" s="58"/>
      <c r="GH481" s="58"/>
      <c r="GI481" s="58"/>
      <c r="GJ481" s="58"/>
      <c r="GK481" s="58"/>
    </row>
    <row r="482" spans="1:193" s="74" customFormat="1">
      <c r="A482" s="78"/>
      <c r="B482" s="78"/>
      <c r="C482" s="78"/>
      <c r="D482" s="78"/>
      <c r="E482" s="78"/>
      <c r="F482" s="78"/>
      <c r="G482" s="67"/>
      <c r="H482" s="319"/>
      <c r="I482" s="319"/>
      <c r="J482" s="78"/>
      <c r="K482" s="58"/>
      <c r="L482" s="319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  <c r="EL482" s="58"/>
      <c r="EM482" s="58"/>
      <c r="EN482" s="58"/>
      <c r="EO482" s="58"/>
      <c r="EP482" s="58"/>
      <c r="EQ482" s="58"/>
      <c r="ER482" s="58"/>
      <c r="ES482" s="58"/>
      <c r="ET482" s="58"/>
      <c r="EU482" s="58"/>
      <c r="EV482" s="58"/>
      <c r="EW482" s="58"/>
      <c r="EX482" s="58"/>
      <c r="EY482" s="58"/>
      <c r="EZ482" s="58"/>
      <c r="FA482" s="58"/>
      <c r="FB482" s="58"/>
      <c r="FC482" s="58"/>
      <c r="FD482" s="58"/>
      <c r="FE482" s="58"/>
      <c r="FF482" s="58"/>
      <c r="FG482" s="58"/>
      <c r="FH482" s="58"/>
      <c r="FI482" s="58"/>
      <c r="FJ482" s="58"/>
      <c r="FK482" s="58"/>
      <c r="FL482" s="58"/>
      <c r="FM482" s="58"/>
      <c r="FN482" s="58"/>
      <c r="FO482" s="58"/>
      <c r="FP482" s="58"/>
      <c r="FQ482" s="58"/>
      <c r="FR482" s="58"/>
      <c r="FS482" s="58"/>
      <c r="FT482" s="58"/>
      <c r="FU482" s="58"/>
      <c r="FV482" s="58"/>
      <c r="FW482" s="58"/>
      <c r="FX482" s="58"/>
      <c r="FY482" s="58"/>
      <c r="FZ482" s="58"/>
      <c r="GA482" s="58"/>
      <c r="GB482" s="58"/>
      <c r="GC482" s="58"/>
      <c r="GD482" s="58"/>
      <c r="GE482" s="58"/>
      <c r="GF482" s="58"/>
      <c r="GG482" s="58"/>
      <c r="GH482" s="58"/>
      <c r="GI482" s="58"/>
      <c r="GJ482" s="58"/>
      <c r="GK482" s="58"/>
    </row>
    <row r="483" spans="1:193" s="74" customFormat="1">
      <c r="A483" s="78"/>
      <c r="B483" s="78"/>
      <c r="C483" s="78"/>
      <c r="D483" s="78"/>
      <c r="E483" s="78"/>
      <c r="F483" s="78"/>
      <c r="G483" s="67"/>
      <c r="H483" s="319"/>
      <c r="I483" s="319"/>
      <c r="J483" s="78"/>
      <c r="K483" s="58"/>
      <c r="L483" s="319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  <c r="EM483" s="58"/>
      <c r="EN483" s="58"/>
      <c r="EO483" s="58"/>
      <c r="EP483" s="58"/>
      <c r="EQ483" s="58"/>
      <c r="ER483" s="58"/>
      <c r="ES483" s="58"/>
      <c r="ET483" s="58"/>
      <c r="EU483" s="58"/>
      <c r="EV483" s="58"/>
      <c r="EW483" s="58"/>
      <c r="EX483" s="58"/>
      <c r="EY483" s="58"/>
      <c r="EZ483" s="58"/>
      <c r="FA483" s="58"/>
      <c r="FB483" s="58"/>
      <c r="FC483" s="58"/>
      <c r="FD483" s="58"/>
      <c r="FE483" s="58"/>
      <c r="FF483" s="58"/>
      <c r="FG483" s="58"/>
      <c r="FH483" s="58"/>
      <c r="FI483" s="58"/>
      <c r="FJ483" s="58"/>
      <c r="FK483" s="58"/>
      <c r="FL483" s="58"/>
      <c r="FM483" s="58"/>
      <c r="FN483" s="58"/>
      <c r="FO483" s="58"/>
      <c r="FP483" s="58"/>
      <c r="FQ483" s="58"/>
      <c r="FR483" s="58"/>
      <c r="FS483" s="58"/>
      <c r="FT483" s="58"/>
      <c r="FU483" s="58"/>
      <c r="FV483" s="58"/>
      <c r="FW483" s="58"/>
      <c r="FX483" s="58"/>
      <c r="FY483" s="58"/>
      <c r="FZ483" s="58"/>
      <c r="GA483" s="58"/>
      <c r="GB483" s="58"/>
      <c r="GC483" s="58"/>
      <c r="GD483" s="58"/>
      <c r="GE483" s="58"/>
      <c r="GF483" s="58"/>
      <c r="GG483" s="58"/>
      <c r="GH483" s="58"/>
      <c r="GI483" s="58"/>
      <c r="GJ483" s="58"/>
      <c r="GK483" s="58"/>
    </row>
    <row r="484" spans="1:193" s="74" customFormat="1">
      <c r="A484" s="78"/>
      <c r="B484" s="78"/>
      <c r="C484" s="78"/>
      <c r="D484" s="78"/>
      <c r="E484" s="78"/>
      <c r="F484" s="78"/>
      <c r="G484" s="67"/>
      <c r="H484" s="319"/>
      <c r="I484" s="319"/>
      <c r="J484" s="78"/>
      <c r="K484" s="58"/>
      <c r="L484" s="319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  <c r="EN484" s="58"/>
      <c r="EO484" s="58"/>
      <c r="EP484" s="58"/>
      <c r="EQ484" s="58"/>
      <c r="ER484" s="58"/>
      <c r="ES484" s="58"/>
      <c r="ET484" s="58"/>
      <c r="EU484" s="58"/>
      <c r="EV484" s="58"/>
      <c r="EW484" s="58"/>
      <c r="EX484" s="58"/>
      <c r="EY484" s="58"/>
      <c r="EZ484" s="58"/>
      <c r="FA484" s="58"/>
      <c r="FB484" s="58"/>
      <c r="FC484" s="58"/>
      <c r="FD484" s="58"/>
      <c r="FE484" s="58"/>
      <c r="FF484" s="58"/>
      <c r="FG484" s="58"/>
      <c r="FH484" s="58"/>
      <c r="FI484" s="58"/>
      <c r="FJ484" s="58"/>
      <c r="FK484" s="58"/>
      <c r="FL484" s="58"/>
      <c r="FM484" s="58"/>
      <c r="FN484" s="58"/>
      <c r="FO484" s="58"/>
      <c r="FP484" s="58"/>
      <c r="FQ484" s="58"/>
      <c r="FR484" s="58"/>
      <c r="FS484" s="58"/>
      <c r="FT484" s="58"/>
      <c r="FU484" s="58"/>
      <c r="FV484" s="58"/>
      <c r="FW484" s="58"/>
      <c r="FX484" s="58"/>
      <c r="FY484" s="58"/>
      <c r="FZ484" s="58"/>
      <c r="GA484" s="58"/>
      <c r="GB484" s="58"/>
      <c r="GC484" s="58"/>
      <c r="GD484" s="58"/>
      <c r="GE484" s="58"/>
      <c r="GF484" s="58"/>
      <c r="GG484" s="58"/>
      <c r="GH484" s="58"/>
      <c r="GI484" s="58"/>
      <c r="GJ484" s="58"/>
      <c r="GK484" s="58"/>
    </row>
    <row r="485" spans="1:193" s="74" customFormat="1">
      <c r="A485" s="78"/>
      <c r="B485" s="78"/>
      <c r="C485" s="78"/>
      <c r="D485" s="78"/>
      <c r="E485" s="78"/>
      <c r="F485" s="78"/>
      <c r="G485" s="67"/>
      <c r="H485" s="319"/>
      <c r="I485" s="319"/>
      <c r="J485" s="78"/>
      <c r="K485" s="58"/>
      <c r="L485" s="319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  <c r="EN485" s="58"/>
      <c r="EO485" s="58"/>
      <c r="EP485" s="58"/>
      <c r="EQ485" s="58"/>
      <c r="ER485" s="58"/>
      <c r="ES485" s="58"/>
      <c r="ET485" s="58"/>
      <c r="EU485" s="58"/>
      <c r="EV485" s="58"/>
      <c r="EW485" s="58"/>
      <c r="EX485" s="58"/>
      <c r="EY485" s="58"/>
      <c r="EZ485" s="58"/>
      <c r="FA485" s="58"/>
      <c r="FB485" s="58"/>
      <c r="FC485" s="58"/>
      <c r="FD485" s="58"/>
      <c r="FE485" s="58"/>
      <c r="FF485" s="58"/>
      <c r="FG485" s="58"/>
      <c r="FH485" s="58"/>
      <c r="FI485" s="58"/>
      <c r="FJ485" s="58"/>
      <c r="FK485" s="58"/>
      <c r="FL485" s="58"/>
      <c r="FM485" s="58"/>
      <c r="FN485" s="58"/>
      <c r="FO485" s="58"/>
      <c r="FP485" s="58"/>
      <c r="FQ485" s="58"/>
      <c r="FR485" s="58"/>
      <c r="FS485" s="58"/>
      <c r="FT485" s="58"/>
      <c r="FU485" s="58"/>
      <c r="FV485" s="58"/>
      <c r="FW485" s="58"/>
      <c r="FX485" s="58"/>
      <c r="FY485" s="58"/>
      <c r="FZ485" s="58"/>
      <c r="GA485" s="58"/>
      <c r="GB485" s="58"/>
      <c r="GC485" s="58"/>
      <c r="GD485" s="58"/>
      <c r="GE485" s="58"/>
      <c r="GF485" s="58"/>
      <c r="GG485" s="58"/>
      <c r="GH485" s="58"/>
      <c r="GI485" s="58"/>
      <c r="GJ485" s="58"/>
      <c r="GK485" s="58"/>
    </row>
    <row r="486" spans="1:193" s="74" customFormat="1">
      <c r="A486" s="78"/>
      <c r="B486" s="78"/>
      <c r="C486" s="78"/>
      <c r="D486" s="78"/>
      <c r="E486" s="78"/>
      <c r="F486" s="78"/>
      <c r="G486" s="67"/>
      <c r="H486" s="319"/>
      <c r="I486" s="319"/>
      <c r="J486" s="78"/>
      <c r="K486" s="58"/>
      <c r="L486" s="319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  <c r="EN486" s="58"/>
      <c r="EO486" s="58"/>
      <c r="EP486" s="58"/>
      <c r="EQ486" s="58"/>
      <c r="ER486" s="58"/>
      <c r="ES486" s="58"/>
      <c r="ET486" s="58"/>
      <c r="EU486" s="58"/>
      <c r="EV486" s="58"/>
      <c r="EW486" s="58"/>
      <c r="EX486" s="58"/>
      <c r="EY486" s="58"/>
      <c r="EZ486" s="58"/>
      <c r="FA486" s="58"/>
      <c r="FB486" s="58"/>
      <c r="FC486" s="58"/>
      <c r="FD486" s="58"/>
      <c r="FE486" s="58"/>
      <c r="FF486" s="58"/>
      <c r="FG486" s="58"/>
      <c r="FH486" s="58"/>
      <c r="FI486" s="58"/>
      <c r="FJ486" s="58"/>
      <c r="FK486" s="58"/>
      <c r="FL486" s="58"/>
      <c r="FM486" s="58"/>
      <c r="FN486" s="58"/>
      <c r="FO486" s="58"/>
      <c r="FP486" s="58"/>
      <c r="FQ486" s="58"/>
      <c r="FR486" s="58"/>
      <c r="FS486" s="58"/>
      <c r="FT486" s="58"/>
      <c r="FU486" s="58"/>
      <c r="FV486" s="58"/>
      <c r="FW486" s="58"/>
      <c r="FX486" s="58"/>
      <c r="FY486" s="58"/>
      <c r="FZ486" s="58"/>
      <c r="GA486" s="58"/>
      <c r="GB486" s="58"/>
      <c r="GC486" s="58"/>
      <c r="GD486" s="58"/>
      <c r="GE486" s="58"/>
      <c r="GF486" s="58"/>
      <c r="GG486" s="58"/>
      <c r="GH486" s="58"/>
      <c r="GI486" s="58"/>
      <c r="GJ486" s="58"/>
      <c r="GK486" s="58"/>
    </row>
    <row r="487" spans="1:193" s="74" customFormat="1">
      <c r="A487" s="78"/>
      <c r="B487" s="78"/>
      <c r="C487" s="78"/>
      <c r="D487" s="78"/>
      <c r="E487" s="78"/>
      <c r="F487" s="78"/>
      <c r="G487" s="67"/>
      <c r="H487" s="319"/>
      <c r="I487" s="319"/>
      <c r="J487" s="78"/>
      <c r="K487" s="58"/>
      <c r="L487" s="319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  <c r="EN487" s="58"/>
      <c r="EO487" s="58"/>
      <c r="EP487" s="58"/>
      <c r="EQ487" s="58"/>
      <c r="ER487" s="58"/>
      <c r="ES487" s="58"/>
      <c r="ET487" s="58"/>
      <c r="EU487" s="58"/>
      <c r="EV487" s="58"/>
      <c r="EW487" s="58"/>
      <c r="EX487" s="58"/>
      <c r="EY487" s="58"/>
      <c r="EZ487" s="58"/>
      <c r="FA487" s="58"/>
      <c r="FB487" s="58"/>
      <c r="FC487" s="58"/>
      <c r="FD487" s="58"/>
      <c r="FE487" s="58"/>
      <c r="FF487" s="58"/>
      <c r="FG487" s="58"/>
      <c r="FH487" s="58"/>
      <c r="FI487" s="58"/>
      <c r="FJ487" s="58"/>
      <c r="FK487" s="58"/>
      <c r="FL487" s="58"/>
      <c r="FM487" s="58"/>
      <c r="FN487" s="58"/>
      <c r="FO487" s="58"/>
      <c r="FP487" s="58"/>
      <c r="FQ487" s="58"/>
      <c r="FR487" s="58"/>
      <c r="FS487" s="58"/>
      <c r="FT487" s="58"/>
      <c r="FU487" s="58"/>
      <c r="FV487" s="58"/>
      <c r="FW487" s="58"/>
      <c r="FX487" s="58"/>
      <c r="FY487" s="58"/>
      <c r="FZ487" s="58"/>
      <c r="GA487" s="58"/>
      <c r="GB487" s="58"/>
      <c r="GC487" s="58"/>
      <c r="GD487" s="58"/>
      <c r="GE487" s="58"/>
      <c r="GF487" s="58"/>
      <c r="GG487" s="58"/>
      <c r="GH487" s="58"/>
      <c r="GI487" s="58"/>
      <c r="GJ487" s="58"/>
      <c r="GK487" s="58"/>
    </row>
    <row r="488" spans="1:193" s="74" customFormat="1">
      <c r="A488" s="78"/>
      <c r="B488" s="78"/>
      <c r="C488" s="78"/>
      <c r="D488" s="78"/>
      <c r="E488" s="78"/>
      <c r="F488" s="78"/>
      <c r="G488" s="67"/>
      <c r="H488" s="319"/>
      <c r="I488" s="319"/>
      <c r="J488" s="78"/>
      <c r="K488" s="58"/>
      <c r="L488" s="319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  <c r="EN488" s="58"/>
      <c r="EO488" s="58"/>
      <c r="EP488" s="58"/>
      <c r="EQ488" s="58"/>
      <c r="ER488" s="58"/>
      <c r="ES488" s="58"/>
      <c r="ET488" s="58"/>
      <c r="EU488" s="58"/>
      <c r="EV488" s="58"/>
      <c r="EW488" s="58"/>
      <c r="EX488" s="58"/>
      <c r="EY488" s="58"/>
      <c r="EZ488" s="58"/>
      <c r="FA488" s="58"/>
      <c r="FB488" s="58"/>
      <c r="FC488" s="58"/>
      <c r="FD488" s="58"/>
      <c r="FE488" s="58"/>
      <c r="FF488" s="58"/>
      <c r="FG488" s="58"/>
      <c r="FH488" s="58"/>
      <c r="FI488" s="58"/>
      <c r="FJ488" s="58"/>
      <c r="FK488" s="58"/>
      <c r="FL488" s="58"/>
      <c r="FM488" s="58"/>
      <c r="FN488" s="58"/>
      <c r="FO488" s="58"/>
      <c r="FP488" s="58"/>
      <c r="FQ488" s="58"/>
      <c r="FR488" s="58"/>
      <c r="FS488" s="58"/>
      <c r="FT488" s="58"/>
      <c r="FU488" s="58"/>
      <c r="FV488" s="58"/>
      <c r="FW488" s="58"/>
      <c r="FX488" s="58"/>
      <c r="FY488" s="58"/>
      <c r="FZ488" s="58"/>
      <c r="GA488" s="58"/>
      <c r="GB488" s="58"/>
      <c r="GC488" s="58"/>
      <c r="GD488" s="58"/>
      <c r="GE488" s="58"/>
      <c r="GF488" s="58"/>
      <c r="GG488" s="58"/>
      <c r="GH488" s="58"/>
      <c r="GI488" s="58"/>
      <c r="GJ488" s="58"/>
      <c r="GK488" s="58"/>
    </row>
    <row r="489" spans="1:193" s="74" customFormat="1">
      <c r="A489" s="78"/>
      <c r="B489" s="78"/>
      <c r="C489" s="78"/>
      <c r="D489" s="78"/>
      <c r="E489" s="78"/>
      <c r="F489" s="78"/>
      <c r="G489" s="67"/>
      <c r="H489" s="319"/>
      <c r="I489" s="319"/>
      <c r="J489" s="78"/>
      <c r="K489" s="58"/>
      <c r="L489" s="319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  <c r="EN489" s="58"/>
      <c r="EO489" s="58"/>
      <c r="EP489" s="58"/>
      <c r="EQ489" s="58"/>
      <c r="ER489" s="58"/>
      <c r="ES489" s="58"/>
      <c r="ET489" s="58"/>
      <c r="EU489" s="58"/>
      <c r="EV489" s="58"/>
      <c r="EW489" s="58"/>
      <c r="EX489" s="58"/>
      <c r="EY489" s="58"/>
      <c r="EZ489" s="58"/>
      <c r="FA489" s="58"/>
      <c r="FB489" s="58"/>
      <c r="FC489" s="58"/>
      <c r="FD489" s="58"/>
      <c r="FE489" s="58"/>
      <c r="FF489" s="58"/>
      <c r="FG489" s="58"/>
      <c r="FH489" s="58"/>
      <c r="FI489" s="58"/>
      <c r="FJ489" s="58"/>
      <c r="FK489" s="58"/>
      <c r="FL489" s="58"/>
      <c r="FM489" s="58"/>
      <c r="FN489" s="58"/>
      <c r="FO489" s="58"/>
      <c r="FP489" s="58"/>
      <c r="FQ489" s="58"/>
      <c r="FR489" s="58"/>
      <c r="FS489" s="58"/>
      <c r="FT489" s="58"/>
      <c r="FU489" s="58"/>
      <c r="FV489" s="58"/>
      <c r="FW489" s="58"/>
      <c r="FX489" s="58"/>
      <c r="FY489" s="58"/>
      <c r="FZ489" s="58"/>
      <c r="GA489" s="58"/>
      <c r="GB489" s="58"/>
      <c r="GC489" s="58"/>
      <c r="GD489" s="58"/>
      <c r="GE489" s="58"/>
      <c r="GF489" s="58"/>
      <c r="GG489" s="58"/>
      <c r="GH489" s="58"/>
      <c r="GI489" s="58"/>
      <c r="GJ489" s="58"/>
      <c r="GK489" s="58"/>
    </row>
    <row r="490" spans="1:193" s="74" customFormat="1">
      <c r="A490" s="78"/>
      <c r="B490" s="78"/>
      <c r="C490" s="78"/>
      <c r="D490" s="78"/>
      <c r="E490" s="78"/>
      <c r="F490" s="78"/>
      <c r="G490" s="67"/>
      <c r="H490" s="319"/>
      <c r="I490" s="319"/>
      <c r="J490" s="78"/>
      <c r="K490" s="58"/>
      <c r="L490" s="319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  <c r="EN490" s="58"/>
      <c r="EO490" s="58"/>
      <c r="EP490" s="58"/>
      <c r="EQ490" s="58"/>
      <c r="ER490" s="58"/>
      <c r="ES490" s="58"/>
      <c r="ET490" s="58"/>
      <c r="EU490" s="58"/>
      <c r="EV490" s="58"/>
      <c r="EW490" s="58"/>
      <c r="EX490" s="58"/>
      <c r="EY490" s="58"/>
      <c r="EZ490" s="58"/>
      <c r="FA490" s="58"/>
      <c r="FB490" s="58"/>
      <c r="FC490" s="58"/>
      <c r="FD490" s="58"/>
      <c r="FE490" s="58"/>
      <c r="FF490" s="58"/>
      <c r="FG490" s="58"/>
      <c r="FH490" s="58"/>
      <c r="FI490" s="58"/>
      <c r="FJ490" s="58"/>
      <c r="FK490" s="58"/>
      <c r="FL490" s="58"/>
      <c r="FM490" s="58"/>
      <c r="FN490" s="58"/>
      <c r="FO490" s="58"/>
      <c r="FP490" s="58"/>
      <c r="FQ490" s="58"/>
      <c r="FR490" s="58"/>
      <c r="FS490" s="58"/>
      <c r="FT490" s="58"/>
      <c r="FU490" s="58"/>
      <c r="FV490" s="58"/>
      <c r="FW490" s="58"/>
      <c r="FX490" s="58"/>
      <c r="FY490" s="58"/>
      <c r="FZ490" s="58"/>
      <c r="GA490" s="58"/>
      <c r="GB490" s="58"/>
      <c r="GC490" s="58"/>
      <c r="GD490" s="58"/>
      <c r="GE490" s="58"/>
      <c r="GF490" s="58"/>
      <c r="GG490" s="58"/>
      <c r="GH490" s="58"/>
      <c r="GI490" s="58"/>
      <c r="GJ490" s="58"/>
      <c r="GK490" s="58"/>
    </row>
    <row r="491" spans="1:193" s="74" customFormat="1">
      <c r="A491" s="78"/>
      <c r="B491" s="78"/>
      <c r="C491" s="78"/>
      <c r="D491" s="78"/>
      <c r="E491" s="78"/>
      <c r="F491" s="78"/>
      <c r="G491" s="67"/>
      <c r="H491" s="319"/>
      <c r="I491" s="319"/>
      <c r="J491" s="78"/>
      <c r="K491" s="58"/>
      <c r="L491" s="319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  <c r="EN491" s="58"/>
      <c r="EO491" s="58"/>
      <c r="EP491" s="58"/>
      <c r="EQ491" s="58"/>
      <c r="ER491" s="58"/>
      <c r="ES491" s="58"/>
      <c r="ET491" s="58"/>
      <c r="EU491" s="58"/>
      <c r="EV491" s="58"/>
      <c r="EW491" s="58"/>
      <c r="EX491" s="58"/>
      <c r="EY491" s="58"/>
      <c r="EZ491" s="58"/>
      <c r="FA491" s="58"/>
      <c r="FB491" s="58"/>
      <c r="FC491" s="58"/>
      <c r="FD491" s="58"/>
      <c r="FE491" s="58"/>
      <c r="FF491" s="58"/>
      <c r="FG491" s="58"/>
      <c r="FH491" s="58"/>
      <c r="FI491" s="58"/>
      <c r="FJ491" s="58"/>
      <c r="FK491" s="58"/>
      <c r="FL491" s="58"/>
      <c r="FM491" s="58"/>
      <c r="FN491" s="58"/>
      <c r="FO491" s="58"/>
      <c r="FP491" s="58"/>
      <c r="FQ491" s="58"/>
      <c r="FR491" s="58"/>
      <c r="FS491" s="58"/>
      <c r="FT491" s="58"/>
      <c r="FU491" s="58"/>
      <c r="FV491" s="58"/>
      <c r="FW491" s="58"/>
      <c r="FX491" s="58"/>
      <c r="FY491" s="58"/>
      <c r="FZ491" s="58"/>
      <c r="GA491" s="58"/>
      <c r="GB491" s="58"/>
      <c r="GC491" s="58"/>
      <c r="GD491" s="58"/>
      <c r="GE491" s="58"/>
      <c r="GF491" s="58"/>
      <c r="GG491" s="58"/>
      <c r="GH491" s="58"/>
      <c r="GI491" s="58"/>
      <c r="GJ491" s="58"/>
      <c r="GK491" s="58"/>
    </row>
    <row r="492" spans="1:193" s="74" customFormat="1">
      <c r="A492" s="78"/>
      <c r="B492" s="78"/>
      <c r="C492" s="78"/>
      <c r="D492" s="78"/>
      <c r="E492" s="78"/>
      <c r="F492" s="78"/>
      <c r="G492" s="67"/>
      <c r="H492" s="319"/>
      <c r="I492" s="319"/>
      <c r="J492" s="78"/>
      <c r="K492" s="58"/>
      <c r="L492" s="319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  <c r="EN492" s="58"/>
      <c r="EO492" s="58"/>
      <c r="EP492" s="58"/>
      <c r="EQ492" s="58"/>
      <c r="ER492" s="58"/>
      <c r="ES492" s="58"/>
      <c r="ET492" s="58"/>
      <c r="EU492" s="58"/>
      <c r="EV492" s="58"/>
      <c r="EW492" s="58"/>
      <c r="EX492" s="58"/>
      <c r="EY492" s="58"/>
      <c r="EZ492" s="58"/>
      <c r="FA492" s="58"/>
      <c r="FB492" s="58"/>
      <c r="FC492" s="58"/>
      <c r="FD492" s="58"/>
      <c r="FE492" s="58"/>
      <c r="FF492" s="58"/>
      <c r="FG492" s="58"/>
      <c r="FH492" s="58"/>
      <c r="FI492" s="58"/>
      <c r="FJ492" s="58"/>
      <c r="FK492" s="58"/>
      <c r="FL492" s="58"/>
      <c r="FM492" s="58"/>
      <c r="FN492" s="58"/>
      <c r="FO492" s="58"/>
      <c r="FP492" s="58"/>
      <c r="FQ492" s="58"/>
      <c r="FR492" s="58"/>
      <c r="FS492" s="58"/>
      <c r="FT492" s="58"/>
      <c r="FU492" s="58"/>
      <c r="FV492" s="58"/>
      <c r="FW492" s="58"/>
      <c r="FX492" s="58"/>
      <c r="FY492" s="58"/>
      <c r="FZ492" s="58"/>
      <c r="GA492" s="58"/>
      <c r="GB492" s="58"/>
      <c r="GC492" s="58"/>
      <c r="GD492" s="58"/>
      <c r="GE492" s="58"/>
      <c r="GF492" s="58"/>
      <c r="GG492" s="58"/>
      <c r="GH492" s="58"/>
      <c r="GI492" s="58"/>
      <c r="GJ492" s="58"/>
      <c r="GK492" s="58"/>
    </row>
    <row r="493" spans="1:193" s="74" customFormat="1">
      <c r="A493" s="78"/>
      <c r="B493" s="78"/>
      <c r="C493" s="78"/>
      <c r="D493" s="78"/>
      <c r="E493" s="78"/>
      <c r="F493" s="78"/>
      <c r="G493" s="67"/>
      <c r="H493" s="319"/>
      <c r="I493" s="319"/>
      <c r="J493" s="78"/>
      <c r="K493" s="58"/>
      <c r="L493" s="319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  <c r="EN493" s="58"/>
      <c r="EO493" s="58"/>
      <c r="EP493" s="58"/>
      <c r="EQ493" s="58"/>
      <c r="ER493" s="58"/>
      <c r="ES493" s="58"/>
      <c r="ET493" s="58"/>
      <c r="EU493" s="58"/>
      <c r="EV493" s="58"/>
      <c r="EW493" s="58"/>
      <c r="EX493" s="58"/>
      <c r="EY493" s="58"/>
      <c r="EZ493" s="58"/>
      <c r="FA493" s="58"/>
      <c r="FB493" s="58"/>
      <c r="FC493" s="58"/>
      <c r="FD493" s="58"/>
      <c r="FE493" s="58"/>
      <c r="FF493" s="58"/>
      <c r="FG493" s="58"/>
      <c r="FH493" s="58"/>
      <c r="FI493" s="58"/>
      <c r="FJ493" s="58"/>
      <c r="FK493" s="58"/>
      <c r="FL493" s="58"/>
      <c r="FM493" s="58"/>
      <c r="FN493" s="58"/>
      <c r="FO493" s="58"/>
      <c r="FP493" s="58"/>
      <c r="FQ493" s="58"/>
      <c r="FR493" s="58"/>
      <c r="FS493" s="58"/>
      <c r="FT493" s="58"/>
      <c r="FU493" s="58"/>
      <c r="FV493" s="58"/>
      <c r="FW493" s="58"/>
      <c r="FX493" s="58"/>
      <c r="FY493" s="58"/>
      <c r="FZ493" s="58"/>
      <c r="GA493" s="58"/>
      <c r="GB493" s="58"/>
      <c r="GC493" s="58"/>
      <c r="GD493" s="58"/>
      <c r="GE493" s="58"/>
      <c r="GF493" s="58"/>
      <c r="GG493" s="58"/>
      <c r="GH493" s="58"/>
      <c r="GI493" s="58"/>
      <c r="GJ493" s="58"/>
      <c r="GK493" s="58"/>
    </row>
    <row r="494" spans="1:193" s="74" customFormat="1">
      <c r="A494" s="78"/>
      <c r="B494" s="78"/>
      <c r="C494" s="78"/>
      <c r="D494" s="78"/>
      <c r="E494" s="78"/>
      <c r="F494" s="78"/>
      <c r="G494" s="67"/>
      <c r="H494" s="319"/>
      <c r="I494" s="319"/>
      <c r="J494" s="78"/>
      <c r="K494" s="58"/>
      <c r="L494" s="319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  <c r="EM494" s="58"/>
      <c r="EN494" s="58"/>
      <c r="EO494" s="58"/>
      <c r="EP494" s="58"/>
      <c r="EQ494" s="58"/>
      <c r="ER494" s="58"/>
      <c r="ES494" s="58"/>
      <c r="ET494" s="58"/>
      <c r="EU494" s="58"/>
      <c r="EV494" s="58"/>
      <c r="EW494" s="58"/>
      <c r="EX494" s="58"/>
      <c r="EY494" s="58"/>
      <c r="EZ494" s="58"/>
      <c r="FA494" s="58"/>
      <c r="FB494" s="58"/>
      <c r="FC494" s="58"/>
      <c r="FD494" s="58"/>
      <c r="FE494" s="58"/>
      <c r="FF494" s="58"/>
      <c r="FG494" s="58"/>
      <c r="FH494" s="58"/>
      <c r="FI494" s="58"/>
      <c r="FJ494" s="58"/>
      <c r="FK494" s="58"/>
      <c r="FL494" s="58"/>
      <c r="FM494" s="58"/>
      <c r="FN494" s="58"/>
      <c r="FO494" s="58"/>
      <c r="FP494" s="58"/>
      <c r="FQ494" s="58"/>
      <c r="FR494" s="58"/>
      <c r="FS494" s="58"/>
      <c r="FT494" s="58"/>
      <c r="FU494" s="58"/>
      <c r="FV494" s="58"/>
      <c r="FW494" s="58"/>
      <c r="FX494" s="58"/>
      <c r="FY494" s="58"/>
      <c r="FZ494" s="58"/>
      <c r="GA494" s="58"/>
      <c r="GB494" s="58"/>
      <c r="GC494" s="58"/>
      <c r="GD494" s="58"/>
      <c r="GE494" s="58"/>
      <c r="GF494" s="58"/>
      <c r="GG494" s="58"/>
      <c r="GH494" s="58"/>
      <c r="GI494" s="58"/>
      <c r="GJ494" s="58"/>
      <c r="GK494" s="58"/>
    </row>
    <row r="495" spans="1:193" s="74" customFormat="1">
      <c r="A495" s="78"/>
      <c r="B495" s="78"/>
      <c r="C495" s="78"/>
      <c r="D495" s="78"/>
      <c r="E495" s="78"/>
      <c r="F495" s="78"/>
      <c r="G495" s="67"/>
      <c r="H495" s="319"/>
      <c r="I495" s="319"/>
      <c r="J495" s="78"/>
      <c r="K495" s="58"/>
      <c r="L495" s="319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  <c r="EM495" s="58"/>
      <c r="EN495" s="58"/>
      <c r="EO495" s="58"/>
      <c r="EP495" s="58"/>
      <c r="EQ495" s="58"/>
      <c r="ER495" s="58"/>
      <c r="ES495" s="58"/>
      <c r="ET495" s="58"/>
      <c r="EU495" s="58"/>
      <c r="EV495" s="58"/>
      <c r="EW495" s="58"/>
      <c r="EX495" s="58"/>
      <c r="EY495" s="58"/>
      <c r="EZ495" s="58"/>
      <c r="FA495" s="58"/>
      <c r="FB495" s="58"/>
      <c r="FC495" s="58"/>
      <c r="FD495" s="58"/>
      <c r="FE495" s="58"/>
      <c r="FF495" s="58"/>
      <c r="FG495" s="58"/>
      <c r="FH495" s="58"/>
      <c r="FI495" s="58"/>
      <c r="FJ495" s="58"/>
      <c r="FK495" s="58"/>
      <c r="FL495" s="58"/>
      <c r="FM495" s="58"/>
      <c r="FN495" s="58"/>
      <c r="FO495" s="58"/>
      <c r="FP495" s="58"/>
      <c r="FQ495" s="58"/>
      <c r="FR495" s="58"/>
      <c r="FS495" s="58"/>
      <c r="FT495" s="58"/>
      <c r="FU495" s="58"/>
      <c r="FV495" s="58"/>
      <c r="FW495" s="58"/>
      <c r="FX495" s="58"/>
      <c r="FY495" s="58"/>
      <c r="FZ495" s="58"/>
      <c r="GA495" s="58"/>
      <c r="GB495" s="58"/>
      <c r="GC495" s="58"/>
      <c r="GD495" s="58"/>
      <c r="GE495" s="58"/>
      <c r="GF495" s="58"/>
      <c r="GG495" s="58"/>
      <c r="GH495" s="58"/>
      <c r="GI495" s="58"/>
      <c r="GJ495" s="58"/>
      <c r="GK495" s="58"/>
    </row>
    <row r="496" spans="1:193" s="74" customFormat="1">
      <c r="A496" s="78"/>
      <c r="B496" s="78"/>
      <c r="C496" s="78"/>
      <c r="D496" s="78"/>
      <c r="E496" s="78"/>
      <c r="F496" s="78"/>
      <c r="G496" s="67"/>
      <c r="H496" s="319"/>
      <c r="I496" s="319"/>
      <c r="J496" s="78"/>
      <c r="K496" s="58"/>
      <c r="L496" s="319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  <c r="EM496" s="58"/>
      <c r="EN496" s="58"/>
      <c r="EO496" s="58"/>
      <c r="EP496" s="58"/>
      <c r="EQ496" s="58"/>
      <c r="ER496" s="58"/>
      <c r="ES496" s="58"/>
      <c r="ET496" s="58"/>
      <c r="EU496" s="58"/>
      <c r="EV496" s="58"/>
      <c r="EW496" s="58"/>
      <c r="EX496" s="58"/>
      <c r="EY496" s="58"/>
      <c r="EZ496" s="58"/>
      <c r="FA496" s="58"/>
      <c r="FB496" s="58"/>
      <c r="FC496" s="58"/>
      <c r="FD496" s="58"/>
      <c r="FE496" s="58"/>
      <c r="FF496" s="58"/>
      <c r="FG496" s="58"/>
      <c r="FH496" s="58"/>
      <c r="FI496" s="58"/>
      <c r="FJ496" s="58"/>
      <c r="FK496" s="58"/>
      <c r="FL496" s="58"/>
      <c r="FM496" s="58"/>
      <c r="FN496" s="58"/>
      <c r="FO496" s="58"/>
      <c r="FP496" s="58"/>
      <c r="FQ496" s="58"/>
      <c r="FR496" s="58"/>
      <c r="FS496" s="58"/>
      <c r="FT496" s="58"/>
      <c r="FU496" s="58"/>
      <c r="FV496" s="58"/>
      <c r="FW496" s="58"/>
      <c r="FX496" s="58"/>
      <c r="FY496" s="58"/>
      <c r="FZ496" s="58"/>
      <c r="GA496" s="58"/>
      <c r="GB496" s="58"/>
      <c r="GC496" s="58"/>
      <c r="GD496" s="58"/>
      <c r="GE496" s="58"/>
      <c r="GF496" s="58"/>
      <c r="GG496" s="58"/>
      <c r="GH496" s="58"/>
      <c r="GI496" s="58"/>
      <c r="GJ496" s="58"/>
      <c r="GK496" s="58"/>
    </row>
    <row r="497" spans="1:193" s="74" customFormat="1">
      <c r="A497" s="78"/>
      <c r="B497" s="78"/>
      <c r="C497" s="78"/>
      <c r="D497" s="78"/>
      <c r="E497" s="78"/>
      <c r="F497" s="78"/>
      <c r="G497" s="67"/>
      <c r="H497" s="319"/>
      <c r="I497" s="319"/>
      <c r="J497" s="78"/>
      <c r="K497" s="58"/>
      <c r="L497" s="319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  <c r="EN497" s="58"/>
      <c r="EO497" s="58"/>
      <c r="EP497" s="58"/>
      <c r="EQ497" s="58"/>
      <c r="ER497" s="58"/>
      <c r="ES497" s="58"/>
      <c r="ET497" s="58"/>
      <c r="EU497" s="58"/>
      <c r="EV497" s="58"/>
      <c r="EW497" s="58"/>
      <c r="EX497" s="58"/>
      <c r="EY497" s="58"/>
      <c r="EZ497" s="58"/>
      <c r="FA497" s="58"/>
      <c r="FB497" s="58"/>
      <c r="FC497" s="58"/>
      <c r="FD497" s="58"/>
      <c r="FE497" s="58"/>
      <c r="FF497" s="58"/>
      <c r="FG497" s="58"/>
      <c r="FH497" s="58"/>
      <c r="FI497" s="58"/>
      <c r="FJ497" s="58"/>
      <c r="FK497" s="58"/>
      <c r="FL497" s="58"/>
      <c r="FM497" s="58"/>
      <c r="FN497" s="58"/>
      <c r="FO497" s="58"/>
      <c r="FP497" s="58"/>
      <c r="FQ497" s="58"/>
      <c r="FR497" s="58"/>
      <c r="FS497" s="58"/>
      <c r="FT497" s="58"/>
      <c r="FU497" s="58"/>
      <c r="FV497" s="58"/>
      <c r="FW497" s="58"/>
      <c r="FX497" s="58"/>
      <c r="FY497" s="58"/>
      <c r="FZ497" s="58"/>
      <c r="GA497" s="58"/>
      <c r="GB497" s="58"/>
      <c r="GC497" s="58"/>
      <c r="GD497" s="58"/>
      <c r="GE497" s="58"/>
      <c r="GF497" s="58"/>
      <c r="GG497" s="58"/>
      <c r="GH497" s="58"/>
      <c r="GI497" s="58"/>
      <c r="GJ497" s="58"/>
      <c r="GK497" s="58"/>
    </row>
    <row r="498" spans="1:193" s="74" customFormat="1">
      <c r="A498" s="78"/>
      <c r="B498" s="78"/>
      <c r="C498" s="78"/>
      <c r="D498" s="78"/>
      <c r="E498" s="78"/>
      <c r="F498" s="78"/>
      <c r="G498" s="67"/>
      <c r="H498" s="319"/>
      <c r="I498" s="319"/>
      <c r="J498" s="78"/>
      <c r="K498" s="58"/>
      <c r="L498" s="319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  <c r="EN498" s="58"/>
      <c r="EO498" s="58"/>
      <c r="EP498" s="58"/>
      <c r="EQ498" s="58"/>
      <c r="ER498" s="58"/>
      <c r="ES498" s="58"/>
      <c r="ET498" s="58"/>
      <c r="EU498" s="58"/>
      <c r="EV498" s="58"/>
      <c r="EW498" s="58"/>
      <c r="EX498" s="58"/>
      <c r="EY498" s="58"/>
      <c r="EZ498" s="58"/>
      <c r="FA498" s="58"/>
      <c r="FB498" s="58"/>
      <c r="FC498" s="58"/>
      <c r="FD498" s="58"/>
      <c r="FE498" s="58"/>
      <c r="FF498" s="58"/>
      <c r="FG498" s="58"/>
      <c r="FH498" s="58"/>
      <c r="FI498" s="58"/>
      <c r="FJ498" s="58"/>
      <c r="FK498" s="58"/>
      <c r="FL498" s="58"/>
      <c r="FM498" s="58"/>
      <c r="FN498" s="58"/>
      <c r="FO498" s="58"/>
      <c r="FP498" s="58"/>
      <c r="FQ498" s="58"/>
      <c r="FR498" s="58"/>
      <c r="FS498" s="58"/>
      <c r="FT498" s="58"/>
      <c r="FU498" s="58"/>
      <c r="FV498" s="58"/>
      <c r="FW498" s="58"/>
      <c r="FX498" s="58"/>
      <c r="FY498" s="58"/>
      <c r="FZ498" s="58"/>
      <c r="GA498" s="58"/>
      <c r="GB498" s="58"/>
      <c r="GC498" s="58"/>
      <c r="GD498" s="58"/>
      <c r="GE498" s="58"/>
      <c r="GF498" s="58"/>
      <c r="GG498" s="58"/>
      <c r="GH498" s="58"/>
      <c r="GI498" s="58"/>
      <c r="GJ498" s="58"/>
      <c r="GK498" s="58"/>
    </row>
    <row r="499" spans="1:193" s="74" customFormat="1">
      <c r="A499" s="78"/>
      <c r="B499" s="78"/>
      <c r="C499" s="78"/>
      <c r="D499" s="78"/>
      <c r="E499" s="78"/>
      <c r="F499" s="78"/>
      <c r="G499" s="67"/>
      <c r="H499" s="319"/>
      <c r="I499" s="319"/>
      <c r="J499" s="78"/>
      <c r="K499" s="58"/>
      <c r="L499" s="319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  <c r="EN499" s="58"/>
      <c r="EO499" s="58"/>
      <c r="EP499" s="58"/>
      <c r="EQ499" s="58"/>
      <c r="ER499" s="58"/>
      <c r="ES499" s="58"/>
      <c r="ET499" s="58"/>
      <c r="EU499" s="58"/>
      <c r="EV499" s="58"/>
      <c r="EW499" s="58"/>
      <c r="EX499" s="58"/>
      <c r="EY499" s="58"/>
      <c r="EZ499" s="58"/>
      <c r="FA499" s="58"/>
      <c r="FB499" s="58"/>
      <c r="FC499" s="58"/>
      <c r="FD499" s="58"/>
      <c r="FE499" s="58"/>
      <c r="FF499" s="58"/>
      <c r="FG499" s="58"/>
      <c r="FH499" s="58"/>
      <c r="FI499" s="58"/>
      <c r="FJ499" s="58"/>
      <c r="FK499" s="58"/>
      <c r="FL499" s="58"/>
      <c r="FM499" s="58"/>
      <c r="FN499" s="58"/>
      <c r="FO499" s="58"/>
      <c r="FP499" s="58"/>
      <c r="FQ499" s="58"/>
      <c r="FR499" s="58"/>
      <c r="FS499" s="58"/>
      <c r="FT499" s="58"/>
      <c r="FU499" s="58"/>
      <c r="FV499" s="58"/>
      <c r="FW499" s="58"/>
      <c r="FX499" s="58"/>
      <c r="FY499" s="58"/>
      <c r="FZ499" s="58"/>
      <c r="GA499" s="58"/>
      <c r="GB499" s="58"/>
      <c r="GC499" s="58"/>
      <c r="GD499" s="58"/>
      <c r="GE499" s="58"/>
      <c r="GF499" s="58"/>
      <c r="GG499" s="58"/>
      <c r="GH499" s="58"/>
      <c r="GI499" s="58"/>
      <c r="GJ499" s="58"/>
      <c r="GK499" s="58"/>
    </row>
    <row r="500" spans="1:193" s="74" customFormat="1">
      <c r="A500" s="78"/>
      <c r="B500" s="78"/>
      <c r="C500" s="78"/>
      <c r="D500" s="78"/>
      <c r="E500" s="78"/>
      <c r="F500" s="78"/>
      <c r="G500" s="67"/>
      <c r="H500" s="319"/>
      <c r="I500" s="319"/>
      <c r="J500" s="78"/>
      <c r="K500" s="58"/>
      <c r="L500" s="319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  <c r="EN500" s="58"/>
      <c r="EO500" s="58"/>
      <c r="EP500" s="58"/>
      <c r="EQ500" s="58"/>
      <c r="ER500" s="58"/>
      <c r="ES500" s="58"/>
      <c r="ET500" s="58"/>
      <c r="EU500" s="58"/>
      <c r="EV500" s="58"/>
      <c r="EW500" s="58"/>
      <c r="EX500" s="58"/>
      <c r="EY500" s="58"/>
      <c r="EZ500" s="58"/>
      <c r="FA500" s="58"/>
      <c r="FB500" s="58"/>
      <c r="FC500" s="58"/>
      <c r="FD500" s="58"/>
      <c r="FE500" s="58"/>
      <c r="FF500" s="58"/>
      <c r="FG500" s="58"/>
      <c r="FH500" s="58"/>
      <c r="FI500" s="58"/>
      <c r="FJ500" s="58"/>
      <c r="FK500" s="58"/>
      <c r="FL500" s="58"/>
      <c r="FM500" s="58"/>
      <c r="FN500" s="58"/>
      <c r="FO500" s="58"/>
      <c r="FP500" s="58"/>
      <c r="FQ500" s="58"/>
      <c r="FR500" s="58"/>
      <c r="FS500" s="58"/>
      <c r="FT500" s="58"/>
      <c r="FU500" s="58"/>
      <c r="FV500" s="58"/>
      <c r="FW500" s="58"/>
      <c r="FX500" s="58"/>
      <c r="FY500" s="58"/>
      <c r="FZ500" s="58"/>
      <c r="GA500" s="58"/>
      <c r="GB500" s="58"/>
      <c r="GC500" s="58"/>
      <c r="GD500" s="58"/>
      <c r="GE500" s="58"/>
      <c r="GF500" s="58"/>
      <c r="GG500" s="58"/>
      <c r="GH500" s="58"/>
      <c r="GI500" s="58"/>
      <c r="GJ500" s="58"/>
      <c r="GK500" s="58"/>
    </row>
    <row r="501" spans="1:193" s="74" customFormat="1">
      <c r="A501" s="78"/>
      <c r="B501" s="78"/>
      <c r="C501" s="78"/>
      <c r="D501" s="78"/>
      <c r="E501" s="78"/>
      <c r="F501" s="78"/>
      <c r="G501" s="67"/>
      <c r="H501" s="319"/>
      <c r="I501" s="319"/>
      <c r="J501" s="78"/>
      <c r="K501" s="58"/>
      <c r="L501" s="319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  <c r="EM501" s="58"/>
      <c r="EN501" s="58"/>
      <c r="EO501" s="58"/>
      <c r="EP501" s="58"/>
      <c r="EQ501" s="58"/>
      <c r="ER501" s="58"/>
      <c r="ES501" s="58"/>
      <c r="ET501" s="58"/>
      <c r="EU501" s="58"/>
      <c r="EV501" s="58"/>
      <c r="EW501" s="58"/>
      <c r="EX501" s="58"/>
      <c r="EY501" s="58"/>
      <c r="EZ501" s="58"/>
      <c r="FA501" s="58"/>
      <c r="FB501" s="58"/>
      <c r="FC501" s="58"/>
      <c r="FD501" s="58"/>
      <c r="FE501" s="58"/>
      <c r="FF501" s="58"/>
      <c r="FG501" s="58"/>
      <c r="FH501" s="58"/>
      <c r="FI501" s="58"/>
      <c r="FJ501" s="58"/>
      <c r="FK501" s="58"/>
      <c r="FL501" s="58"/>
      <c r="FM501" s="58"/>
      <c r="FN501" s="58"/>
      <c r="FO501" s="58"/>
      <c r="FP501" s="58"/>
      <c r="FQ501" s="58"/>
      <c r="FR501" s="58"/>
      <c r="FS501" s="58"/>
      <c r="FT501" s="58"/>
      <c r="FU501" s="58"/>
      <c r="FV501" s="58"/>
      <c r="FW501" s="58"/>
      <c r="FX501" s="58"/>
      <c r="FY501" s="58"/>
      <c r="FZ501" s="58"/>
      <c r="GA501" s="58"/>
      <c r="GB501" s="58"/>
      <c r="GC501" s="58"/>
      <c r="GD501" s="58"/>
      <c r="GE501" s="58"/>
      <c r="GF501" s="58"/>
      <c r="GG501" s="58"/>
      <c r="GH501" s="58"/>
      <c r="GI501" s="58"/>
      <c r="GJ501" s="58"/>
      <c r="GK501" s="58"/>
    </row>
    <row r="502" spans="1:193" s="74" customFormat="1">
      <c r="A502" s="78"/>
      <c r="B502" s="78"/>
      <c r="C502" s="78"/>
      <c r="D502" s="78"/>
      <c r="E502" s="78"/>
      <c r="F502" s="78"/>
      <c r="G502" s="67"/>
      <c r="H502" s="319"/>
      <c r="I502" s="319"/>
      <c r="J502" s="78"/>
      <c r="K502" s="58"/>
      <c r="L502" s="319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  <c r="EN502" s="58"/>
      <c r="EO502" s="58"/>
      <c r="EP502" s="58"/>
      <c r="EQ502" s="58"/>
      <c r="ER502" s="58"/>
      <c r="ES502" s="58"/>
      <c r="ET502" s="58"/>
      <c r="EU502" s="58"/>
      <c r="EV502" s="58"/>
      <c r="EW502" s="58"/>
      <c r="EX502" s="58"/>
      <c r="EY502" s="58"/>
      <c r="EZ502" s="58"/>
      <c r="FA502" s="58"/>
      <c r="FB502" s="58"/>
      <c r="FC502" s="58"/>
      <c r="FD502" s="58"/>
      <c r="FE502" s="58"/>
      <c r="FF502" s="58"/>
      <c r="FG502" s="58"/>
      <c r="FH502" s="58"/>
      <c r="FI502" s="58"/>
      <c r="FJ502" s="58"/>
      <c r="FK502" s="58"/>
      <c r="FL502" s="58"/>
      <c r="FM502" s="58"/>
      <c r="FN502" s="58"/>
      <c r="FO502" s="58"/>
      <c r="FP502" s="58"/>
      <c r="FQ502" s="58"/>
      <c r="FR502" s="58"/>
      <c r="FS502" s="58"/>
      <c r="FT502" s="58"/>
      <c r="FU502" s="58"/>
      <c r="FV502" s="58"/>
      <c r="FW502" s="58"/>
      <c r="FX502" s="58"/>
      <c r="FY502" s="58"/>
      <c r="FZ502" s="58"/>
      <c r="GA502" s="58"/>
      <c r="GB502" s="58"/>
      <c r="GC502" s="58"/>
      <c r="GD502" s="58"/>
      <c r="GE502" s="58"/>
      <c r="GF502" s="58"/>
      <c r="GG502" s="58"/>
      <c r="GH502" s="58"/>
      <c r="GI502" s="58"/>
      <c r="GJ502" s="58"/>
      <c r="GK502" s="58"/>
    </row>
    <row r="503" spans="1:193" s="74" customFormat="1">
      <c r="A503" s="78"/>
      <c r="B503" s="78"/>
      <c r="C503" s="78"/>
      <c r="D503" s="78"/>
      <c r="E503" s="78"/>
      <c r="F503" s="78"/>
      <c r="G503" s="67"/>
      <c r="H503" s="319"/>
      <c r="I503" s="319"/>
      <c r="J503" s="78"/>
      <c r="K503" s="58"/>
      <c r="L503" s="319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  <c r="EN503" s="58"/>
      <c r="EO503" s="58"/>
      <c r="EP503" s="58"/>
      <c r="EQ503" s="58"/>
      <c r="ER503" s="58"/>
      <c r="ES503" s="58"/>
      <c r="ET503" s="58"/>
      <c r="EU503" s="58"/>
      <c r="EV503" s="58"/>
      <c r="EW503" s="58"/>
      <c r="EX503" s="58"/>
      <c r="EY503" s="58"/>
      <c r="EZ503" s="58"/>
      <c r="FA503" s="58"/>
      <c r="FB503" s="58"/>
      <c r="FC503" s="58"/>
      <c r="FD503" s="58"/>
      <c r="FE503" s="58"/>
      <c r="FF503" s="58"/>
      <c r="FG503" s="58"/>
      <c r="FH503" s="58"/>
      <c r="FI503" s="58"/>
      <c r="FJ503" s="58"/>
      <c r="FK503" s="58"/>
      <c r="FL503" s="58"/>
      <c r="FM503" s="58"/>
      <c r="FN503" s="58"/>
      <c r="FO503" s="58"/>
      <c r="FP503" s="58"/>
      <c r="FQ503" s="58"/>
      <c r="FR503" s="58"/>
      <c r="FS503" s="58"/>
      <c r="FT503" s="58"/>
      <c r="FU503" s="58"/>
      <c r="FV503" s="58"/>
      <c r="FW503" s="58"/>
      <c r="FX503" s="58"/>
      <c r="FY503" s="58"/>
      <c r="FZ503" s="58"/>
      <c r="GA503" s="58"/>
      <c r="GB503" s="58"/>
      <c r="GC503" s="58"/>
      <c r="GD503" s="58"/>
      <c r="GE503" s="58"/>
      <c r="GF503" s="58"/>
      <c r="GG503" s="58"/>
      <c r="GH503" s="58"/>
      <c r="GI503" s="58"/>
      <c r="GJ503" s="58"/>
      <c r="GK503" s="58"/>
    </row>
    <row r="504" spans="1:193" s="74" customFormat="1">
      <c r="A504" s="78"/>
      <c r="B504" s="78"/>
      <c r="C504" s="78"/>
      <c r="D504" s="78"/>
      <c r="E504" s="78"/>
      <c r="F504" s="78"/>
      <c r="G504" s="67"/>
      <c r="H504" s="319"/>
      <c r="I504" s="319"/>
      <c r="J504" s="78"/>
      <c r="K504" s="58"/>
      <c r="L504" s="319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  <c r="EN504" s="58"/>
      <c r="EO504" s="58"/>
      <c r="EP504" s="58"/>
      <c r="EQ504" s="58"/>
      <c r="ER504" s="58"/>
      <c r="ES504" s="58"/>
      <c r="ET504" s="58"/>
      <c r="EU504" s="58"/>
      <c r="EV504" s="58"/>
      <c r="EW504" s="58"/>
      <c r="EX504" s="58"/>
      <c r="EY504" s="58"/>
      <c r="EZ504" s="58"/>
      <c r="FA504" s="58"/>
      <c r="FB504" s="58"/>
      <c r="FC504" s="58"/>
      <c r="FD504" s="58"/>
      <c r="FE504" s="58"/>
      <c r="FF504" s="58"/>
      <c r="FG504" s="58"/>
      <c r="FH504" s="58"/>
      <c r="FI504" s="58"/>
      <c r="FJ504" s="58"/>
      <c r="FK504" s="58"/>
      <c r="FL504" s="58"/>
      <c r="FM504" s="58"/>
      <c r="FN504" s="58"/>
      <c r="FO504" s="58"/>
      <c r="FP504" s="58"/>
      <c r="FQ504" s="58"/>
      <c r="FR504" s="58"/>
      <c r="FS504" s="58"/>
      <c r="FT504" s="58"/>
      <c r="FU504" s="58"/>
      <c r="FV504" s="58"/>
      <c r="FW504" s="58"/>
      <c r="FX504" s="58"/>
      <c r="FY504" s="58"/>
      <c r="FZ504" s="58"/>
      <c r="GA504" s="58"/>
      <c r="GB504" s="58"/>
      <c r="GC504" s="58"/>
      <c r="GD504" s="58"/>
      <c r="GE504" s="58"/>
      <c r="GF504" s="58"/>
      <c r="GG504" s="58"/>
      <c r="GH504" s="58"/>
      <c r="GI504" s="58"/>
      <c r="GJ504" s="58"/>
      <c r="GK504" s="58"/>
    </row>
    <row r="505" spans="1:193" s="74" customFormat="1">
      <c r="A505" s="78"/>
      <c r="B505" s="78"/>
      <c r="C505" s="78"/>
      <c r="D505" s="78"/>
      <c r="E505" s="78"/>
      <c r="F505" s="78"/>
      <c r="G505" s="67"/>
      <c r="H505" s="319"/>
      <c r="I505" s="319"/>
      <c r="J505" s="78"/>
      <c r="K505" s="58"/>
      <c r="L505" s="319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  <c r="EN505" s="58"/>
      <c r="EO505" s="58"/>
      <c r="EP505" s="58"/>
      <c r="EQ505" s="58"/>
      <c r="ER505" s="58"/>
      <c r="ES505" s="58"/>
      <c r="ET505" s="58"/>
      <c r="EU505" s="58"/>
      <c r="EV505" s="58"/>
      <c r="EW505" s="58"/>
      <c r="EX505" s="58"/>
      <c r="EY505" s="58"/>
      <c r="EZ505" s="58"/>
      <c r="FA505" s="58"/>
      <c r="FB505" s="58"/>
      <c r="FC505" s="58"/>
      <c r="FD505" s="58"/>
      <c r="FE505" s="58"/>
      <c r="FF505" s="58"/>
      <c r="FG505" s="58"/>
      <c r="FH505" s="58"/>
      <c r="FI505" s="58"/>
      <c r="FJ505" s="58"/>
      <c r="FK505" s="58"/>
      <c r="FL505" s="58"/>
      <c r="FM505" s="58"/>
      <c r="FN505" s="58"/>
      <c r="FO505" s="58"/>
      <c r="FP505" s="58"/>
      <c r="FQ505" s="58"/>
      <c r="FR505" s="58"/>
      <c r="FS505" s="58"/>
      <c r="FT505" s="58"/>
      <c r="FU505" s="58"/>
      <c r="FV505" s="58"/>
      <c r="FW505" s="58"/>
      <c r="FX505" s="58"/>
      <c r="FY505" s="58"/>
      <c r="FZ505" s="58"/>
      <c r="GA505" s="58"/>
      <c r="GB505" s="58"/>
      <c r="GC505" s="58"/>
      <c r="GD505" s="58"/>
      <c r="GE505" s="58"/>
      <c r="GF505" s="58"/>
      <c r="GG505" s="58"/>
      <c r="GH505" s="58"/>
      <c r="GI505" s="58"/>
      <c r="GJ505" s="58"/>
      <c r="GK505" s="58"/>
    </row>
    <row r="506" spans="1:193" s="74" customFormat="1">
      <c r="A506" s="78"/>
      <c r="B506" s="78"/>
      <c r="C506" s="78"/>
      <c r="D506" s="78"/>
      <c r="E506" s="78"/>
      <c r="F506" s="78"/>
      <c r="G506" s="67"/>
      <c r="H506" s="319"/>
      <c r="I506" s="319"/>
      <c r="J506" s="78"/>
      <c r="K506" s="58"/>
      <c r="L506" s="319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  <c r="EN506" s="58"/>
      <c r="EO506" s="58"/>
      <c r="EP506" s="58"/>
      <c r="EQ506" s="58"/>
      <c r="ER506" s="58"/>
      <c r="ES506" s="58"/>
      <c r="ET506" s="58"/>
      <c r="EU506" s="58"/>
      <c r="EV506" s="58"/>
      <c r="EW506" s="58"/>
      <c r="EX506" s="58"/>
      <c r="EY506" s="58"/>
      <c r="EZ506" s="58"/>
      <c r="FA506" s="58"/>
      <c r="FB506" s="58"/>
      <c r="FC506" s="58"/>
      <c r="FD506" s="58"/>
      <c r="FE506" s="58"/>
      <c r="FF506" s="58"/>
      <c r="FG506" s="58"/>
      <c r="FH506" s="58"/>
      <c r="FI506" s="58"/>
      <c r="FJ506" s="58"/>
      <c r="FK506" s="58"/>
      <c r="FL506" s="58"/>
      <c r="FM506" s="58"/>
      <c r="FN506" s="58"/>
      <c r="FO506" s="58"/>
      <c r="FP506" s="58"/>
      <c r="FQ506" s="58"/>
      <c r="FR506" s="58"/>
      <c r="FS506" s="58"/>
      <c r="FT506" s="58"/>
      <c r="FU506" s="58"/>
      <c r="FV506" s="58"/>
      <c r="FW506" s="58"/>
      <c r="FX506" s="58"/>
      <c r="FY506" s="58"/>
      <c r="FZ506" s="58"/>
      <c r="GA506" s="58"/>
      <c r="GB506" s="58"/>
      <c r="GC506" s="58"/>
      <c r="GD506" s="58"/>
      <c r="GE506" s="58"/>
      <c r="GF506" s="58"/>
      <c r="GG506" s="58"/>
      <c r="GH506" s="58"/>
      <c r="GI506" s="58"/>
      <c r="GJ506" s="58"/>
      <c r="GK506" s="58"/>
    </row>
    <row r="507" spans="1:193" s="74" customFormat="1">
      <c r="A507" s="78"/>
      <c r="B507" s="78"/>
      <c r="C507" s="78"/>
      <c r="D507" s="78"/>
      <c r="E507" s="78"/>
      <c r="F507" s="78"/>
      <c r="G507" s="67"/>
      <c r="H507" s="319"/>
      <c r="I507" s="319"/>
      <c r="J507" s="78"/>
      <c r="K507" s="58"/>
      <c r="L507" s="319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  <c r="EM507" s="58"/>
      <c r="EN507" s="58"/>
      <c r="EO507" s="58"/>
      <c r="EP507" s="58"/>
      <c r="EQ507" s="58"/>
      <c r="ER507" s="58"/>
      <c r="ES507" s="58"/>
      <c r="ET507" s="58"/>
      <c r="EU507" s="58"/>
      <c r="EV507" s="58"/>
      <c r="EW507" s="58"/>
      <c r="EX507" s="58"/>
      <c r="EY507" s="58"/>
      <c r="EZ507" s="58"/>
      <c r="FA507" s="58"/>
      <c r="FB507" s="58"/>
      <c r="FC507" s="58"/>
      <c r="FD507" s="58"/>
      <c r="FE507" s="58"/>
      <c r="FF507" s="58"/>
      <c r="FG507" s="58"/>
      <c r="FH507" s="58"/>
      <c r="FI507" s="58"/>
      <c r="FJ507" s="58"/>
      <c r="FK507" s="58"/>
      <c r="FL507" s="58"/>
      <c r="FM507" s="58"/>
      <c r="FN507" s="58"/>
      <c r="FO507" s="58"/>
      <c r="FP507" s="58"/>
      <c r="FQ507" s="58"/>
      <c r="FR507" s="58"/>
      <c r="FS507" s="58"/>
      <c r="FT507" s="58"/>
      <c r="FU507" s="58"/>
      <c r="FV507" s="58"/>
      <c r="FW507" s="58"/>
      <c r="FX507" s="58"/>
      <c r="FY507" s="58"/>
      <c r="FZ507" s="58"/>
      <c r="GA507" s="58"/>
      <c r="GB507" s="58"/>
      <c r="GC507" s="58"/>
      <c r="GD507" s="58"/>
      <c r="GE507" s="58"/>
      <c r="GF507" s="58"/>
      <c r="GG507" s="58"/>
      <c r="GH507" s="58"/>
      <c r="GI507" s="58"/>
      <c r="GJ507" s="58"/>
      <c r="GK507" s="58"/>
    </row>
    <row r="508" spans="1:193" s="74" customFormat="1">
      <c r="A508" s="78"/>
      <c r="B508" s="78"/>
      <c r="C508" s="78"/>
      <c r="D508" s="78"/>
      <c r="E508" s="78"/>
      <c r="F508" s="78"/>
      <c r="G508" s="67"/>
      <c r="H508" s="319"/>
      <c r="I508" s="319"/>
      <c r="J508" s="78"/>
      <c r="K508" s="58"/>
      <c r="L508" s="319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  <c r="EM508" s="58"/>
      <c r="EN508" s="58"/>
      <c r="EO508" s="58"/>
      <c r="EP508" s="58"/>
      <c r="EQ508" s="58"/>
      <c r="ER508" s="58"/>
      <c r="ES508" s="58"/>
      <c r="ET508" s="58"/>
      <c r="EU508" s="58"/>
      <c r="EV508" s="58"/>
      <c r="EW508" s="58"/>
      <c r="EX508" s="58"/>
      <c r="EY508" s="58"/>
      <c r="EZ508" s="58"/>
      <c r="FA508" s="58"/>
      <c r="FB508" s="58"/>
      <c r="FC508" s="58"/>
      <c r="FD508" s="58"/>
      <c r="FE508" s="58"/>
      <c r="FF508" s="58"/>
      <c r="FG508" s="58"/>
      <c r="FH508" s="58"/>
      <c r="FI508" s="58"/>
      <c r="FJ508" s="58"/>
      <c r="FK508" s="58"/>
      <c r="FL508" s="58"/>
      <c r="FM508" s="58"/>
      <c r="FN508" s="58"/>
      <c r="FO508" s="58"/>
      <c r="FP508" s="58"/>
      <c r="FQ508" s="58"/>
      <c r="FR508" s="58"/>
      <c r="FS508" s="58"/>
      <c r="FT508" s="58"/>
      <c r="FU508" s="58"/>
      <c r="FV508" s="58"/>
      <c r="FW508" s="58"/>
      <c r="FX508" s="58"/>
      <c r="FY508" s="58"/>
      <c r="FZ508" s="58"/>
      <c r="GA508" s="58"/>
      <c r="GB508" s="58"/>
      <c r="GC508" s="58"/>
      <c r="GD508" s="58"/>
      <c r="GE508" s="58"/>
      <c r="GF508" s="58"/>
      <c r="GG508" s="58"/>
      <c r="GH508" s="58"/>
      <c r="GI508" s="58"/>
      <c r="GJ508" s="58"/>
      <c r="GK508" s="58"/>
    </row>
    <row r="509" spans="1:193" s="74" customFormat="1">
      <c r="A509" s="78"/>
      <c r="B509" s="78"/>
      <c r="C509" s="78"/>
      <c r="D509" s="78"/>
      <c r="E509" s="78"/>
      <c r="F509" s="78"/>
      <c r="G509" s="67"/>
      <c r="H509" s="319"/>
      <c r="I509" s="319"/>
      <c r="J509" s="78"/>
      <c r="K509" s="58"/>
      <c r="L509" s="319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  <c r="EN509" s="58"/>
      <c r="EO509" s="58"/>
      <c r="EP509" s="58"/>
      <c r="EQ509" s="58"/>
      <c r="ER509" s="58"/>
      <c r="ES509" s="58"/>
      <c r="ET509" s="58"/>
      <c r="EU509" s="58"/>
      <c r="EV509" s="58"/>
      <c r="EW509" s="58"/>
      <c r="EX509" s="58"/>
      <c r="EY509" s="58"/>
      <c r="EZ509" s="58"/>
      <c r="FA509" s="58"/>
      <c r="FB509" s="58"/>
      <c r="FC509" s="58"/>
      <c r="FD509" s="58"/>
      <c r="FE509" s="58"/>
      <c r="FF509" s="58"/>
      <c r="FG509" s="58"/>
      <c r="FH509" s="58"/>
      <c r="FI509" s="58"/>
      <c r="FJ509" s="58"/>
      <c r="FK509" s="58"/>
      <c r="FL509" s="58"/>
      <c r="FM509" s="58"/>
      <c r="FN509" s="58"/>
      <c r="FO509" s="58"/>
      <c r="FP509" s="58"/>
      <c r="FQ509" s="58"/>
      <c r="FR509" s="58"/>
      <c r="FS509" s="58"/>
      <c r="FT509" s="58"/>
      <c r="FU509" s="58"/>
      <c r="FV509" s="58"/>
      <c r="FW509" s="58"/>
      <c r="FX509" s="58"/>
      <c r="FY509" s="58"/>
      <c r="FZ509" s="58"/>
      <c r="GA509" s="58"/>
      <c r="GB509" s="58"/>
      <c r="GC509" s="58"/>
      <c r="GD509" s="58"/>
      <c r="GE509" s="58"/>
      <c r="GF509" s="58"/>
      <c r="GG509" s="58"/>
      <c r="GH509" s="58"/>
      <c r="GI509" s="58"/>
      <c r="GJ509" s="58"/>
      <c r="GK509" s="58"/>
    </row>
    <row r="510" spans="1:193" s="74" customFormat="1">
      <c r="A510" s="78"/>
      <c r="B510" s="78"/>
      <c r="C510" s="78"/>
      <c r="D510" s="78"/>
      <c r="E510" s="78"/>
      <c r="F510" s="78"/>
      <c r="G510" s="67"/>
      <c r="H510" s="319"/>
      <c r="I510" s="319"/>
      <c r="J510" s="78"/>
      <c r="K510" s="58"/>
      <c r="L510" s="319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  <c r="EN510" s="58"/>
      <c r="EO510" s="58"/>
      <c r="EP510" s="58"/>
      <c r="EQ510" s="58"/>
      <c r="ER510" s="58"/>
      <c r="ES510" s="58"/>
      <c r="ET510" s="58"/>
      <c r="EU510" s="58"/>
      <c r="EV510" s="58"/>
      <c r="EW510" s="58"/>
      <c r="EX510" s="58"/>
      <c r="EY510" s="58"/>
      <c r="EZ510" s="58"/>
      <c r="FA510" s="58"/>
      <c r="FB510" s="58"/>
      <c r="FC510" s="58"/>
      <c r="FD510" s="58"/>
      <c r="FE510" s="58"/>
      <c r="FF510" s="58"/>
      <c r="FG510" s="58"/>
      <c r="FH510" s="58"/>
      <c r="FI510" s="58"/>
      <c r="FJ510" s="58"/>
      <c r="FK510" s="58"/>
      <c r="FL510" s="58"/>
      <c r="FM510" s="58"/>
      <c r="FN510" s="58"/>
      <c r="FO510" s="58"/>
      <c r="FP510" s="58"/>
      <c r="FQ510" s="58"/>
      <c r="FR510" s="58"/>
      <c r="FS510" s="58"/>
      <c r="FT510" s="58"/>
      <c r="FU510" s="58"/>
      <c r="FV510" s="58"/>
      <c r="FW510" s="58"/>
      <c r="FX510" s="58"/>
      <c r="FY510" s="58"/>
      <c r="FZ510" s="58"/>
      <c r="GA510" s="58"/>
      <c r="GB510" s="58"/>
      <c r="GC510" s="58"/>
      <c r="GD510" s="58"/>
      <c r="GE510" s="58"/>
      <c r="GF510" s="58"/>
      <c r="GG510" s="58"/>
      <c r="GH510" s="58"/>
      <c r="GI510" s="58"/>
      <c r="GJ510" s="58"/>
      <c r="GK510" s="58"/>
    </row>
    <row r="511" spans="1:193" s="74" customFormat="1">
      <c r="A511" s="78"/>
      <c r="B511" s="78"/>
      <c r="C511" s="78"/>
      <c r="D511" s="78"/>
      <c r="E511" s="78"/>
      <c r="F511" s="78"/>
      <c r="G511" s="67"/>
      <c r="H511" s="319"/>
      <c r="I511" s="319"/>
      <c r="J511" s="78"/>
      <c r="K511" s="58"/>
      <c r="L511" s="319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  <c r="EN511" s="58"/>
      <c r="EO511" s="58"/>
      <c r="EP511" s="58"/>
      <c r="EQ511" s="58"/>
      <c r="ER511" s="58"/>
      <c r="ES511" s="58"/>
      <c r="ET511" s="58"/>
      <c r="EU511" s="58"/>
      <c r="EV511" s="58"/>
      <c r="EW511" s="58"/>
      <c r="EX511" s="58"/>
      <c r="EY511" s="58"/>
      <c r="EZ511" s="58"/>
      <c r="FA511" s="58"/>
      <c r="FB511" s="58"/>
      <c r="FC511" s="58"/>
      <c r="FD511" s="58"/>
      <c r="FE511" s="58"/>
      <c r="FF511" s="58"/>
      <c r="FG511" s="58"/>
      <c r="FH511" s="58"/>
      <c r="FI511" s="58"/>
      <c r="FJ511" s="58"/>
      <c r="FK511" s="58"/>
      <c r="FL511" s="58"/>
      <c r="FM511" s="58"/>
      <c r="FN511" s="58"/>
      <c r="FO511" s="58"/>
      <c r="FP511" s="58"/>
      <c r="FQ511" s="58"/>
      <c r="FR511" s="58"/>
      <c r="FS511" s="58"/>
      <c r="FT511" s="58"/>
      <c r="FU511" s="58"/>
      <c r="FV511" s="58"/>
      <c r="FW511" s="58"/>
      <c r="FX511" s="58"/>
      <c r="FY511" s="58"/>
      <c r="FZ511" s="58"/>
      <c r="GA511" s="58"/>
      <c r="GB511" s="58"/>
      <c r="GC511" s="58"/>
      <c r="GD511" s="58"/>
      <c r="GE511" s="58"/>
      <c r="GF511" s="58"/>
      <c r="GG511" s="58"/>
      <c r="GH511" s="58"/>
      <c r="GI511" s="58"/>
      <c r="GJ511" s="58"/>
      <c r="GK511" s="58"/>
    </row>
    <row r="512" spans="1:193" s="74" customFormat="1">
      <c r="A512" s="78"/>
      <c r="B512" s="78"/>
      <c r="C512" s="78"/>
      <c r="D512" s="78"/>
      <c r="E512" s="78"/>
      <c r="F512" s="78"/>
      <c r="G512" s="67"/>
      <c r="H512" s="319"/>
      <c r="I512" s="319"/>
      <c r="J512" s="78"/>
      <c r="K512" s="58"/>
      <c r="L512" s="319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  <c r="EN512" s="58"/>
      <c r="EO512" s="58"/>
      <c r="EP512" s="58"/>
      <c r="EQ512" s="58"/>
      <c r="ER512" s="58"/>
      <c r="ES512" s="58"/>
      <c r="ET512" s="58"/>
      <c r="EU512" s="58"/>
      <c r="EV512" s="58"/>
      <c r="EW512" s="58"/>
      <c r="EX512" s="58"/>
      <c r="EY512" s="58"/>
      <c r="EZ512" s="58"/>
      <c r="FA512" s="58"/>
      <c r="FB512" s="58"/>
      <c r="FC512" s="58"/>
      <c r="FD512" s="58"/>
      <c r="FE512" s="58"/>
      <c r="FF512" s="58"/>
      <c r="FG512" s="58"/>
      <c r="FH512" s="58"/>
      <c r="FI512" s="58"/>
      <c r="FJ512" s="58"/>
      <c r="FK512" s="58"/>
      <c r="FL512" s="58"/>
      <c r="FM512" s="58"/>
      <c r="FN512" s="58"/>
      <c r="FO512" s="58"/>
      <c r="FP512" s="58"/>
      <c r="FQ512" s="58"/>
      <c r="FR512" s="58"/>
      <c r="FS512" s="58"/>
      <c r="FT512" s="58"/>
      <c r="FU512" s="58"/>
      <c r="FV512" s="58"/>
      <c r="FW512" s="58"/>
      <c r="FX512" s="58"/>
      <c r="FY512" s="58"/>
      <c r="FZ512" s="58"/>
      <c r="GA512" s="58"/>
      <c r="GB512" s="58"/>
      <c r="GC512" s="58"/>
      <c r="GD512" s="58"/>
      <c r="GE512" s="58"/>
      <c r="GF512" s="58"/>
      <c r="GG512" s="58"/>
      <c r="GH512" s="58"/>
      <c r="GI512" s="58"/>
      <c r="GJ512" s="58"/>
      <c r="GK512" s="58"/>
    </row>
    <row r="513" spans="1:193" s="74" customFormat="1">
      <c r="A513" s="78"/>
      <c r="B513" s="78"/>
      <c r="C513" s="78"/>
      <c r="D513" s="78"/>
      <c r="E513" s="78"/>
      <c r="F513" s="78"/>
      <c r="G513" s="67"/>
      <c r="H513" s="319"/>
      <c r="I513" s="319"/>
      <c r="J513" s="78"/>
      <c r="K513" s="58"/>
      <c r="L513" s="319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  <c r="EN513" s="58"/>
      <c r="EO513" s="58"/>
      <c r="EP513" s="58"/>
      <c r="EQ513" s="58"/>
      <c r="ER513" s="58"/>
      <c r="ES513" s="58"/>
      <c r="ET513" s="58"/>
      <c r="EU513" s="58"/>
      <c r="EV513" s="58"/>
      <c r="EW513" s="58"/>
      <c r="EX513" s="58"/>
      <c r="EY513" s="58"/>
      <c r="EZ513" s="58"/>
      <c r="FA513" s="58"/>
      <c r="FB513" s="58"/>
      <c r="FC513" s="58"/>
      <c r="FD513" s="58"/>
      <c r="FE513" s="58"/>
      <c r="FF513" s="58"/>
      <c r="FG513" s="58"/>
      <c r="FH513" s="58"/>
      <c r="FI513" s="58"/>
      <c r="FJ513" s="58"/>
      <c r="FK513" s="58"/>
      <c r="FL513" s="58"/>
      <c r="FM513" s="58"/>
      <c r="FN513" s="58"/>
      <c r="FO513" s="58"/>
      <c r="FP513" s="58"/>
      <c r="FQ513" s="58"/>
      <c r="FR513" s="58"/>
      <c r="FS513" s="58"/>
      <c r="FT513" s="58"/>
      <c r="FU513" s="58"/>
      <c r="FV513" s="58"/>
      <c r="FW513" s="58"/>
      <c r="FX513" s="58"/>
      <c r="FY513" s="58"/>
      <c r="FZ513" s="58"/>
      <c r="GA513" s="58"/>
      <c r="GB513" s="58"/>
      <c r="GC513" s="58"/>
      <c r="GD513" s="58"/>
      <c r="GE513" s="58"/>
      <c r="GF513" s="58"/>
      <c r="GG513" s="58"/>
      <c r="GH513" s="58"/>
      <c r="GI513" s="58"/>
      <c r="GJ513" s="58"/>
      <c r="GK513" s="58"/>
    </row>
    <row r="514" spans="1:193" s="74" customFormat="1">
      <c r="A514" s="78"/>
      <c r="B514" s="78"/>
      <c r="C514" s="78"/>
      <c r="D514" s="78"/>
      <c r="E514" s="78"/>
      <c r="F514" s="78"/>
      <c r="G514" s="67"/>
      <c r="H514" s="319"/>
      <c r="I514" s="319"/>
      <c r="J514" s="78"/>
      <c r="K514" s="58"/>
      <c r="L514" s="319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  <c r="EN514" s="58"/>
      <c r="EO514" s="58"/>
      <c r="EP514" s="58"/>
      <c r="EQ514" s="58"/>
      <c r="ER514" s="58"/>
      <c r="ES514" s="58"/>
      <c r="ET514" s="58"/>
      <c r="EU514" s="58"/>
      <c r="EV514" s="58"/>
      <c r="EW514" s="58"/>
      <c r="EX514" s="58"/>
      <c r="EY514" s="58"/>
      <c r="EZ514" s="58"/>
      <c r="FA514" s="58"/>
      <c r="FB514" s="58"/>
      <c r="FC514" s="58"/>
      <c r="FD514" s="58"/>
      <c r="FE514" s="58"/>
      <c r="FF514" s="58"/>
      <c r="FG514" s="58"/>
      <c r="FH514" s="58"/>
      <c r="FI514" s="58"/>
      <c r="FJ514" s="58"/>
      <c r="FK514" s="58"/>
      <c r="FL514" s="58"/>
      <c r="FM514" s="58"/>
      <c r="FN514" s="58"/>
      <c r="FO514" s="58"/>
      <c r="FP514" s="58"/>
      <c r="FQ514" s="58"/>
      <c r="FR514" s="58"/>
      <c r="FS514" s="58"/>
      <c r="FT514" s="58"/>
      <c r="FU514" s="58"/>
      <c r="FV514" s="58"/>
      <c r="FW514" s="58"/>
      <c r="FX514" s="58"/>
      <c r="FY514" s="58"/>
      <c r="FZ514" s="58"/>
      <c r="GA514" s="58"/>
      <c r="GB514" s="58"/>
      <c r="GC514" s="58"/>
      <c r="GD514" s="58"/>
      <c r="GE514" s="58"/>
      <c r="GF514" s="58"/>
      <c r="GG514" s="58"/>
      <c r="GH514" s="58"/>
      <c r="GI514" s="58"/>
      <c r="GJ514" s="58"/>
      <c r="GK514" s="58"/>
    </row>
    <row r="515" spans="1:193" s="74" customFormat="1">
      <c r="A515" s="78"/>
      <c r="B515" s="78"/>
      <c r="C515" s="78"/>
      <c r="D515" s="78"/>
      <c r="E515" s="78"/>
      <c r="F515" s="78"/>
      <c r="G515" s="67"/>
      <c r="H515" s="319"/>
      <c r="I515" s="319"/>
      <c r="J515" s="78"/>
      <c r="K515" s="58"/>
      <c r="L515" s="319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  <c r="EN515" s="58"/>
      <c r="EO515" s="58"/>
      <c r="EP515" s="58"/>
      <c r="EQ515" s="58"/>
      <c r="ER515" s="58"/>
      <c r="ES515" s="58"/>
      <c r="ET515" s="58"/>
      <c r="EU515" s="58"/>
      <c r="EV515" s="58"/>
      <c r="EW515" s="58"/>
      <c r="EX515" s="58"/>
      <c r="EY515" s="58"/>
      <c r="EZ515" s="58"/>
      <c r="FA515" s="58"/>
      <c r="FB515" s="58"/>
      <c r="FC515" s="58"/>
      <c r="FD515" s="58"/>
      <c r="FE515" s="58"/>
      <c r="FF515" s="58"/>
      <c r="FG515" s="58"/>
      <c r="FH515" s="58"/>
      <c r="FI515" s="58"/>
      <c r="FJ515" s="58"/>
      <c r="FK515" s="58"/>
      <c r="FL515" s="58"/>
      <c r="FM515" s="58"/>
      <c r="FN515" s="58"/>
      <c r="FO515" s="58"/>
      <c r="FP515" s="58"/>
      <c r="FQ515" s="58"/>
      <c r="FR515" s="58"/>
      <c r="FS515" s="58"/>
      <c r="FT515" s="58"/>
      <c r="FU515" s="58"/>
      <c r="FV515" s="58"/>
      <c r="FW515" s="58"/>
      <c r="FX515" s="58"/>
      <c r="FY515" s="58"/>
      <c r="FZ515" s="58"/>
      <c r="GA515" s="58"/>
      <c r="GB515" s="58"/>
      <c r="GC515" s="58"/>
      <c r="GD515" s="58"/>
      <c r="GE515" s="58"/>
      <c r="GF515" s="58"/>
      <c r="GG515" s="58"/>
      <c r="GH515" s="58"/>
      <c r="GI515" s="58"/>
      <c r="GJ515" s="58"/>
      <c r="GK515" s="58"/>
    </row>
    <row r="516" spans="1:193" s="74" customFormat="1">
      <c r="A516" s="78"/>
      <c r="B516" s="78"/>
      <c r="C516" s="78"/>
      <c r="D516" s="78"/>
      <c r="E516" s="78"/>
      <c r="F516" s="78"/>
      <c r="G516" s="67"/>
      <c r="H516" s="319"/>
      <c r="I516" s="319"/>
      <c r="J516" s="78"/>
      <c r="K516" s="58"/>
      <c r="L516" s="319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  <c r="EN516" s="58"/>
      <c r="EO516" s="58"/>
      <c r="EP516" s="58"/>
      <c r="EQ516" s="58"/>
      <c r="ER516" s="58"/>
      <c r="ES516" s="58"/>
      <c r="ET516" s="58"/>
      <c r="EU516" s="58"/>
      <c r="EV516" s="58"/>
      <c r="EW516" s="58"/>
      <c r="EX516" s="58"/>
      <c r="EY516" s="58"/>
      <c r="EZ516" s="58"/>
      <c r="FA516" s="58"/>
      <c r="FB516" s="58"/>
      <c r="FC516" s="58"/>
      <c r="FD516" s="58"/>
      <c r="FE516" s="58"/>
      <c r="FF516" s="58"/>
      <c r="FG516" s="58"/>
      <c r="FH516" s="58"/>
      <c r="FI516" s="58"/>
      <c r="FJ516" s="58"/>
      <c r="FK516" s="58"/>
      <c r="FL516" s="58"/>
      <c r="FM516" s="58"/>
      <c r="FN516" s="58"/>
      <c r="FO516" s="58"/>
      <c r="FP516" s="58"/>
      <c r="FQ516" s="58"/>
      <c r="FR516" s="58"/>
      <c r="FS516" s="58"/>
      <c r="FT516" s="58"/>
      <c r="FU516" s="58"/>
      <c r="FV516" s="58"/>
      <c r="FW516" s="58"/>
      <c r="FX516" s="58"/>
      <c r="FY516" s="58"/>
      <c r="FZ516" s="58"/>
      <c r="GA516" s="58"/>
      <c r="GB516" s="58"/>
      <c r="GC516" s="58"/>
      <c r="GD516" s="58"/>
      <c r="GE516" s="58"/>
      <c r="GF516" s="58"/>
      <c r="GG516" s="58"/>
      <c r="GH516" s="58"/>
      <c r="GI516" s="58"/>
      <c r="GJ516" s="58"/>
      <c r="GK516" s="58"/>
    </row>
    <row r="517" spans="1:193" s="74" customFormat="1">
      <c r="A517" s="78"/>
      <c r="B517" s="78"/>
      <c r="C517" s="78"/>
      <c r="D517" s="78"/>
      <c r="E517" s="78"/>
      <c r="F517" s="78"/>
      <c r="G517" s="67"/>
      <c r="H517" s="319"/>
      <c r="I517" s="319"/>
      <c r="J517" s="78"/>
      <c r="K517" s="58"/>
      <c r="L517" s="319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  <c r="EN517" s="58"/>
      <c r="EO517" s="58"/>
      <c r="EP517" s="58"/>
      <c r="EQ517" s="58"/>
      <c r="ER517" s="58"/>
      <c r="ES517" s="58"/>
      <c r="ET517" s="58"/>
      <c r="EU517" s="58"/>
      <c r="EV517" s="58"/>
      <c r="EW517" s="58"/>
      <c r="EX517" s="58"/>
      <c r="EY517" s="58"/>
      <c r="EZ517" s="58"/>
      <c r="FA517" s="58"/>
      <c r="FB517" s="58"/>
      <c r="FC517" s="58"/>
      <c r="FD517" s="58"/>
      <c r="FE517" s="58"/>
      <c r="FF517" s="58"/>
      <c r="FG517" s="58"/>
      <c r="FH517" s="58"/>
      <c r="FI517" s="58"/>
      <c r="FJ517" s="58"/>
      <c r="FK517" s="58"/>
      <c r="FL517" s="58"/>
      <c r="FM517" s="58"/>
      <c r="FN517" s="58"/>
      <c r="FO517" s="58"/>
      <c r="FP517" s="58"/>
      <c r="FQ517" s="58"/>
      <c r="FR517" s="58"/>
      <c r="FS517" s="58"/>
      <c r="FT517" s="58"/>
      <c r="FU517" s="58"/>
      <c r="FV517" s="58"/>
      <c r="FW517" s="58"/>
      <c r="FX517" s="58"/>
      <c r="FY517" s="58"/>
      <c r="FZ517" s="58"/>
      <c r="GA517" s="58"/>
      <c r="GB517" s="58"/>
      <c r="GC517" s="58"/>
      <c r="GD517" s="58"/>
      <c r="GE517" s="58"/>
      <c r="GF517" s="58"/>
      <c r="GG517" s="58"/>
      <c r="GH517" s="58"/>
      <c r="GI517" s="58"/>
      <c r="GJ517" s="58"/>
      <c r="GK517" s="58"/>
    </row>
    <row r="518" spans="1:193" s="74" customFormat="1">
      <c r="A518" s="78"/>
      <c r="B518" s="78"/>
      <c r="C518" s="78"/>
      <c r="D518" s="78"/>
      <c r="E518" s="78"/>
      <c r="F518" s="78"/>
      <c r="G518" s="67"/>
      <c r="H518" s="319"/>
      <c r="I518" s="319"/>
      <c r="J518" s="78"/>
      <c r="K518" s="58"/>
      <c r="L518" s="319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  <c r="EN518" s="58"/>
      <c r="EO518" s="58"/>
      <c r="EP518" s="58"/>
      <c r="EQ518" s="58"/>
      <c r="ER518" s="58"/>
      <c r="ES518" s="58"/>
      <c r="ET518" s="58"/>
      <c r="EU518" s="58"/>
      <c r="EV518" s="58"/>
      <c r="EW518" s="58"/>
      <c r="EX518" s="58"/>
      <c r="EY518" s="58"/>
      <c r="EZ518" s="58"/>
      <c r="FA518" s="58"/>
      <c r="FB518" s="58"/>
      <c r="FC518" s="58"/>
      <c r="FD518" s="58"/>
      <c r="FE518" s="58"/>
      <c r="FF518" s="58"/>
      <c r="FG518" s="58"/>
      <c r="FH518" s="58"/>
      <c r="FI518" s="58"/>
      <c r="FJ518" s="58"/>
      <c r="FK518" s="58"/>
      <c r="FL518" s="58"/>
      <c r="FM518" s="58"/>
      <c r="FN518" s="58"/>
      <c r="FO518" s="58"/>
      <c r="FP518" s="58"/>
      <c r="FQ518" s="58"/>
      <c r="FR518" s="58"/>
      <c r="FS518" s="58"/>
      <c r="FT518" s="58"/>
      <c r="FU518" s="58"/>
      <c r="FV518" s="58"/>
      <c r="FW518" s="58"/>
      <c r="FX518" s="58"/>
      <c r="FY518" s="58"/>
      <c r="FZ518" s="58"/>
      <c r="GA518" s="58"/>
      <c r="GB518" s="58"/>
      <c r="GC518" s="58"/>
      <c r="GD518" s="58"/>
      <c r="GE518" s="58"/>
      <c r="GF518" s="58"/>
      <c r="GG518" s="58"/>
      <c r="GH518" s="58"/>
      <c r="GI518" s="58"/>
      <c r="GJ518" s="58"/>
      <c r="GK518" s="58"/>
    </row>
    <row r="519" spans="1:193" s="74" customFormat="1">
      <c r="A519" s="78"/>
      <c r="B519" s="78"/>
      <c r="C519" s="78"/>
      <c r="D519" s="78"/>
      <c r="E519" s="78"/>
      <c r="F519" s="78"/>
      <c r="G519" s="67"/>
      <c r="H519" s="319"/>
      <c r="I519" s="319"/>
      <c r="J519" s="78"/>
      <c r="K519" s="58"/>
      <c r="L519" s="319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  <c r="EN519" s="58"/>
      <c r="EO519" s="58"/>
      <c r="EP519" s="58"/>
      <c r="EQ519" s="58"/>
      <c r="ER519" s="58"/>
      <c r="ES519" s="58"/>
      <c r="ET519" s="58"/>
      <c r="EU519" s="58"/>
      <c r="EV519" s="58"/>
      <c r="EW519" s="58"/>
      <c r="EX519" s="58"/>
      <c r="EY519" s="58"/>
      <c r="EZ519" s="58"/>
      <c r="FA519" s="58"/>
      <c r="FB519" s="58"/>
      <c r="FC519" s="58"/>
      <c r="FD519" s="58"/>
      <c r="FE519" s="58"/>
      <c r="FF519" s="58"/>
      <c r="FG519" s="58"/>
      <c r="FH519" s="58"/>
      <c r="FI519" s="58"/>
      <c r="FJ519" s="58"/>
      <c r="FK519" s="58"/>
      <c r="FL519" s="58"/>
      <c r="FM519" s="58"/>
      <c r="FN519" s="58"/>
      <c r="FO519" s="58"/>
      <c r="FP519" s="58"/>
      <c r="FQ519" s="58"/>
      <c r="FR519" s="58"/>
      <c r="FS519" s="58"/>
      <c r="FT519" s="58"/>
      <c r="FU519" s="58"/>
      <c r="FV519" s="58"/>
      <c r="FW519" s="58"/>
      <c r="FX519" s="58"/>
      <c r="FY519" s="58"/>
      <c r="FZ519" s="58"/>
      <c r="GA519" s="58"/>
      <c r="GB519" s="58"/>
      <c r="GC519" s="58"/>
      <c r="GD519" s="58"/>
      <c r="GE519" s="58"/>
      <c r="GF519" s="58"/>
      <c r="GG519" s="58"/>
      <c r="GH519" s="58"/>
      <c r="GI519" s="58"/>
      <c r="GJ519" s="58"/>
      <c r="GK519" s="58"/>
    </row>
    <row r="520" spans="1:193" s="74" customFormat="1">
      <c r="A520" s="78"/>
      <c r="B520" s="78"/>
      <c r="C520" s="78"/>
      <c r="D520" s="78"/>
      <c r="E520" s="78"/>
      <c r="F520" s="78"/>
      <c r="G520" s="67"/>
      <c r="H520" s="319"/>
      <c r="I520" s="319"/>
      <c r="J520" s="78"/>
      <c r="K520" s="58"/>
      <c r="L520" s="319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  <c r="EN520" s="58"/>
      <c r="EO520" s="58"/>
      <c r="EP520" s="58"/>
      <c r="EQ520" s="58"/>
      <c r="ER520" s="58"/>
      <c r="ES520" s="58"/>
      <c r="ET520" s="58"/>
      <c r="EU520" s="58"/>
      <c r="EV520" s="58"/>
      <c r="EW520" s="58"/>
      <c r="EX520" s="58"/>
      <c r="EY520" s="58"/>
      <c r="EZ520" s="58"/>
      <c r="FA520" s="58"/>
      <c r="FB520" s="58"/>
      <c r="FC520" s="58"/>
      <c r="FD520" s="58"/>
      <c r="FE520" s="58"/>
      <c r="FF520" s="58"/>
      <c r="FG520" s="58"/>
      <c r="FH520" s="58"/>
      <c r="FI520" s="58"/>
      <c r="FJ520" s="58"/>
      <c r="FK520" s="58"/>
      <c r="FL520" s="58"/>
      <c r="FM520" s="58"/>
      <c r="FN520" s="58"/>
      <c r="FO520" s="58"/>
      <c r="FP520" s="58"/>
      <c r="FQ520" s="58"/>
      <c r="FR520" s="58"/>
      <c r="FS520" s="58"/>
      <c r="FT520" s="58"/>
      <c r="FU520" s="58"/>
      <c r="FV520" s="58"/>
      <c r="FW520" s="58"/>
      <c r="FX520" s="58"/>
      <c r="FY520" s="58"/>
      <c r="FZ520" s="58"/>
      <c r="GA520" s="58"/>
      <c r="GB520" s="58"/>
      <c r="GC520" s="58"/>
      <c r="GD520" s="58"/>
      <c r="GE520" s="58"/>
      <c r="GF520" s="58"/>
      <c r="GG520" s="58"/>
      <c r="GH520" s="58"/>
      <c r="GI520" s="58"/>
      <c r="GJ520" s="58"/>
      <c r="GK520" s="58"/>
    </row>
    <row r="521" spans="1:193" s="74" customFormat="1">
      <c r="A521" s="78"/>
      <c r="B521" s="78"/>
      <c r="C521" s="78"/>
      <c r="D521" s="78"/>
      <c r="E521" s="78"/>
      <c r="F521" s="78"/>
      <c r="G521" s="67"/>
      <c r="H521" s="319"/>
      <c r="I521" s="319"/>
      <c r="J521" s="78"/>
      <c r="K521" s="58"/>
      <c r="L521" s="319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  <c r="EN521" s="58"/>
      <c r="EO521" s="58"/>
      <c r="EP521" s="58"/>
      <c r="EQ521" s="58"/>
      <c r="ER521" s="58"/>
      <c r="ES521" s="58"/>
      <c r="ET521" s="58"/>
      <c r="EU521" s="58"/>
      <c r="EV521" s="58"/>
      <c r="EW521" s="58"/>
      <c r="EX521" s="58"/>
      <c r="EY521" s="58"/>
      <c r="EZ521" s="58"/>
      <c r="FA521" s="58"/>
      <c r="FB521" s="58"/>
      <c r="FC521" s="58"/>
      <c r="FD521" s="58"/>
      <c r="FE521" s="58"/>
      <c r="FF521" s="58"/>
      <c r="FG521" s="58"/>
      <c r="FH521" s="58"/>
      <c r="FI521" s="58"/>
      <c r="FJ521" s="58"/>
      <c r="FK521" s="58"/>
      <c r="FL521" s="58"/>
      <c r="FM521" s="58"/>
      <c r="FN521" s="58"/>
      <c r="FO521" s="58"/>
      <c r="FP521" s="58"/>
      <c r="FQ521" s="58"/>
      <c r="FR521" s="58"/>
      <c r="FS521" s="58"/>
      <c r="FT521" s="58"/>
      <c r="FU521" s="58"/>
      <c r="FV521" s="58"/>
      <c r="FW521" s="58"/>
      <c r="FX521" s="58"/>
      <c r="FY521" s="58"/>
      <c r="FZ521" s="58"/>
      <c r="GA521" s="58"/>
      <c r="GB521" s="58"/>
      <c r="GC521" s="58"/>
      <c r="GD521" s="58"/>
      <c r="GE521" s="58"/>
      <c r="GF521" s="58"/>
      <c r="GG521" s="58"/>
      <c r="GH521" s="58"/>
      <c r="GI521" s="58"/>
      <c r="GJ521" s="58"/>
      <c r="GK521" s="58"/>
    </row>
    <row r="522" spans="1:193" s="74" customFormat="1">
      <c r="A522" s="78"/>
      <c r="B522" s="78"/>
      <c r="C522" s="78"/>
      <c r="D522" s="78"/>
      <c r="E522" s="78"/>
      <c r="F522" s="78"/>
      <c r="G522" s="67"/>
      <c r="H522" s="319"/>
      <c r="I522" s="319"/>
      <c r="J522" s="78"/>
      <c r="K522" s="58"/>
      <c r="L522" s="319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  <c r="EN522" s="58"/>
      <c r="EO522" s="58"/>
      <c r="EP522" s="58"/>
      <c r="EQ522" s="58"/>
      <c r="ER522" s="58"/>
      <c r="ES522" s="58"/>
      <c r="ET522" s="58"/>
      <c r="EU522" s="58"/>
      <c r="EV522" s="58"/>
      <c r="EW522" s="58"/>
      <c r="EX522" s="58"/>
      <c r="EY522" s="58"/>
      <c r="EZ522" s="58"/>
      <c r="FA522" s="58"/>
      <c r="FB522" s="58"/>
      <c r="FC522" s="58"/>
      <c r="FD522" s="58"/>
      <c r="FE522" s="58"/>
      <c r="FF522" s="58"/>
      <c r="FG522" s="58"/>
      <c r="FH522" s="58"/>
      <c r="FI522" s="58"/>
      <c r="FJ522" s="58"/>
      <c r="FK522" s="58"/>
      <c r="FL522" s="58"/>
      <c r="FM522" s="58"/>
      <c r="FN522" s="58"/>
      <c r="FO522" s="58"/>
      <c r="FP522" s="58"/>
      <c r="FQ522" s="58"/>
      <c r="FR522" s="58"/>
      <c r="FS522" s="58"/>
      <c r="FT522" s="58"/>
      <c r="FU522" s="58"/>
      <c r="FV522" s="58"/>
      <c r="FW522" s="58"/>
      <c r="FX522" s="58"/>
      <c r="FY522" s="58"/>
      <c r="FZ522" s="58"/>
      <c r="GA522" s="58"/>
      <c r="GB522" s="58"/>
      <c r="GC522" s="58"/>
      <c r="GD522" s="58"/>
      <c r="GE522" s="58"/>
      <c r="GF522" s="58"/>
      <c r="GG522" s="58"/>
      <c r="GH522" s="58"/>
      <c r="GI522" s="58"/>
      <c r="GJ522" s="58"/>
      <c r="GK522" s="58"/>
    </row>
    <row r="523" spans="1:193" s="74" customFormat="1">
      <c r="A523" s="78"/>
      <c r="B523" s="78"/>
      <c r="C523" s="78"/>
      <c r="D523" s="78"/>
      <c r="E523" s="78"/>
      <c r="F523" s="78"/>
      <c r="G523" s="67"/>
      <c r="H523" s="319"/>
      <c r="I523" s="319"/>
      <c r="J523" s="78"/>
      <c r="K523" s="58"/>
      <c r="L523" s="319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  <c r="EN523" s="58"/>
      <c r="EO523" s="58"/>
      <c r="EP523" s="58"/>
      <c r="EQ523" s="58"/>
      <c r="ER523" s="58"/>
      <c r="ES523" s="58"/>
      <c r="ET523" s="58"/>
      <c r="EU523" s="58"/>
      <c r="EV523" s="58"/>
      <c r="EW523" s="58"/>
      <c r="EX523" s="58"/>
      <c r="EY523" s="58"/>
      <c r="EZ523" s="58"/>
      <c r="FA523" s="58"/>
      <c r="FB523" s="58"/>
      <c r="FC523" s="58"/>
      <c r="FD523" s="58"/>
      <c r="FE523" s="58"/>
      <c r="FF523" s="58"/>
      <c r="FG523" s="58"/>
      <c r="FH523" s="58"/>
      <c r="FI523" s="58"/>
      <c r="FJ523" s="58"/>
      <c r="FK523" s="58"/>
      <c r="FL523" s="58"/>
      <c r="FM523" s="58"/>
      <c r="FN523" s="58"/>
      <c r="FO523" s="58"/>
      <c r="FP523" s="58"/>
      <c r="FQ523" s="58"/>
      <c r="FR523" s="58"/>
      <c r="FS523" s="58"/>
      <c r="FT523" s="58"/>
      <c r="FU523" s="58"/>
      <c r="FV523" s="58"/>
      <c r="FW523" s="58"/>
      <c r="FX523" s="58"/>
      <c r="FY523" s="58"/>
      <c r="FZ523" s="58"/>
      <c r="GA523" s="58"/>
      <c r="GB523" s="58"/>
      <c r="GC523" s="58"/>
      <c r="GD523" s="58"/>
      <c r="GE523" s="58"/>
      <c r="GF523" s="58"/>
      <c r="GG523" s="58"/>
      <c r="GH523" s="58"/>
      <c r="GI523" s="58"/>
      <c r="GJ523" s="58"/>
      <c r="GK523" s="58"/>
    </row>
    <row r="524" spans="1:193" s="74" customFormat="1">
      <c r="A524" s="78"/>
      <c r="B524" s="78"/>
      <c r="C524" s="78"/>
      <c r="D524" s="78"/>
      <c r="E524" s="78"/>
      <c r="F524" s="78"/>
      <c r="G524" s="67"/>
      <c r="H524" s="319"/>
      <c r="I524" s="319"/>
      <c r="J524" s="78"/>
      <c r="K524" s="58"/>
      <c r="L524" s="319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  <c r="EM524" s="58"/>
      <c r="EN524" s="58"/>
      <c r="EO524" s="58"/>
      <c r="EP524" s="58"/>
      <c r="EQ524" s="58"/>
      <c r="ER524" s="58"/>
      <c r="ES524" s="58"/>
      <c r="ET524" s="58"/>
      <c r="EU524" s="58"/>
      <c r="EV524" s="58"/>
      <c r="EW524" s="58"/>
      <c r="EX524" s="58"/>
      <c r="EY524" s="58"/>
      <c r="EZ524" s="58"/>
      <c r="FA524" s="58"/>
      <c r="FB524" s="58"/>
      <c r="FC524" s="58"/>
      <c r="FD524" s="58"/>
      <c r="FE524" s="58"/>
      <c r="FF524" s="58"/>
      <c r="FG524" s="58"/>
      <c r="FH524" s="58"/>
      <c r="FI524" s="58"/>
      <c r="FJ524" s="58"/>
      <c r="FK524" s="58"/>
      <c r="FL524" s="58"/>
      <c r="FM524" s="58"/>
      <c r="FN524" s="58"/>
      <c r="FO524" s="58"/>
      <c r="FP524" s="58"/>
      <c r="FQ524" s="58"/>
      <c r="FR524" s="58"/>
      <c r="FS524" s="58"/>
      <c r="FT524" s="58"/>
      <c r="FU524" s="58"/>
      <c r="FV524" s="58"/>
      <c r="FW524" s="58"/>
      <c r="FX524" s="58"/>
      <c r="FY524" s="58"/>
      <c r="FZ524" s="58"/>
      <c r="GA524" s="58"/>
      <c r="GB524" s="58"/>
      <c r="GC524" s="58"/>
      <c r="GD524" s="58"/>
      <c r="GE524" s="58"/>
      <c r="GF524" s="58"/>
      <c r="GG524" s="58"/>
      <c r="GH524" s="58"/>
      <c r="GI524" s="58"/>
      <c r="GJ524" s="58"/>
      <c r="GK524" s="58"/>
    </row>
    <row r="525" spans="1:193" s="74" customFormat="1">
      <c r="A525" s="78"/>
      <c r="B525" s="78"/>
      <c r="C525" s="78"/>
      <c r="D525" s="78"/>
      <c r="E525" s="78"/>
      <c r="F525" s="78"/>
      <c r="G525" s="67"/>
      <c r="H525" s="319"/>
      <c r="I525" s="319"/>
      <c r="J525" s="78"/>
      <c r="K525" s="58"/>
      <c r="L525" s="319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  <c r="EM525" s="58"/>
      <c r="EN525" s="58"/>
      <c r="EO525" s="58"/>
      <c r="EP525" s="58"/>
      <c r="EQ525" s="58"/>
      <c r="ER525" s="58"/>
      <c r="ES525" s="58"/>
      <c r="ET525" s="58"/>
      <c r="EU525" s="58"/>
      <c r="EV525" s="58"/>
      <c r="EW525" s="58"/>
      <c r="EX525" s="58"/>
      <c r="EY525" s="58"/>
      <c r="EZ525" s="58"/>
      <c r="FA525" s="58"/>
      <c r="FB525" s="58"/>
      <c r="FC525" s="58"/>
      <c r="FD525" s="58"/>
      <c r="FE525" s="58"/>
      <c r="FF525" s="58"/>
      <c r="FG525" s="58"/>
      <c r="FH525" s="58"/>
      <c r="FI525" s="58"/>
      <c r="FJ525" s="58"/>
      <c r="FK525" s="58"/>
      <c r="FL525" s="58"/>
      <c r="FM525" s="58"/>
      <c r="FN525" s="58"/>
      <c r="FO525" s="58"/>
      <c r="FP525" s="58"/>
      <c r="FQ525" s="58"/>
      <c r="FR525" s="58"/>
      <c r="FS525" s="58"/>
      <c r="FT525" s="58"/>
      <c r="FU525" s="58"/>
      <c r="FV525" s="58"/>
      <c r="FW525" s="58"/>
      <c r="FX525" s="58"/>
      <c r="FY525" s="58"/>
      <c r="FZ525" s="58"/>
      <c r="GA525" s="58"/>
      <c r="GB525" s="58"/>
      <c r="GC525" s="58"/>
      <c r="GD525" s="58"/>
      <c r="GE525" s="58"/>
      <c r="GF525" s="58"/>
      <c r="GG525" s="58"/>
      <c r="GH525" s="58"/>
      <c r="GI525" s="58"/>
      <c r="GJ525" s="58"/>
      <c r="GK525" s="58"/>
    </row>
    <row r="526" spans="1:193" s="74" customFormat="1">
      <c r="A526" s="78"/>
      <c r="B526" s="78"/>
      <c r="C526" s="78"/>
      <c r="D526" s="78"/>
      <c r="E526" s="78"/>
      <c r="F526" s="78"/>
      <c r="G526" s="67"/>
      <c r="H526" s="319"/>
      <c r="I526" s="319"/>
      <c r="J526" s="78"/>
      <c r="K526" s="58"/>
      <c r="L526" s="319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  <c r="EM526" s="58"/>
      <c r="EN526" s="58"/>
      <c r="EO526" s="58"/>
      <c r="EP526" s="58"/>
      <c r="EQ526" s="58"/>
      <c r="ER526" s="58"/>
      <c r="ES526" s="58"/>
      <c r="ET526" s="58"/>
      <c r="EU526" s="58"/>
      <c r="EV526" s="58"/>
      <c r="EW526" s="58"/>
      <c r="EX526" s="58"/>
      <c r="EY526" s="58"/>
      <c r="EZ526" s="58"/>
      <c r="FA526" s="58"/>
      <c r="FB526" s="58"/>
      <c r="FC526" s="58"/>
      <c r="FD526" s="58"/>
      <c r="FE526" s="58"/>
      <c r="FF526" s="58"/>
      <c r="FG526" s="58"/>
      <c r="FH526" s="58"/>
      <c r="FI526" s="58"/>
      <c r="FJ526" s="58"/>
      <c r="FK526" s="58"/>
      <c r="FL526" s="58"/>
      <c r="FM526" s="58"/>
      <c r="FN526" s="58"/>
      <c r="FO526" s="58"/>
      <c r="FP526" s="58"/>
      <c r="FQ526" s="58"/>
      <c r="FR526" s="58"/>
      <c r="FS526" s="58"/>
      <c r="FT526" s="58"/>
      <c r="FU526" s="58"/>
      <c r="FV526" s="58"/>
      <c r="FW526" s="58"/>
      <c r="FX526" s="58"/>
      <c r="FY526" s="58"/>
      <c r="FZ526" s="58"/>
      <c r="GA526" s="58"/>
      <c r="GB526" s="58"/>
      <c r="GC526" s="58"/>
      <c r="GD526" s="58"/>
      <c r="GE526" s="58"/>
      <c r="GF526" s="58"/>
      <c r="GG526" s="58"/>
      <c r="GH526" s="58"/>
      <c r="GI526" s="58"/>
      <c r="GJ526" s="58"/>
      <c r="GK526" s="58"/>
    </row>
    <row r="527" spans="1:193" s="74" customFormat="1">
      <c r="A527" s="78"/>
      <c r="B527" s="78"/>
      <c r="C527" s="78"/>
      <c r="D527" s="78"/>
      <c r="E527" s="78"/>
      <c r="F527" s="78"/>
      <c r="G527" s="67"/>
      <c r="H527" s="319"/>
      <c r="I527" s="319"/>
      <c r="J527" s="78"/>
      <c r="K527" s="58"/>
      <c r="L527" s="319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  <c r="EM527" s="58"/>
      <c r="EN527" s="58"/>
      <c r="EO527" s="58"/>
      <c r="EP527" s="58"/>
      <c r="EQ527" s="58"/>
      <c r="ER527" s="58"/>
      <c r="ES527" s="58"/>
      <c r="ET527" s="58"/>
      <c r="EU527" s="58"/>
      <c r="EV527" s="58"/>
      <c r="EW527" s="58"/>
      <c r="EX527" s="58"/>
      <c r="EY527" s="58"/>
      <c r="EZ527" s="58"/>
      <c r="FA527" s="58"/>
      <c r="FB527" s="58"/>
      <c r="FC527" s="58"/>
      <c r="FD527" s="58"/>
      <c r="FE527" s="58"/>
      <c r="FF527" s="58"/>
      <c r="FG527" s="58"/>
      <c r="FH527" s="58"/>
      <c r="FI527" s="58"/>
      <c r="FJ527" s="58"/>
      <c r="FK527" s="58"/>
      <c r="FL527" s="58"/>
      <c r="FM527" s="58"/>
      <c r="FN527" s="58"/>
      <c r="FO527" s="58"/>
      <c r="FP527" s="58"/>
      <c r="FQ527" s="58"/>
      <c r="FR527" s="58"/>
      <c r="FS527" s="58"/>
      <c r="FT527" s="58"/>
      <c r="FU527" s="58"/>
      <c r="FV527" s="58"/>
      <c r="FW527" s="58"/>
      <c r="FX527" s="58"/>
      <c r="FY527" s="58"/>
      <c r="FZ527" s="58"/>
      <c r="GA527" s="58"/>
      <c r="GB527" s="58"/>
      <c r="GC527" s="58"/>
      <c r="GD527" s="58"/>
      <c r="GE527" s="58"/>
      <c r="GF527" s="58"/>
      <c r="GG527" s="58"/>
      <c r="GH527" s="58"/>
      <c r="GI527" s="58"/>
      <c r="GJ527" s="58"/>
      <c r="GK527" s="58"/>
    </row>
    <row r="528" spans="1:193" s="74" customFormat="1">
      <c r="A528" s="78"/>
      <c r="B528" s="78"/>
      <c r="C528" s="78"/>
      <c r="D528" s="78"/>
      <c r="E528" s="78"/>
      <c r="F528" s="78"/>
      <c r="G528" s="67"/>
      <c r="H528" s="319"/>
      <c r="I528" s="319"/>
      <c r="J528" s="78"/>
      <c r="K528" s="58"/>
      <c r="L528" s="319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  <c r="EM528" s="58"/>
      <c r="EN528" s="58"/>
      <c r="EO528" s="58"/>
      <c r="EP528" s="58"/>
      <c r="EQ528" s="58"/>
      <c r="ER528" s="58"/>
      <c r="ES528" s="58"/>
      <c r="ET528" s="58"/>
      <c r="EU528" s="58"/>
      <c r="EV528" s="58"/>
      <c r="EW528" s="58"/>
      <c r="EX528" s="58"/>
      <c r="EY528" s="58"/>
      <c r="EZ528" s="58"/>
      <c r="FA528" s="58"/>
      <c r="FB528" s="58"/>
      <c r="FC528" s="58"/>
      <c r="FD528" s="58"/>
      <c r="FE528" s="58"/>
      <c r="FF528" s="58"/>
      <c r="FG528" s="58"/>
      <c r="FH528" s="58"/>
      <c r="FI528" s="58"/>
      <c r="FJ528" s="58"/>
      <c r="FK528" s="58"/>
      <c r="FL528" s="58"/>
      <c r="FM528" s="58"/>
      <c r="FN528" s="58"/>
      <c r="FO528" s="58"/>
      <c r="FP528" s="58"/>
      <c r="FQ528" s="58"/>
      <c r="FR528" s="58"/>
      <c r="FS528" s="58"/>
      <c r="FT528" s="58"/>
      <c r="FU528" s="58"/>
      <c r="FV528" s="58"/>
      <c r="FW528" s="58"/>
      <c r="FX528" s="58"/>
      <c r="FY528" s="58"/>
      <c r="FZ528" s="58"/>
      <c r="GA528" s="58"/>
      <c r="GB528" s="58"/>
      <c r="GC528" s="58"/>
      <c r="GD528" s="58"/>
      <c r="GE528" s="58"/>
      <c r="GF528" s="58"/>
      <c r="GG528" s="58"/>
      <c r="GH528" s="58"/>
      <c r="GI528" s="58"/>
      <c r="GJ528" s="58"/>
      <c r="GK528" s="58"/>
    </row>
    <row r="529" spans="1:193" s="74" customFormat="1">
      <c r="A529" s="78"/>
      <c r="B529" s="78"/>
      <c r="C529" s="78"/>
      <c r="D529" s="78"/>
      <c r="E529" s="78"/>
      <c r="F529" s="78"/>
      <c r="G529" s="67"/>
      <c r="H529" s="319"/>
      <c r="I529" s="319"/>
      <c r="J529" s="78"/>
      <c r="K529" s="58"/>
      <c r="L529" s="319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  <c r="EM529" s="58"/>
      <c r="EN529" s="58"/>
      <c r="EO529" s="58"/>
      <c r="EP529" s="58"/>
      <c r="EQ529" s="58"/>
      <c r="ER529" s="58"/>
      <c r="ES529" s="58"/>
      <c r="ET529" s="58"/>
      <c r="EU529" s="58"/>
      <c r="EV529" s="58"/>
      <c r="EW529" s="58"/>
      <c r="EX529" s="58"/>
      <c r="EY529" s="58"/>
      <c r="EZ529" s="58"/>
      <c r="FA529" s="58"/>
      <c r="FB529" s="58"/>
      <c r="FC529" s="58"/>
      <c r="FD529" s="58"/>
      <c r="FE529" s="58"/>
      <c r="FF529" s="58"/>
      <c r="FG529" s="58"/>
      <c r="FH529" s="58"/>
      <c r="FI529" s="58"/>
      <c r="FJ529" s="58"/>
      <c r="FK529" s="58"/>
      <c r="FL529" s="58"/>
      <c r="FM529" s="58"/>
      <c r="FN529" s="58"/>
      <c r="FO529" s="58"/>
      <c r="FP529" s="58"/>
      <c r="FQ529" s="58"/>
      <c r="FR529" s="58"/>
      <c r="FS529" s="58"/>
      <c r="FT529" s="58"/>
      <c r="FU529" s="58"/>
      <c r="FV529" s="58"/>
      <c r="FW529" s="58"/>
      <c r="FX529" s="58"/>
      <c r="FY529" s="58"/>
      <c r="FZ529" s="58"/>
      <c r="GA529" s="58"/>
      <c r="GB529" s="58"/>
      <c r="GC529" s="58"/>
      <c r="GD529" s="58"/>
      <c r="GE529" s="58"/>
      <c r="GF529" s="58"/>
      <c r="GG529" s="58"/>
      <c r="GH529" s="58"/>
      <c r="GI529" s="58"/>
      <c r="GJ529" s="58"/>
      <c r="GK529" s="58"/>
    </row>
    <row r="530" spans="1:193" s="74" customFormat="1">
      <c r="A530" s="78"/>
      <c r="B530" s="78"/>
      <c r="C530" s="78"/>
      <c r="D530" s="78"/>
      <c r="E530" s="78"/>
      <c r="F530" s="78"/>
      <c r="G530" s="67"/>
      <c r="H530" s="319"/>
      <c r="I530" s="319"/>
      <c r="J530" s="78"/>
      <c r="K530" s="58"/>
      <c r="L530" s="319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  <c r="EM530" s="58"/>
      <c r="EN530" s="58"/>
      <c r="EO530" s="58"/>
      <c r="EP530" s="58"/>
      <c r="EQ530" s="58"/>
      <c r="ER530" s="58"/>
      <c r="ES530" s="58"/>
      <c r="ET530" s="58"/>
      <c r="EU530" s="58"/>
      <c r="EV530" s="58"/>
      <c r="EW530" s="58"/>
      <c r="EX530" s="58"/>
      <c r="EY530" s="58"/>
      <c r="EZ530" s="58"/>
      <c r="FA530" s="58"/>
      <c r="FB530" s="58"/>
      <c r="FC530" s="58"/>
      <c r="FD530" s="58"/>
      <c r="FE530" s="58"/>
      <c r="FF530" s="58"/>
      <c r="FG530" s="58"/>
      <c r="FH530" s="58"/>
      <c r="FI530" s="58"/>
      <c r="FJ530" s="58"/>
      <c r="FK530" s="58"/>
      <c r="FL530" s="58"/>
      <c r="FM530" s="58"/>
      <c r="FN530" s="58"/>
      <c r="FO530" s="58"/>
      <c r="FP530" s="58"/>
      <c r="FQ530" s="58"/>
      <c r="FR530" s="58"/>
      <c r="FS530" s="58"/>
      <c r="FT530" s="58"/>
      <c r="FU530" s="58"/>
      <c r="FV530" s="58"/>
      <c r="FW530" s="58"/>
      <c r="FX530" s="58"/>
      <c r="FY530" s="58"/>
      <c r="FZ530" s="58"/>
      <c r="GA530" s="58"/>
      <c r="GB530" s="58"/>
      <c r="GC530" s="58"/>
      <c r="GD530" s="58"/>
      <c r="GE530" s="58"/>
      <c r="GF530" s="58"/>
      <c r="GG530" s="58"/>
      <c r="GH530" s="58"/>
      <c r="GI530" s="58"/>
      <c r="GJ530" s="58"/>
      <c r="GK530" s="58"/>
    </row>
    <row r="531" spans="1:193" s="74" customFormat="1">
      <c r="A531" s="78"/>
      <c r="B531" s="78"/>
      <c r="C531" s="78"/>
      <c r="D531" s="78"/>
      <c r="E531" s="78"/>
      <c r="F531" s="78"/>
      <c r="G531" s="67"/>
      <c r="H531" s="319"/>
      <c r="I531" s="319"/>
      <c r="J531" s="78"/>
      <c r="K531" s="58"/>
      <c r="L531" s="319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  <c r="EM531" s="58"/>
      <c r="EN531" s="58"/>
      <c r="EO531" s="58"/>
      <c r="EP531" s="58"/>
      <c r="EQ531" s="58"/>
      <c r="ER531" s="58"/>
      <c r="ES531" s="58"/>
      <c r="ET531" s="58"/>
      <c r="EU531" s="58"/>
      <c r="EV531" s="58"/>
      <c r="EW531" s="58"/>
      <c r="EX531" s="58"/>
      <c r="EY531" s="58"/>
      <c r="EZ531" s="58"/>
      <c r="FA531" s="58"/>
      <c r="FB531" s="58"/>
      <c r="FC531" s="58"/>
      <c r="FD531" s="58"/>
      <c r="FE531" s="58"/>
      <c r="FF531" s="58"/>
      <c r="FG531" s="58"/>
      <c r="FH531" s="58"/>
      <c r="FI531" s="58"/>
      <c r="FJ531" s="58"/>
      <c r="FK531" s="58"/>
      <c r="FL531" s="58"/>
      <c r="FM531" s="58"/>
      <c r="FN531" s="58"/>
      <c r="FO531" s="58"/>
      <c r="FP531" s="58"/>
      <c r="FQ531" s="58"/>
      <c r="FR531" s="58"/>
      <c r="FS531" s="58"/>
      <c r="FT531" s="58"/>
      <c r="FU531" s="58"/>
      <c r="FV531" s="58"/>
      <c r="FW531" s="58"/>
      <c r="FX531" s="58"/>
      <c r="FY531" s="58"/>
      <c r="FZ531" s="58"/>
      <c r="GA531" s="58"/>
      <c r="GB531" s="58"/>
      <c r="GC531" s="58"/>
      <c r="GD531" s="58"/>
      <c r="GE531" s="58"/>
      <c r="GF531" s="58"/>
      <c r="GG531" s="58"/>
      <c r="GH531" s="58"/>
      <c r="GI531" s="58"/>
      <c r="GJ531" s="58"/>
      <c r="GK531" s="58"/>
    </row>
    <row r="532" spans="1:193" s="74" customFormat="1">
      <c r="A532" s="78"/>
      <c r="B532" s="78"/>
      <c r="C532" s="78"/>
      <c r="D532" s="78"/>
      <c r="E532" s="78"/>
      <c r="F532" s="78"/>
      <c r="G532" s="67"/>
      <c r="H532" s="319"/>
      <c r="I532" s="319"/>
      <c r="J532" s="78"/>
      <c r="K532" s="58"/>
      <c r="L532" s="319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  <c r="EM532" s="58"/>
      <c r="EN532" s="58"/>
      <c r="EO532" s="58"/>
      <c r="EP532" s="58"/>
      <c r="EQ532" s="58"/>
      <c r="ER532" s="58"/>
      <c r="ES532" s="58"/>
      <c r="ET532" s="58"/>
      <c r="EU532" s="58"/>
      <c r="EV532" s="58"/>
      <c r="EW532" s="58"/>
      <c r="EX532" s="58"/>
      <c r="EY532" s="58"/>
      <c r="EZ532" s="58"/>
      <c r="FA532" s="58"/>
      <c r="FB532" s="58"/>
      <c r="FC532" s="58"/>
      <c r="FD532" s="58"/>
      <c r="FE532" s="58"/>
      <c r="FF532" s="58"/>
      <c r="FG532" s="58"/>
      <c r="FH532" s="58"/>
      <c r="FI532" s="58"/>
      <c r="FJ532" s="58"/>
      <c r="FK532" s="58"/>
      <c r="FL532" s="58"/>
      <c r="FM532" s="58"/>
      <c r="FN532" s="58"/>
      <c r="FO532" s="58"/>
      <c r="FP532" s="58"/>
      <c r="FQ532" s="58"/>
      <c r="FR532" s="58"/>
      <c r="FS532" s="58"/>
      <c r="FT532" s="58"/>
      <c r="FU532" s="58"/>
      <c r="FV532" s="58"/>
      <c r="FW532" s="58"/>
      <c r="FX532" s="58"/>
      <c r="FY532" s="58"/>
      <c r="FZ532" s="58"/>
      <c r="GA532" s="58"/>
      <c r="GB532" s="58"/>
      <c r="GC532" s="58"/>
      <c r="GD532" s="58"/>
      <c r="GE532" s="58"/>
      <c r="GF532" s="58"/>
      <c r="GG532" s="58"/>
      <c r="GH532" s="58"/>
      <c r="GI532" s="58"/>
      <c r="GJ532" s="58"/>
      <c r="GK532" s="58"/>
    </row>
    <row r="533" spans="1:193" s="74" customFormat="1">
      <c r="A533" s="78"/>
      <c r="B533" s="78"/>
      <c r="C533" s="78"/>
      <c r="D533" s="78"/>
      <c r="E533" s="78"/>
      <c r="F533" s="78"/>
      <c r="G533" s="67"/>
      <c r="H533" s="319"/>
      <c r="I533" s="319"/>
      <c r="J533" s="78"/>
      <c r="K533" s="58"/>
      <c r="L533" s="319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  <c r="EM533" s="58"/>
      <c r="EN533" s="58"/>
      <c r="EO533" s="58"/>
      <c r="EP533" s="58"/>
      <c r="EQ533" s="58"/>
      <c r="ER533" s="58"/>
      <c r="ES533" s="58"/>
      <c r="ET533" s="58"/>
      <c r="EU533" s="58"/>
      <c r="EV533" s="58"/>
      <c r="EW533" s="58"/>
      <c r="EX533" s="58"/>
      <c r="EY533" s="58"/>
      <c r="EZ533" s="58"/>
      <c r="FA533" s="58"/>
      <c r="FB533" s="58"/>
      <c r="FC533" s="58"/>
      <c r="FD533" s="58"/>
      <c r="FE533" s="58"/>
      <c r="FF533" s="58"/>
      <c r="FG533" s="58"/>
      <c r="FH533" s="58"/>
      <c r="FI533" s="58"/>
      <c r="FJ533" s="58"/>
      <c r="FK533" s="58"/>
      <c r="FL533" s="58"/>
      <c r="FM533" s="58"/>
      <c r="FN533" s="58"/>
      <c r="FO533" s="58"/>
      <c r="FP533" s="58"/>
      <c r="FQ533" s="58"/>
      <c r="FR533" s="58"/>
      <c r="FS533" s="58"/>
      <c r="FT533" s="58"/>
      <c r="FU533" s="58"/>
      <c r="FV533" s="58"/>
      <c r="FW533" s="58"/>
      <c r="FX533" s="58"/>
      <c r="FY533" s="58"/>
      <c r="FZ533" s="58"/>
      <c r="GA533" s="58"/>
      <c r="GB533" s="58"/>
      <c r="GC533" s="58"/>
      <c r="GD533" s="58"/>
      <c r="GE533" s="58"/>
      <c r="GF533" s="58"/>
      <c r="GG533" s="58"/>
      <c r="GH533" s="58"/>
      <c r="GI533" s="58"/>
      <c r="GJ533" s="58"/>
      <c r="GK533" s="58"/>
    </row>
    <row r="534" spans="1:193" s="74" customFormat="1">
      <c r="A534" s="78"/>
      <c r="B534" s="78"/>
      <c r="C534" s="78"/>
      <c r="D534" s="78"/>
      <c r="E534" s="78"/>
      <c r="F534" s="78"/>
      <c r="G534" s="67"/>
      <c r="H534" s="319"/>
      <c r="I534" s="319"/>
      <c r="J534" s="78"/>
      <c r="K534" s="58"/>
      <c r="L534" s="319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  <c r="EM534" s="58"/>
      <c r="EN534" s="58"/>
      <c r="EO534" s="58"/>
      <c r="EP534" s="58"/>
      <c r="EQ534" s="58"/>
      <c r="ER534" s="58"/>
      <c r="ES534" s="58"/>
      <c r="ET534" s="58"/>
      <c r="EU534" s="58"/>
      <c r="EV534" s="58"/>
      <c r="EW534" s="58"/>
      <c r="EX534" s="58"/>
      <c r="EY534" s="58"/>
      <c r="EZ534" s="58"/>
      <c r="FA534" s="58"/>
      <c r="FB534" s="58"/>
      <c r="FC534" s="58"/>
      <c r="FD534" s="58"/>
      <c r="FE534" s="58"/>
      <c r="FF534" s="58"/>
      <c r="FG534" s="58"/>
      <c r="FH534" s="58"/>
      <c r="FI534" s="58"/>
      <c r="FJ534" s="58"/>
      <c r="FK534" s="58"/>
      <c r="FL534" s="58"/>
      <c r="FM534" s="58"/>
      <c r="FN534" s="58"/>
      <c r="FO534" s="58"/>
      <c r="FP534" s="58"/>
      <c r="FQ534" s="58"/>
      <c r="FR534" s="58"/>
      <c r="FS534" s="58"/>
      <c r="FT534" s="58"/>
      <c r="FU534" s="58"/>
      <c r="FV534" s="58"/>
      <c r="FW534" s="58"/>
      <c r="FX534" s="58"/>
      <c r="FY534" s="58"/>
      <c r="FZ534" s="58"/>
      <c r="GA534" s="58"/>
      <c r="GB534" s="58"/>
      <c r="GC534" s="58"/>
      <c r="GD534" s="58"/>
      <c r="GE534" s="58"/>
      <c r="GF534" s="58"/>
      <c r="GG534" s="58"/>
      <c r="GH534" s="58"/>
      <c r="GI534" s="58"/>
      <c r="GJ534" s="58"/>
      <c r="GK534" s="58"/>
    </row>
    <row r="535" spans="1:193" s="74" customFormat="1">
      <c r="A535" s="78"/>
      <c r="B535" s="78"/>
      <c r="C535" s="78"/>
      <c r="D535" s="78"/>
      <c r="E535" s="78"/>
      <c r="F535" s="78"/>
      <c r="G535" s="67"/>
      <c r="H535" s="319"/>
      <c r="I535" s="319"/>
      <c r="J535" s="78"/>
      <c r="K535" s="58"/>
      <c r="L535" s="319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  <c r="EN535" s="58"/>
      <c r="EO535" s="58"/>
      <c r="EP535" s="58"/>
      <c r="EQ535" s="58"/>
      <c r="ER535" s="58"/>
      <c r="ES535" s="58"/>
      <c r="ET535" s="58"/>
      <c r="EU535" s="58"/>
      <c r="EV535" s="58"/>
      <c r="EW535" s="58"/>
      <c r="EX535" s="58"/>
      <c r="EY535" s="58"/>
      <c r="EZ535" s="58"/>
      <c r="FA535" s="58"/>
      <c r="FB535" s="58"/>
      <c r="FC535" s="58"/>
      <c r="FD535" s="58"/>
      <c r="FE535" s="58"/>
      <c r="FF535" s="58"/>
      <c r="FG535" s="58"/>
      <c r="FH535" s="58"/>
      <c r="FI535" s="58"/>
      <c r="FJ535" s="58"/>
      <c r="FK535" s="58"/>
      <c r="FL535" s="58"/>
      <c r="FM535" s="58"/>
      <c r="FN535" s="58"/>
      <c r="FO535" s="58"/>
      <c r="FP535" s="58"/>
      <c r="FQ535" s="58"/>
      <c r="FR535" s="58"/>
      <c r="FS535" s="58"/>
      <c r="FT535" s="58"/>
      <c r="FU535" s="58"/>
      <c r="FV535" s="58"/>
      <c r="FW535" s="58"/>
      <c r="FX535" s="58"/>
      <c r="FY535" s="58"/>
      <c r="FZ535" s="58"/>
      <c r="GA535" s="58"/>
      <c r="GB535" s="58"/>
      <c r="GC535" s="58"/>
      <c r="GD535" s="58"/>
      <c r="GE535" s="58"/>
      <c r="GF535" s="58"/>
      <c r="GG535" s="58"/>
      <c r="GH535" s="58"/>
      <c r="GI535" s="58"/>
      <c r="GJ535" s="58"/>
      <c r="GK535" s="58"/>
    </row>
    <row r="536" spans="1:193" s="74" customFormat="1">
      <c r="A536" s="78"/>
      <c r="B536" s="78"/>
      <c r="C536" s="78"/>
      <c r="D536" s="78"/>
      <c r="E536" s="78"/>
      <c r="F536" s="78"/>
      <c r="G536" s="67"/>
      <c r="H536" s="319"/>
      <c r="I536" s="319"/>
      <c r="J536" s="78"/>
      <c r="K536" s="58"/>
      <c r="L536" s="319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  <c r="EM536" s="58"/>
      <c r="EN536" s="58"/>
      <c r="EO536" s="58"/>
      <c r="EP536" s="58"/>
      <c r="EQ536" s="58"/>
      <c r="ER536" s="58"/>
      <c r="ES536" s="58"/>
      <c r="ET536" s="58"/>
      <c r="EU536" s="58"/>
      <c r="EV536" s="58"/>
      <c r="EW536" s="58"/>
      <c r="EX536" s="58"/>
      <c r="EY536" s="58"/>
      <c r="EZ536" s="58"/>
      <c r="FA536" s="58"/>
      <c r="FB536" s="58"/>
      <c r="FC536" s="58"/>
      <c r="FD536" s="58"/>
      <c r="FE536" s="58"/>
      <c r="FF536" s="58"/>
      <c r="FG536" s="58"/>
      <c r="FH536" s="58"/>
      <c r="FI536" s="58"/>
      <c r="FJ536" s="58"/>
      <c r="FK536" s="58"/>
      <c r="FL536" s="58"/>
      <c r="FM536" s="58"/>
      <c r="FN536" s="58"/>
      <c r="FO536" s="58"/>
      <c r="FP536" s="58"/>
      <c r="FQ536" s="58"/>
      <c r="FR536" s="58"/>
      <c r="FS536" s="58"/>
      <c r="FT536" s="58"/>
      <c r="FU536" s="58"/>
      <c r="FV536" s="58"/>
      <c r="FW536" s="58"/>
      <c r="FX536" s="58"/>
      <c r="FY536" s="58"/>
      <c r="FZ536" s="58"/>
      <c r="GA536" s="58"/>
      <c r="GB536" s="58"/>
      <c r="GC536" s="58"/>
      <c r="GD536" s="58"/>
      <c r="GE536" s="58"/>
      <c r="GF536" s="58"/>
      <c r="GG536" s="58"/>
      <c r="GH536" s="58"/>
      <c r="GI536" s="58"/>
      <c r="GJ536" s="58"/>
      <c r="GK536" s="58"/>
    </row>
    <row r="537" spans="1:193" s="74" customFormat="1">
      <c r="A537" s="78"/>
      <c r="B537" s="78"/>
      <c r="C537" s="78"/>
      <c r="D537" s="78"/>
      <c r="E537" s="78"/>
      <c r="F537" s="78"/>
      <c r="G537" s="67"/>
      <c r="H537" s="319"/>
      <c r="I537" s="319"/>
      <c r="J537" s="78"/>
      <c r="K537" s="58"/>
      <c r="L537" s="319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  <c r="EM537" s="58"/>
      <c r="EN537" s="58"/>
      <c r="EO537" s="58"/>
      <c r="EP537" s="58"/>
      <c r="EQ537" s="58"/>
      <c r="ER537" s="58"/>
      <c r="ES537" s="58"/>
      <c r="ET537" s="58"/>
      <c r="EU537" s="58"/>
      <c r="EV537" s="58"/>
      <c r="EW537" s="58"/>
      <c r="EX537" s="58"/>
      <c r="EY537" s="58"/>
      <c r="EZ537" s="58"/>
      <c r="FA537" s="58"/>
      <c r="FB537" s="58"/>
      <c r="FC537" s="58"/>
      <c r="FD537" s="58"/>
      <c r="FE537" s="58"/>
      <c r="FF537" s="58"/>
      <c r="FG537" s="58"/>
      <c r="FH537" s="58"/>
      <c r="FI537" s="58"/>
      <c r="FJ537" s="58"/>
      <c r="FK537" s="58"/>
      <c r="FL537" s="58"/>
      <c r="FM537" s="58"/>
      <c r="FN537" s="58"/>
      <c r="FO537" s="58"/>
      <c r="FP537" s="58"/>
      <c r="FQ537" s="58"/>
      <c r="FR537" s="58"/>
      <c r="FS537" s="58"/>
      <c r="FT537" s="58"/>
      <c r="FU537" s="58"/>
      <c r="FV537" s="58"/>
      <c r="FW537" s="58"/>
      <c r="FX537" s="58"/>
      <c r="FY537" s="58"/>
      <c r="FZ537" s="58"/>
      <c r="GA537" s="58"/>
      <c r="GB537" s="58"/>
      <c r="GC537" s="58"/>
      <c r="GD537" s="58"/>
      <c r="GE537" s="58"/>
      <c r="GF537" s="58"/>
      <c r="GG537" s="58"/>
      <c r="GH537" s="58"/>
      <c r="GI537" s="58"/>
      <c r="GJ537" s="58"/>
      <c r="GK537" s="58"/>
    </row>
    <row r="538" spans="1:193" s="74" customFormat="1">
      <c r="A538" s="78"/>
      <c r="B538" s="78"/>
      <c r="C538" s="78"/>
      <c r="D538" s="78"/>
      <c r="E538" s="78"/>
      <c r="F538" s="78"/>
      <c r="G538" s="67"/>
      <c r="H538" s="319"/>
      <c r="I538" s="319"/>
      <c r="J538" s="78"/>
      <c r="K538" s="58"/>
      <c r="L538" s="319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  <c r="EM538" s="58"/>
      <c r="EN538" s="58"/>
      <c r="EO538" s="58"/>
      <c r="EP538" s="58"/>
      <c r="EQ538" s="58"/>
      <c r="ER538" s="58"/>
      <c r="ES538" s="58"/>
      <c r="ET538" s="58"/>
      <c r="EU538" s="58"/>
      <c r="EV538" s="58"/>
      <c r="EW538" s="58"/>
      <c r="EX538" s="58"/>
      <c r="EY538" s="58"/>
      <c r="EZ538" s="58"/>
      <c r="FA538" s="58"/>
      <c r="FB538" s="58"/>
      <c r="FC538" s="58"/>
      <c r="FD538" s="58"/>
      <c r="FE538" s="58"/>
      <c r="FF538" s="58"/>
      <c r="FG538" s="58"/>
      <c r="FH538" s="58"/>
      <c r="FI538" s="58"/>
      <c r="FJ538" s="58"/>
      <c r="FK538" s="58"/>
      <c r="FL538" s="58"/>
      <c r="FM538" s="58"/>
      <c r="FN538" s="58"/>
      <c r="FO538" s="58"/>
      <c r="FP538" s="58"/>
      <c r="FQ538" s="58"/>
      <c r="FR538" s="58"/>
      <c r="FS538" s="58"/>
      <c r="FT538" s="58"/>
      <c r="FU538" s="58"/>
      <c r="FV538" s="58"/>
      <c r="FW538" s="58"/>
      <c r="FX538" s="58"/>
      <c r="FY538" s="58"/>
      <c r="FZ538" s="58"/>
      <c r="GA538" s="58"/>
      <c r="GB538" s="58"/>
      <c r="GC538" s="58"/>
      <c r="GD538" s="58"/>
      <c r="GE538" s="58"/>
      <c r="GF538" s="58"/>
      <c r="GG538" s="58"/>
      <c r="GH538" s="58"/>
      <c r="GI538" s="58"/>
      <c r="GJ538" s="58"/>
      <c r="GK538" s="58"/>
    </row>
    <row r="539" spans="1:193" s="74" customFormat="1">
      <c r="A539" s="78"/>
      <c r="B539" s="78"/>
      <c r="C539" s="78"/>
      <c r="D539" s="78"/>
      <c r="E539" s="78"/>
      <c r="F539" s="78"/>
      <c r="G539" s="67"/>
      <c r="H539" s="319"/>
      <c r="I539" s="319"/>
      <c r="J539" s="78"/>
      <c r="K539" s="58"/>
      <c r="L539" s="319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  <c r="EM539" s="58"/>
      <c r="EN539" s="58"/>
      <c r="EO539" s="58"/>
      <c r="EP539" s="58"/>
      <c r="EQ539" s="58"/>
      <c r="ER539" s="58"/>
      <c r="ES539" s="58"/>
      <c r="ET539" s="58"/>
      <c r="EU539" s="58"/>
      <c r="EV539" s="58"/>
      <c r="EW539" s="58"/>
      <c r="EX539" s="58"/>
      <c r="EY539" s="58"/>
      <c r="EZ539" s="58"/>
      <c r="FA539" s="58"/>
      <c r="FB539" s="58"/>
      <c r="FC539" s="58"/>
      <c r="FD539" s="58"/>
      <c r="FE539" s="58"/>
      <c r="FF539" s="58"/>
      <c r="FG539" s="58"/>
      <c r="FH539" s="58"/>
      <c r="FI539" s="58"/>
      <c r="FJ539" s="58"/>
      <c r="FK539" s="58"/>
      <c r="FL539" s="58"/>
      <c r="FM539" s="58"/>
      <c r="FN539" s="58"/>
      <c r="FO539" s="58"/>
      <c r="FP539" s="58"/>
      <c r="FQ539" s="58"/>
      <c r="FR539" s="58"/>
      <c r="FS539" s="58"/>
      <c r="FT539" s="58"/>
      <c r="FU539" s="58"/>
      <c r="FV539" s="58"/>
      <c r="FW539" s="58"/>
      <c r="FX539" s="58"/>
      <c r="FY539" s="58"/>
      <c r="FZ539" s="58"/>
      <c r="GA539" s="58"/>
      <c r="GB539" s="58"/>
      <c r="GC539" s="58"/>
      <c r="GD539" s="58"/>
      <c r="GE539" s="58"/>
      <c r="GF539" s="58"/>
      <c r="GG539" s="58"/>
      <c r="GH539" s="58"/>
      <c r="GI539" s="58"/>
      <c r="GJ539" s="58"/>
      <c r="GK539" s="58"/>
    </row>
    <row r="540" spans="1:193" s="74" customFormat="1">
      <c r="A540" s="78"/>
      <c r="B540" s="78"/>
      <c r="C540" s="78"/>
      <c r="D540" s="78"/>
      <c r="E540" s="78"/>
      <c r="F540" s="78"/>
      <c r="G540" s="67"/>
      <c r="H540" s="319"/>
      <c r="I540" s="319"/>
      <c r="J540" s="78"/>
      <c r="K540" s="58"/>
      <c r="L540" s="319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  <c r="EM540" s="58"/>
      <c r="EN540" s="58"/>
      <c r="EO540" s="58"/>
      <c r="EP540" s="58"/>
      <c r="EQ540" s="58"/>
      <c r="ER540" s="58"/>
      <c r="ES540" s="58"/>
      <c r="ET540" s="58"/>
      <c r="EU540" s="58"/>
      <c r="EV540" s="58"/>
      <c r="EW540" s="58"/>
      <c r="EX540" s="58"/>
      <c r="EY540" s="58"/>
      <c r="EZ540" s="58"/>
      <c r="FA540" s="58"/>
      <c r="FB540" s="58"/>
      <c r="FC540" s="58"/>
      <c r="FD540" s="58"/>
      <c r="FE540" s="58"/>
      <c r="FF540" s="58"/>
      <c r="FG540" s="58"/>
      <c r="FH540" s="58"/>
      <c r="FI540" s="58"/>
      <c r="FJ540" s="58"/>
      <c r="FK540" s="58"/>
      <c r="FL540" s="58"/>
      <c r="FM540" s="58"/>
      <c r="FN540" s="58"/>
      <c r="FO540" s="58"/>
      <c r="FP540" s="58"/>
      <c r="FQ540" s="58"/>
      <c r="FR540" s="58"/>
      <c r="FS540" s="58"/>
      <c r="FT540" s="58"/>
      <c r="FU540" s="58"/>
      <c r="FV540" s="58"/>
      <c r="FW540" s="58"/>
      <c r="FX540" s="58"/>
      <c r="FY540" s="58"/>
      <c r="FZ540" s="58"/>
      <c r="GA540" s="58"/>
      <c r="GB540" s="58"/>
      <c r="GC540" s="58"/>
      <c r="GD540" s="58"/>
      <c r="GE540" s="58"/>
      <c r="GF540" s="58"/>
      <c r="GG540" s="58"/>
      <c r="GH540" s="58"/>
      <c r="GI540" s="58"/>
      <c r="GJ540" s="58"/>
      <c r="GK540" s="58"/>
    </row>
    <row r="541" spans="1:193" s="74" customFormat="1">
      <c r="A541" s="78"/>
      <c r="B541" s="78"/>
      <c r="C541" s="78"/>
      <c r="D541" s="78"/>
      <c r="E541" s="78"/>
      <c r="F541" s="78"/>
      <c r="G541" s="67"/>
      <c r="H541" s="319"/>
      <c r="I541" s="319"/>
      <c r="J541" s="78"/>
      <c r="K541" s="58"/>
      <c r="L541" s="319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  <c r="EM541" s="58"/>
      <c r="EN541" s="58"/>
      <c r="EO541" s="58"/>
      <c r="EP541" s="58"/>
      <c r="EQ541" s="58"/>
      <c r="ER541" s="58"/>
      <c r="ES541" s="58"/>
      <c r="ET541" s="58"/>
      <c r="EU541" s="58"/>
      <c r="EV541" s="58"/>
      <c r="EW541" s="58"/>
      <c r="EX541" s="58"/>
      <c r="EY541" s="58"/>
      <c r="EZ541" s="58"/>
      <c r="FA541" s="58"/>
      <c r="FB541" s="58"/>
      <c r="FC541" s="58"/>
      <c r="FD541" s="58"/>
      <c r="FE541" s="58"/>
      <c r="FF541" s="58"/>
      <c r="FG541" s="58"/>
      <c r="FH541" s="58"/>
      <c r="FI541" s="58"/>
      <c r="FJ541" s="58"/>
      <c r="FK541" s="58"/>
      <c r="FL541" s="58"/>
      <c r="FM541" s="58"/>
      <c r="FN541" s="58"/>
      <c r="FO541" s="58"/>
      <c r="FP541" s="58"/>
      <c r="FQ541" s="58"/>
      <c r="FR541" s="58"/>
      <c r="FS541" s="58"/>
      <c r="FT541" s="58"/>
      <c r="FU541" s="58"/>
      <c r="FV541" s="58"/>
      <c r="FW541" s="58"/>
      <c r="FX541" s="58"/>
      <c r="FY541" s="58"/>
      <c r="FZ541" s="58"/>
      <c r="GA541" s="58"/>
      <c r="GB541" s="58"/>
      <c r="GC541" s="58"/>
      <c r="GD541" s="58"/>
      <c r="GE541" s="58"/>
      <c r="GF541" s="58"/>
      <c r="GG541" s="58"/>
      <c r="GH541" s="58"/>
      <c r="GI541" s="58"/>
      <c r="GJ541" s="58"/>
      <c r="GK541" s="58"/>
    </row>
    <row r="542" spans="1:193" s="74" customFormat="1">
      <c r="A542" s="78"/>
      <c r="B542" s="78"/>
      <c r="C542" s="78"/>
      <c r="D542" s="78"/>
      <c r="E542" s="78"/>
      <c r="F542" s="78"/>
      <c r="G542" s="67"/>
      <c r="H542" s="319"/>
      <c r="I542" s="319"/>
      <c r="J542" s="78"/>
      <c r="K542" s="58"/>
      <c r="L542" s="319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  <c r="EN542" s="58"/>
      <c r="EO542" s="58"/>
      <c r="EP542" s="58"/>
      <c r="EQ542" s="58"/>
      <c r="ER542" s="58"/>
      <c r="ES542" s="58"/>
      <c r="ET542" s="58"/>
      <c r="EU542" s="58"/>
      <c r="EV542" s="58"/>
      <c r="EW542" s="58"/>
      <c r="EX542" s="58"/>
      <c r="EY542" s="58"/>
      <c r="EZ542" s="58"/>
      <c r="FA542" s="58"/>
      <c r="FB542" s="58"/>
      <c r="FC542" s="58"/>
      <c r="FD542" s="58"/>
      <c r="FE542" s="58"/>
      <c r="FF542" s="58"/>
      <c r="FG542" s="58"/>
      <c r="FH542" s="58"/>
      <c r="FI542" s="58"/>
      <c r="FJ542" s="58"/>
      <c r="FK542" s="58"/>
      <c r="FL542" s="58"/>
      <c r="FM542" s="58"/>
      <c r="FN542" s="58"/>
      <c r="FO542" s="58"/>
      <c r="FP542" s="58"/>
      <c r="FQ542" s="58"/>
      <c r="FR542" s="58"/>
      <c r="FS542" s="58"/>
      <c r="FT542" s="58"/>
      <c r="FU542" s="58"/>
      <c r="FV542" s="58"/>
      <c r="FW542" s="58"/>
      <c r="FX542" s="58"/>
      <c r="FY542" s="58"/>
      <c r="FZ542" s="58"/>
      <c r="GA542" s="58"/>
      <c r="GB542" s="58"/>
      <c r="GC542" s="58"/>
      <c r="GD542" s="58"/>
      <c r="GE542" s="58"/>
      <c r="GF542" s="58"/>
      <c r="GG542" s="58"/>
      <c r="GH542" s="58"/>
      <c r="GI542" s="58"/>
      <c r="GJ542" s="58"/>
      <c r="GK542" s="58"/>
    </row>
    <row r="543" spans="1:193" s="74" customFormat="1">
      <c r="A543" s="78"/>
      <c r="B543" s="78"/>
      <c r="C543" s="78"/>
      <c r="D543" s="78"/>
      <c r="E543" s="78"/>
      <c r="F543" s="78"/>
      <c r="G543" s="67"/>
      <c r="H543" s="319"/>
      <c r="I543" s="319"/>
      <c r="J543" s="78"/>
      <c r="K543" s="58"/>
      <c r="L543" s="319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  <c r="EN543" s="58"/>
      <c r="EO543" s="58"/>
      <c r="EP543" s="58"/>
      <c r="EQ543" s="58"/>
      <c r="ER543" s="58"/>
      <c r="ES543" s="58"/>
      <c r="ET543" s="58"/>
      <c r="EU543" s="58"/>
      <c r="EV543" s="58"/>
      <c r="EW543" s="58"/>
      <c r="EX543" s="58"/>
      <c r="EY543" s="58"/>
      <c r="EZ543" s="58"/>
      <c r="FA543" s="58"/>
      <c r="FB543" s="58"/>
      <c r="FC543" s="58"/>
      <c r="FD543" s="58"/>
      <c r="FE543" s="58"/>
      <c r="FF543" s="58"/>
      <c r="FG543" s="58"/>
      <c r="FH543" s="58"/>
      <c r="FI543" s="58"/>
      <c r="FJ543" s="58"/>
      <c r="FK543" s="58"/>
      <c r="FL543" s="58"/>
      <c r="FM543" s="58"/>
      <c r="FN543" s="58"/>
      <c r="FO543" s="58"/>
      <c r="FP543" s="58"/>
      <c r="FQ543" s="58"/>
      <c r="FR543" s="58"/>
      <c r="FS543" s="58"/>
      <c r="FT543" s="58"/>
      <c r="FU543" s="58"/>
      <c r="FV543" s="58"/>
      <c r="FW543" s="58"/>
      <c r="FX543" s="58"/>
      <c r="FY543" s="58"/>
      <c r="FZ543" s="58"/>
      <c r="GA543" s="58"/>
      <c r="GB543" s="58"/>
      <c r="GC543" s="58"/>
      <c r="GD543" s="58"/>
      <c r="GE543" s="58"/>
      <c r="GF543" s="58"/>
      <c r="GG543" s="58"/>
      <c r="GH543" s="58"/>
      <c r="GI543" s="58"/>
      <c r="GJ543" s="58"/>
      <c r="GK543" s="58"/>
    </row>
    <row r="544" spans="1:193" s="74" customFormat="1">
      <c r="A544" s="78"/>
      <c r="B544" s="78"/>
      <c r="C544" s="78"/>
      <c r="D544" s="78"/>
      <c r="E544" s="78"/>
      <c r="F544" s="78"/>
      <c r="G544" s="67"/>
      <c r="H544" s="319"/>
      <c r="I544" s="319"/>
      <c r="J544" s="78"/>
      <c r="K544" s="58"/>
      <c r="L544" s="319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  <c r="EN544" s="58"/>
      <c r="EO544" s="58"/>
      <c r="EP544" s="58"/>
      <c r="EQ544" s="58"/>
      <c r="ER544" s="58"/>
      <c r="ES544" s="58"/>
      <c r="ET544" s="58"/>
      <c r="EU544" s="58"/>
      <c r="EV544" s="58"/>
      <c r="EW544" s="58"/>
      <c r="EX544" s="58"/>
      <c r="EY544" s="58"/>
      <c r="EZ544" s="58"/>
      <c r="FA544" s="58"/>
      <c r="FB544" s="58"/>
      <c r="FC544" s="58"/>
      <c r="FD544" s="58"/>
      <c r="FE544" s="58"/>
      <c r="FF544" s="58"/>
      <c r="FG544" s="58"/>
      <c r="FH544" s="58"/>
      <c r="FI544" s="58"/>
      <c r="FJ544" s="58"/>
      <c r="FK544" s="58"/>
      <c r="FL544" s="58"/>
      <c r="FM544" s="58"/>
      <c r="FN544" s="58"/>
      <c r="FO544" s="58"/>
      <c r="FP544" s="58"/>
      <c r="FQ544" s="58"/>
      <c r="FR544" s="58"/>
      <c r="FS544" s="58"/>
      <c r="FT544" s="58"/>
      <c r="FU544" s="58"/>
      <c r="FV544" s="58"/>
      <c r="FW544" s="58"/>
      <c r="FX544" s="58"/>
      <c r="FY544" s="58"/>
      <c r="FZ544" s="58"/>
      <c r="GA544" s="58"/>
      <c r="GB544" s="58"/>
      <c r="GC544" s="58"/>
      <c r="GD544" s="58"/>
      <c r="GE544" s="58"/>
      <c r="GF544" s="58"/>
      <c r="GG544" s="58"/>
      <c r="GH544" s="58"/>
      <c r="GI544" s="58"/>
      <c r="GJ544" s="58"/>
      <c r="GK544" s="58"/>
    </row>
    <row r="545" spans="1:193" s="74" customFormat="1">
      <c r="A545" s="78"/>
      <c r="B545" s="78"/>
      <c r="C545" s="78"/>
      <c r="D545" s="78"/>
      <c r="E545" s="78"/>
      <c r="F545" s="78"/>
      <c r="G545" s="67"/>
      <c r="H545" s="319"/>
      <c r="I545" s="319"/>
      <c r="J545" s="78"/>
      <c r="K545" s="58"/>
      <c r="L545" s="319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  <c r="EN545" s="58"/>
      <c r="EO545" s="58"/>
      <c r="EP545" s="58"/>
      <c r="EQ545" s="58"/>
      <c r="ER545" s="58"/>
      <c r="ES545" s="58"/>
      <c r="ET545" s="58"/>
      <c r="EU545" s="58"/>
      <c r="EV545" s="58"/>
      <c r="EW545" s="58"/>
      <c r="EX545" s="58"/>
      <c r="EY545" s="58"/>
      <c r="EZ545" s="58"/>
      <c r="FA545" s="58"/>
      <c r="FB545" s="58"/>
      <c r="FC545" s="58"/>
      <c r="FD545" s="58"/>
      <c r="FE545" s="58"/>
      <c r="FF545" s="58"/>
      <c r="FG545" s="58"/>
      <c r="FH545" s="58"/>
      <c r="FI545" s="58"/>
      <c r="FJ545" s="58"/>
      <c r="FK545" s="58"/>
      <c r="FL545" s="58"/>
      <c r="FM545" s="58"/>
      <c r="FN545" s="58"/>
      <c r="FO545" s="58"/>
      <c r="FP545" s="58"/>
      <c r="FQ545" s="58"/>
      <c r="FR545" s="58"/>
      <c r="FS545" s="58"/>
      <c r="FT545" s="58"/>
      <c r="FU545" s="58"/>
      <c r="FV545" s="58"/>
      <c r="FW545" s="58"/>
      <c r="FX545" s="58"/>
      <c r="FY545" s="58"/>
      <c r="FZ545" s="58"/>
      <c r="GA545" s="58"/>
      <c r="GB545" s="58"/>
      <c r="GC545" s="58"/>
      <c r="GD545" s="58"/>
      <c r="GE545" s="58"/>
      <c r="GF545" s="58"/>
      <c r="GG545" s="58"/>
      <c r="GH545" s="58"/>
      <c r="GI545" s="58"/>
      <c r="GJ545" s="58"/>
      <c r="GK545" s="58"/>
    </row>
    <row r="546" spans="1:193" s="74" customFormat="1">
      <c r="A546" s="78"/>
      <c r="B546" s="78"/>
      <c r="C546" s="78"/>
      <c r="D546" s="78"/>
      <c r="E546" s="78"/>
      <c r="F546" s="78"/>
      <c r="G546" s="67"/>
      <c r="H546" s="319"/>
      <c r="I546" s="319"/>
      <c r="J546" s="78"/>
      <c r="K546" s="58"/>
      <c r="L546" s="319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  <c r="EN546" s="58"/>
      <c r="EO546" s="58"/>
      <c r="EP546" s="58"/>
      <c r="EQ546" s="58"/>
      <c r="ER546" s="58"/>
      <c r="ES546" s="58"/>
      <c r="ET546" s="58"/>
      <c r="EU546" s="58"/>
      <c r="EV546" s="58"/>
      <c r="EW546" s="58"/>
      <c r="EX546" s="58"/>
      <c r="EY546" s="58"/>
      <c r="EZ546" s="58"/>
      <c r="FA546" s="58"/>
      <c r="FB546" s="58"/>
      <c r="FC546" s="58"/>
      <c r="FD546" s="58"/>
      <c r="FE546" s="58"/>
      <c r="FF546" s="58"/>
      <c r="FG546" s="58"/>
      <c r="FH546" s="58"/>
      <c r="FI546" s="58"/>
      <c r="FJ546" s="58"/>
      <c r="FK546" s="58"/>
      <c r="FL546" s="58"/>
      <c r="FM546" s="58"/>
      <c r="FN546" s="58"/>
      <c r="FO546" s="58"/>
      <c r="FP546" s="58"/>
      <c r="FQ546" s="58"/>
      <c r="FR546" s="58"/>
      <c r="FS546" s="58"/>
      <c r="FT546" s="58"/>
      <c r="FU546" s="58"/>
      <c r="FV546" s="58"/>
      <c r="FW546" s="58"/>
      <c r="FX546" s="58"/>
      <c r="FY546" s="58"/>
      <c r="FZ546" s="58"/>
      <c r="GA546" s="58"/>
      <c r="GB546" s="58"/>
      <c r="GC546" s="58"/>
      <c r="GD546" s="58"/>
      <c r="GE546" s="58"/>
      <c r="GF546" s="58"/>
      <c r="GG546" s="58"/>
      <c r="GH546" s="58"/>
      <c r="GI546" s="58"/>
      <c r="GJ546" s="58"/>
      <c r="GK546" s="58"/>
    </row>
    <row r="547" spans="1:193" s="74" customFormat="1">
      <c r="A547" s="78"/>
      <c r="B547" s="78"/>
      <c r="C547" s="78"/>
      <c r="D547" s="78"/>
      <c r="E547" s="78"/>
      <c r="F547" s="78"/>
      <c r="G547" s="67"/>
      <c r="H547" s="319"/>
      <c r="I547" s="319"/>
      <c r="J547" s="78"/>
      <c r="K547" s="58"/>
      <c r="L547" s="319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  <c r="EN547" s="58"/>
      <c r="EO547" s="58"/>
      <c r="EP547" s="58"/>
      <c r="EQ547" s="58"/>
      <c r="ER547" s="58"/>
      <c r="ES547" s="58"/>
      <c r="ET547" s="58"/>
      <c r="EU547" s="58"/>
      <c r="EV547" s="58"/>
      <c r="EW547" s="58"/>
      <c r="EX547" s="58"/>
      <c r="EY547" s="58"/>
      <c r="EZ547" s="58"/>
      <c r="FA547" s="58"/>
      <c r="FB547" s="58"/>
      <c r="FC547" s="58"/>
      <c r="FD547" s="58"/>
      <c r="FE547" s="58"/>
      <c r="FF547" s="58"/>
      <c r="FG547" s="58"/>
      <c r="FH547" s="58"/>
      <c r="FI547" s="58"/>
      <c r="FJ547" s="58"/>
      <c r="FK547" s="58"/>
      <c r="FL547" s="58"/>
      <c r="FM547" s="58"/>
      <c r="FN547" s="58"/>
      <c r="FO547" s="58"/>
      <c r="FP547" s="58"/>
      <c r="FQ547" s="58"/>
      <c r="FR547" s="58"/>
      <c r="FS547" s="58"/>
      <c r="FT547" s="58"/>
      <c r="FU547" s="58"/>
      <c r="FV547" s="58"/>
      <c r="FW547" s="58"/>
      <c r="FX547" s="58"/>
      <c r="FY547" s="58"/>
      <c r="FZ547" s="58"/>
      <c r="GA547" s="58"/>
      <c r="GB547" s="58"/>
      <c r="GC547" s="58"/>
      <c r="GD547" s="58"/>
      <c r="GE547" s="58"/>
      <c r="GF547" s="58"/>
      <c r="GG547" s="58"/>
      <c r="GH547" s="58"/>
      <c r="GI547" s="58"/>
      <c r="GJ547" s="58"/>
      <c r="GK547" s="58"/>
    </row>
    <row r="548" spans="1:193" s="74" customFormat="1">
      <c r="A548" s="78"/>
      <c r="B548" s="78"/>
      <c r="C548" s="78"/>
      <c r="D548" s="78"/>
      <c r="E548" s="78"/>
      <c r="F548" s="78"/>
      <c r="G548" s="67"/>
      <c r="H548" s="319"/>
      <c r="I548" s="319"/>
      <c r="J548" s="78"/>
      <c r="K548" s="58"/>
      <c r="L548" s="319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  <c r="EN548" s="58"/>
      <c r="EO548" s="58"/>
      <c r="EP548" s="58"/>
      <c r="EQ548" s="58"/>
      <c r="ER548" s="58"/>
      <c r="ES548" s="58"/>
      <c r="ET548" s="58"/>
      <c r="EU548" s="58"/>
      <c r="EV548" s="58"/>
      <c r="EW548" s="58"/>
      <c r="EX548" s="58"/>
      <c r="EY548" s="58"/>
      <c r="EZ548" s="58"/>
      <c r="FA548" s="58"/>
      <c r="FB548" s="58"/>
      <c r="FC548" s="58"/>
      <c r="FD548" s="58"/>
      <c r="FE548" s="58"/>
      <c r="FF548" s="58"/>
      <c r="FG548" s="58"/>
      <c r="FH548" s="58"/>
      <c r="FI548" s="58"/>
      <c r="FJ548" s="58"/>
      <c r="FK548" s="58"/>
      <c r="FL548" s="58"/>
      <c r="FM548" s="58"/>
      <c r="FN548" s="58"/>
      <c r="FO548" s="58"/>
      <c r="FP548" s="58"/>
      <c r="FQ548" s="58"/>
      <c r="FR548" s="58"/>
      <c r="FS548" s="58"/>
      <c r="FT548" s="58"/>
      <c r="FU548" s="58"/>
      <c r="FV548" s="58"/>
      <c r="FW548" s="58"/>
      <c r="FX548" s="58"/>
      <c r="FY548" s="58"/>
      <c r="FZ548" s="58"/>
      <c r="GA548" s="58"/>
      <c r="GB548" s="58"/>
      <c r="GC548" s="58"/>
      <c r="GD548" s="58"/>
      <c r="GE548" s="58"/>
      <c r="GF548" s="58"/>
      <c r="GG548" s="58"/>
      <c r="GH548" s="58"/>
      <c r="GI548" s="58"/>
      <c r="GJ548" s="58"/>
      <c r="GK548" s="58"/>
    </row>
    <row r="549" spans="1:193" s="74" customFormat="1">
      <c r="A549" s="78"/>
      <c r="B549" s="78"/>
      <c r="C549" s="78"/>
      <c r="D549" s="78"/>
      <c r="E549" s="78"/>
      <c r="F549" s="78"/>
      <c r="G549" s="67"/>
      <c r="H549" s="319"/>
      <c r="I549" s="319"/>
      <c r="J549" s="78"/>
      <c r="K549" s="58"/>
      <c r="L549" s="319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  <c r="EM549" s="58"/>
      <c r="EN549" s="58"/>
      <c r="EO549" s="58"/>
      <c r="EP549" s="58"/>
      <c r="EQ549" s="58"/>
      <c r="ER549" s="58"/>
      <c r="ES549" s="58"/>
      <c r="ET549" s="58"/>
      <c r="EU549" s="58"/>
      <c r="EV549" s="58"/>
      <c r="EW549" s="58"/>
      <c r="EX549" s="58"/>
      <c r="EY549" s="58"/>
      <c r="EZ549" s="58"/>
      <c r="FA549" s="58"/>
      <c r="FB549" s="58"/>
      <c r="FC549" s="58"/>
      <c r="FD549" s="58"/>
      <c r="FE549" s="58"/>
      <c r="FF549" s="58"/>
      <c r="FG549" s="58"/>
      <c r="FH549" s="58"/>
      <c r="FI549" s="58"/>
      <c r="FJ549" s="58"/>
      <c r="FK549" s="58"/>
      <c r="FL549" s="58"/>
      <c r="FM549" s="58"/>
      <c r="FN549" s="58"/>
      <c r="FO549" s="58"/>
      <c r="FP549" s="58"/>
      <c r="FQ549" s="58"/>
      <c r="FR549" s="58"/>
      <c r="FS549" s="58"/>
      <c r="FT549" s="58"/>
      <c r="FU549" s="58"/>
      <c r="FV549" s="58"/>
      <c r="FW549" s="58"/>
      <c r="FX549" s="58"/>
      <c r="FY549" s="58"/>
      <c r="FZ549" s="58"/>
      <c r="GA549" s="58"/>
      <c r="GB549" s="58"/>
      <c r="GC549" s="58"/>
      <c r="GD549" s="58"/>
      <c r="GE549" s="58"/>
      <c r="GF549" s="58"/>
      <c r="GG549" s="58"/>
      <c r="GH549" s="58"/>
      <c r="GI549" s="58"/>
      <c r="GJ549" s="58"/>
      <c r="GK549" s="58"/>
    </row>
    <row r="550" spans="1:193" s="74" customFormat="1">
      <c r="A550" s="78"/>
      <c r="B550" s="78"/>
      <c r="C550" s="78"/>
      <c r="D550" s="78"/>
      <c r="E550" s="78"/>
      <c r="F550" s="78"/>
      <c r="G550" s="67"/>
      <c r="H550" s="319"/>
      <c r="I550" s="319"/>
      <c r="J550" s="78"/>
      <c r="K550" s="58"/>
      <c r="L550" s="319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  <c r="EM550" s="58"/>
      <c r="EN550" s="58"/>
      <c r="EO550" s="58"/>
      <c r="EP550" s="58"/>
      <c r="EQ550" s="58"/>
      <c r="ER550" s="58"/>
      <c r="ES550" s="58"/>
      <c r="ET550" s="58"/>
      <c r="EU550" s="58"/>
      <c r="EV550" s="58"/>
      <c r="EW550" s="58"/>
      <c r="EX550" s="58"/>
      <c r="EY550" s="58"/>
      <c r="EZ550" s="58"/>
      <c r="FA550" s="58"/>
      <c r="FB550" s="58"/>
      <c r="FC550" s="58"/>
      <c r="FD550" s="58"/>
      <c r="FE550" s="58"/>
      <c r="FF550" s="58"/>
      <c r="FG550" s="58"/>
      <c r="FH550" s="58"/>
      <c r="FI550" s="58"/>
      <c r="FJ550" s="58"/>
      <c r="FK550" s="58"/>
      <c r="FL550" s="58"/>
      <c r="FM550" s="58"/>
      <c r="FN550" s="58"/>
      <c r="FO550" s="58"/>
      <c r="FP550" s="58"/>
      <c r="FQ550" s="58"/>
      <c r="FR550" s="58"/>
      <c r="FS550" s="58"/>
      <c r="FT550" s="58"/>
      <c r="FU550" s="58"/>
      <c r="FV550" s="58"/>
      <c r="FW550" s="58"/>
      <c r="FX550" s="58"/>
      <c r="FY550" s="58"/>
      <c r="FZ550" s="58"/>
      <c r="GA550" s="58"/>
      <c r="GB550" s="58"/>
      <c r="GC550" s="58"/>
      <c r="GD550" s="58"/>
      <c r="GE550" s="58"/>
      <c r="GF550" s="58"/>
      <c r="GG550" s="58"/>
      <c r="GH550" s="58"/>
      <c r="GI550" s="58"/>
      <c r="GJ550" s="58"/>
      <c r="GK550" s="58"/>
    </row>
    <row r="551" spans="1:193" s="74" customFormat="1">
      <c r="A551" s="78"/>
      <c r="B551" s="78"/>
      <c r="C551" s="78"/>
      <c r="D551" s="78"/>
      <c r="E551" s="78"/>
      <c r="F551" s="78"/>
      <c r="G551" s="67"/>
      <c r="H551" s="319"/>
      <c r="I551" s="319"/>
      <c r="J551" s="78"/>
      <c r="K551" s="58"/>
      <c r="L551" s="319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  <c r="EM551" s="58"/>
      <c r="EN551" s="58"/>
      <c r="EO551" s="58"/>
      <c r="EP551" s="58"/>
      <c r="EQ551" s="58"/>
      <c r="ER551" s="58"/>
      <c r="ES551" s="58"/>
      <c r="ET551" s="58"/>
      <c r="EU551" s="58"/>
      <c r="EV551" s="58"/>
      <c r="EW551" s="58"/>
      <c r="EX551" s="58"/>
      <c r="EY551" s="58"/>
      <c r="EZ551" s="58"/>
      <c r="FA551" s="58"/>
      <c r="FB551" s="58"/>
      <c r="FC551" s="58"/>
      <c r="FD551" s="58"/>
      <c r="FE551" s="58"/>
      <c r="FF551" s="58"/>
      <c r="FG551" s="58"/>
      <c r="FH551" s="58"/>
      <c r="FI551" s="58"/>
      <c r="FJ551" s="58"/>
      <c r="FK551" s="58"/>
      <c r="FL551" s="58"/>
      <c r="FM551" s="58"/>
      <c r="FN551" s="58"/>
      <c r="FO551" s="58"/>
      <c r="FP551" s="58"/>
      <c r="FQ551" s="58"/>
      <c r="FR551" s="58"/>
      <c r="FS551" s="58"/>
      <c r="FT551" s="58"/>
      <c r="FU551" s="58"/>
      <c r="FV551" s="58"/>
      <c r="FW551" s="58"/>
      <c r="FX551" s="58"/>
      <c r="FY551" s="58"/>
      <c r="FZ551" s="58"/>
      <c r="GA551" s="58"/>
      <c r="GB551" s="58"/>
      <c r="GC551" s="58"/>
      <c r="GD551" s="58"/>
      <c r="GE551" s="58"/>
      <c r="GF551" s="58"/>
      <c r="GG551" s="58"/>
      <c r="GH551" s="58"/>
      <c r="GI551" s="58"/>
      <c r="GJ551" s="58"/>
      <c r="GK551" s="58"/>
    </row>
    <row r="552" spans="1:193" s="74" customFormat="1">
      <c r="A552" s="78"/>
      <c r="B552" s="78"/>
      <c r="C552" s="78"/>
      <c r="D552" s="78"/>
      <c r="E552" s="78"/>
      <c r="F552" s="78"/>
      <c r="G552" s="67"/>
      <c r="H552" s="319"/>
      <c r="I552" s="319"/>
      <c r="J552" s="78"/>
      <c r="K552" s="58"/>
      <c r="L552" s="319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  <c r="EM552" s="58"/>
      <c r="EN552" s="58"/>
      <c r="EO552" s="58"/>
      <c r="EP552" s="58"/>
      <c r="EQ552" s="58"/>
      <c r="ER552" s="58"/>
      <c r="ES552" s="58"/>
      <c r="ET552" s="58"/>
      <c r="EU552" s="58"/>
      <c r="EV552" s="58"/>
      <c r="EW552" s="58"/>
      <c r="EX552" s="58"/>
      <c r="EY552" s="58"/>
      <c r="EZ552" s="58"/>
      <c r="FA552" s="58"/>
      <c r="FB552" s="58"/>
      <c r="FC552" s="58"/>
      <c r="FD552" s="58"/>
      <c r="FE552" s="58"/>
      <c r="FF552" s="58"/>
      <c r="FG552" s="58"/>
      <c r="FH552" s="58"/>
      <c r="FI552" s="58"/>
      <c r="FJ552" s="58"/>
      <c r="FK552" s="58"/>
      <c r="FL552" s="58"/>
      <c r="FM552" s="58"/>
      <c r="FN552" s="58"/>
      <c r="FO552" s="58"/>
      <c r="FP552" s="58"/>
      <c r="FQ552" s="58"/>
      <c r="FR552" s="58"/>
      <c r="FS552" s="58"/>
      <c r="FT552" s="58"/>
      <c r="FU552" s="58"/>
      <c r="FV552" s="58"/>
      <c r="FW552" s="58"/>
      <c r="FX552" s="58"/>
      <c r="FY552" s="58"/>
      <c r="FZ552" s="58"/>
      <c r="GA552" s="58"/>
      <c r="GB552" s="58"/>
      <c r="GC552" s="58"/>
      <c r="GD552" s="58"/>
      <c r="GE552" s="58"/>
      <c r="GF552" s="58"/>
      <c r="GG552" s="58"/>
      <c r="GH552" s="58"/>
      <c r="GI552" s="58"/>
      <c r="GJ552" s="58"/>
      <c r="GK552" s="58"/>
    </row>
    <row r="553" spans="1:193" s="74" customFormat="1">
      <c r="A553" s="78"/>
      <c r="B553" s="78"/>
      <c r="C553" s="78"/>
      <c r="D553" s="78"/>
      <c r="E553" s="78"/>
      <c r="F553" s="78"/>
      <c r="G553" s="67"/>
      <c r="H553" s="319"/>
      <c r="I553" s="319"/>
      <c r="J553" s="78"/>
      <c r="K553" s="58"/>
      <c r="L553" s="319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  <c r="EM553" s="58"/>
      <c r="EN553" s="58"/>
      <c r="EO553" s="58"/>
      <c r="EP553" s="58"/>
      <c r="EQ553" s="58"/>
      <c r="ER553" s="58"/>
      <c r="ES553" s="58"/>
      <c r="ET553" s="58"/>
      <c r="EU553" s="58"/>
      <c r="EV553" s="58"/>
      <c r="EW553" s="58"/>
      <c r="EX553" s="58"/>
      <c r="EY553" s="58"/>
      <c r="EZ553" s="58"/>
      <c r="FA553" s="58"/>
      <c r="FB553" s="58"/>
      <c r="FC553" s="58"/>
      <c r="FD553" s="58"/>
      <c r="FE553" s="58"/>
      <c r="FF553" s="58"/>
      <c r="FG553" s="58"/>
      <c r="FH553" s="58"/>
      <c r="FI553" s="58"/>
      <c r="FJ553" s="58"/>
      <c r="FK553" s="58"/>
      <c r="FL553" s="58"/>
      <c r="FM553" s="58"/>
      <c r="FN553" s="58"/>
      <c r="FO553" s="58"/>
      <c r="FP553" s="58"/>
      <c r="FQ553" s="58"/>
      <c r="FR553" s="58"/>
      <c r="FS553" s="58"/>
      <c r="FT553" s="58"/>
      <c r="FU553" s="58"/>
      <c r="FV553" s="58"/>
      <c r="FW553" s="58"/>
      <c r="FX553" s="58"/>
      <c r="FY553" s="58"/>
      <c r="FZ553" s="58"/>
      <c r="GA553" s="58"/>
      <c r="GB553" s="58"/>
      <c r="GC553" s="58"/>
      <c r="GD553" s="58"/>
      <c r="GE553" s="58"/>
      <c r="GF553" s="58"/>
      <c r="GG553" s="58"/>
      <c r="GH553" s="58"/>
      <c r="GI553" s="58"/>
      <c r="GJ553" s="58"/>
      <c r="GK553" s="58"/>
    </row>
    <row r="554" spans="1:193" s="74" customFormat="1">
      <c r="A554" s="78"/>
      <c r="B554" s="78"/>
      <c r="C554" s="78"/>
      <c r="D554" s="78"/>
      <c r="E554" s="78"/>
      <c r="F554" s="78"/>
      <c r="G554" s="67"/>
      <c r="H554" s="319"/>
      <c r="I554" s="319"/>
      <c r="J554" s="78"/>
      <c r="K554" s="58"/>
      <c r="L554" s="319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  <c r="EM554" s="58"/>
      <c r="EN554" s="58"/>
      <c r="EO554" s="58"/>
      <c r="EP554" s="58"/>
      <c r="EQ554" s="58"/>
      <c r="ER554" s="58"/>
      <c r="ES554" s="58"/>
      <c r="ET554" s="58"/>
      <c r="EU554" s="58"/>
      <c r="EV554" s="58"/>
      <c r="EW554" s="58"/>
      <c r="EX554" s="58"/>
      <c r="EY554" s="58"/>
      <c r="EZ554" s="58"/>
      <c r="FA554" s="58"/>
      <c r="FB554" s="58"/>
      <c r="FC554" s="58"/>
      <c r="FD554" s="58"/>
      <c r="FE554" s="58"/>
      <c r="FF554" s="58"/>
      <c r="FG554" s="58"/>
      <c r="FH554" s="58"/>
      <c r="FI554" s="58"/>
      <c r="FJ554" s="58"/>
      <c r="FK554" s="58"/>
      <c r="FL554" s="58"/>
      <c r="FM554" s="58"/>
      <c r="FN554" s="58"/>
      <c r="FO554" s="58"/>
      <c r="FP554" s="58"/>
      <c r="FQ554" s="58"/>
      <c r="FR554" s="58"/>
      <c r="FS554" s="58"/>
      <c r="FT554" s="58"/>
      <c r="FU554" s="58"/>
      <c r="FV554" s="58"/>
      <c r="FW554" s="58"/>
      <c r="FX554" s="58"/>
      <c r="FY554" s="58"/>
      <c r="FZ554" s="58"/>
      <c r="GA554" s="58"/>
      <c r="GB554" s="58"/>
      <c r="GC554" s="58"/>
      <c r="GD554" s="58"/>
      <c r="GE554" s="58"/>
      <c r="GF554" s="58"/>
      <c r="GG554" s="58"/>
      <c r="GH554" s="58"/>
      <c r="GI554" s="58"/>
      <c r="GJ554" s="58"/>
      <c r="GK554" s="58"/>
    </row>
    <row r="555" spans="1:193" s="74" customFormat="1">
      <c r="A555" s="78"/>
      <c r="B555" s="78"/>
      <c r="C555" s="78"/>
      <c r="D555" s="78"/>
      <c r="E555" s="78"/>
      <c r="F555" s="78"/>
      <c r="G555" s="67"/>
      <c r="H555" s="319"/>
      <c r="I555" s="319"/>
      <c r="J555" s="78"/>
      <c r="K555" s="58"/>
      <c r="L555" s="319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  <c r="EM555" s="58"/>
      <c r="EN555" s="58"/>
      <c r="EO555" s="58"/>
      <c r="EP555" s="58"/>
      <c r="EQ555" s="58"/>
      <c r="ER555" s="58"/>
      <c r="ES555" s="58"/>
      <c r="ET555" s="58"/>
      <c r="EU555" s="58"/>
      <c r="EV555" s="58"/>
      <c r="EW555" s="58"/>
      <c r="EX555" s="58"/>
      <c r="EY555" s="58"/>
      <c r="EZ555" s="58"/>
      <c r="FA555" s="58"/>
      <c r="FB555" s="58"/>
      <c r="FC555" s="58"/>
      <c r="FD555" s="58"/>
      <c r="FE555" s="58"/>
      <c r="FF555" s="58"/>
      <c r="FG555" s="58"/>
      <c r="FH555" s="58"/>
      <c r="FI555" s="58"/>
      <c r="FJ555" s="58"/>
      <c r="FK555" s="58"/>
      <c r="FL555" s="58"/>
      <c r="FM555" s="58"/>
      <c r="FN555" s="58"/>
      <c r="FO555" s="58"/>
      <c r="FP555" s="58"/>
      <c r="FQ555" s="58"/>
      <c r="FR555" s="58"/>
      <c r="FS555" s="58"/>
      <c r="FT555" s="58"/>
      <c r="FU555" s="58"/>
      <c r="FV555" s="58"/>
      <c r="FW555" s="58"/>
      <c r="FX555" s="58"/>
      <c r="FY555" s="58"/>
      <c r="FZ555" s="58"/>
      <c r="GA555" s="58"/>
      <c r="GB555" s="58"/>
      <c r="GC555" s="58"/>
      <c r="GD555" s="58"/>
      <c r="GE555" s="58"/>
      <c r="GF555" s="58"/>
      <c r="GG555" s="58"/>
      <c r="GH555" s="58"/>
      <c r="GI555" s="58"/>
      <c r="GJ555" s="58"/>
      <c r="GK555" s="58"/>
    </row>
    <row r="556" spans="1:193" s="74" customFormat="1">
      <c r="A556" s="78"/>
      <c r="B556" s="78"/>
      <c r="C556" s="78"/>
      <c r="D556" s="78"/>
      <c r="E556" s="78"/>
      <c r="F556" s="78"/>
      <c r="G556" s="67"/>
      <c r="H556" s="319"/>
      <c r="I556" s="319"/>
      <c r="J556" s="78"/>
      <c r="K556" s="58"/>
      <c r="L556" s="319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  <c r="EM556" s="58"/>
      <c r="EN556" s="58"/>
      <c r="EO556" s="58"/>
      <c r="EP556" s="58"/>
      <c r="EQ556" s="58"/>
      <c r="ER556" s="58"/>
      <c r="ES556" s="58"/>
      <c r="ET556" s="58"/>
      <c r="EU556" s="58"/>
      <c r="EV556" s="58"/>
      <c r="EW556" s="58"/>
      <c r="EX556" s="58"/>
      <c r="EY556" s="58"/>
      <c r="EZ556" s="58"/>
      <c r="FA556" s="58"/>
      <c r="FB556" s="58"/>
      <c r="FC556" s="58"/>
      <c r="FD556" s="58"/>
      <c r="FE556" s="58"/>
      <c r="FF556" s="58"/>
      <c r="FG556" s="58"/>
      <c r="FH556" s="58"/>
      <c r="FI556" s="58"/>
      <c r="FJ556" s="58"/>
      <c r="FK556" s="58"/>
      <c r="FL556" s="58"/>
      <c r="FM556" s="58"/>
      <c r="FN556" s="58"/>
      <c r="FO556" s="58"/>
      <c r="FP556" s="58"/>
      <c r="FQ556" s="58"/>
      <c r="FR556" s="58"/>
      <c r="FS556" s="58"/>
      <c r="FT556" s="58"/>
      <c r="FU556" s="58"/>
      <c r="FV556" s="58"/>
      <c r="FW556" s="58"/>
      <c r="FX556" s="58"/>
      <c r="FY556" s="58"/>
      <c r="FZ556" s="58"/>
      <c r="GA556" s="58"/>
      <c r="GB556" s="58"/>
      <c r="GC556" s="58"/>
      <c r="GD556" s="58"/>
      <c r="GE556" s="58"/>
      <c r="GF556" s="58"/>
      <c r="GG556" s="58"/>
      <c r="GH556" s="58"/>
      <c r="GI556" s="58"/>
      <c r="GJ556" s="58"/>
      <c r="GK556" s="58"/>
    </row>
    <row r="557" spans="1:193" s="74" customFormat="1">
      <c r="A557" s="78"/>
      <c r="B557" s="78"/>
      <c r="C557" s="78"/>
      <c r="D557" s="78"/>
      <c r="E557" s="78"/>
      <c r="F557" s="78"/>
      <c r="G557" s="67"/>
      <c r="H557" s="319"/>
      <c r="I557" s="319"/>
      <c r="J557" s="78"/>
      <c r="K557" s="58"/>
      <c r="L557" s="319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  <c r="EM557" s="58"/>
      <c r="EN557" s="58"/>
      <c r="EO557" s="58"/>
      <c r="EP557" s="58"/>
      <c r="EQ557" s="58"/>
      <c r="ER557" s="58"/>
      <c r="ES557" s="58"/>
      <c r="ET557" s="58"/>
      <c r="EU557" s="58"/>
      <c r="EV557" s="58"/>
      <c r="EW557" s="58"/>
      <c r="EX557" s="58"/>
      <c r="EY557" s="58"/>
      <c r="EZ557" s="58"/>
      <c r="FA557" s="58"/>
      <c r="FB557" s="58"/>
      <c r="FC557" s="58"/>
      <c r="FD557" s="58"/>
      <c r="FE557" s="58"/>
      <c r="FF557" s="58"/>
      <c r="FG557" s="58"/>
      <c r="FH557" s="58"/>
      <c r="FI557" s="58"/>
      <c r="FJ557" s="58"/>
      <c r="FK557" s="58"/>
      <c r="FL557" s="58"/>
      <c r="FM557" s="58"/>
      <c r="FN557" s="58"/>
      <c r="FO557" s="58"/>
      <c r="FP557" s="58"/>
      <c r="FQ557" s="58"/>
      <c r="FR557" s="58"/>
      <c r="FS557" s="58"/>
      <c r="FT557" s="58"/>
      <c r="FU557" s="58"/>
      <c r="FV557" s="58"/>
      <c r="FW557" s="58"/>
      <c r="FX557" s="58"/>
      <c r="FY557" s="58"/>
      <c r="FZ557" s="58"/>
      <c r="GA557" s="58"/>
      <c r="GB557" s="58"/>
      <c r="GC557" s="58"/>
      <c r="GD557" s="58"/>
      <c r="GE557" s="58"/>
      <c r="GF557" s="58"/>
      <c r="GG557" s="58"/>
      <c r="GH557" s="58"/>
      <c r="GI557" s="58"/>
      <c r="GJ557" s="58"/>
      <c r="GK557" s="58"/>
    </row>
    <row r="558" spans="1:193" s="74" customFormat="1">
      <c r="A558" s="78"/>
      <c r="B558" s="78"/>
      <c r="C558" s="78"/>
      <c r="D558" s="78"/>
      <c r="E558" s="78"/>
      <c r="F558" s="78"/>
      <c r="G558" s="67"/>
      <c r="H558" s="319"/>
      <c r="I558" s="319"/>
      <c r="J558" s="78"/>
      <c r="K558" s="58"/>
      <c r="L558" s="319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  <c r="EM558" s="58"/>
      <c r="EN558" s="58"/>
      <c r="EO558" s="58"/>
      <c r="EP558" s="58"/>
      <c r="EQ558" s="58"/>
      <c r="ER558" s="58"/>
      <c r="ES558" s="58"/>
      <c r="ET558" s="58"/>
      <c r="EU558" s="58"/>
      <c r="EV558" s="58"/>
      <c r="EW558" s="58"/>
      <c r="EX558" s="58"/>
      <c r="EY558" s="58"/>
      <c r="EZ558" s="58"/>
      <c r="FA558" s="58"/>
      <c r="FB558" s="58"/>
      <c r="FC558" s="58"/>
      <c r="FD558" s="58"/>
      <c r="FE558" s="58"/>
      <c r="FF558" s="58"/>
      <c r="FG558" s="58"/>
      <c r="FH558" s="58"/>
      <c r="FI558" s="58"/>
      <c r="FJ558" s="58"/>
      <c r="FK558" s="58"/>
      <c r="FL558" s="58"/>
      <c r="FM558" s="58"/>
      <c r="FN558" s="58"/>
      <c r="FO558" s="58"/>
      <c r="FP558" s="58"/>
      <c r="FQ558" s="58"/>
      <c r="FR558" s="58"/>
      <c r="FS558" s="58"/>
      <c r="FT558" s="58"/>
      <c r="FU558" s="58"/>
      <c r="FV558" s="58"/>
      <c r="FW558" s="58"/>
      <c r="FX558" s="58"/>
      <c r="FY558" s="58"/>
      <c r="FZ558" s="58"/>
      <c r="GA558" s="58"/>
      <c r="GB558" s="58"/>
      <c r="GC558" s="58"/>
      <c r="GD558" s="58"/>
      <c r="GE558" s="58"/>
      <c r="GF558" s="58"/>
      <c r="GG558" s="58"/>
      <c r="GH558" s="58"/>
      <c r="GI558" s="58"/>
      <c r="GJ558" s="58"/>
      <c r="GK558" s="58"/>
    </row>
    <row r="559" spans="1:193" s="74" customFormat="1">
      <c r="A559" s="78"/>
      <c r="B559" s="78"/>
      <c r="C559" s="78"/>
      <c r="D559" s="78"/>
      <c r="E559" s="78"/>
      <c r="F559" s="78"/>
      <c r="G559" s="67"/>
      <c r="H559" s="319"/>
      <c r="I559" s="319"/>
      <c r="J559" s="78"/>
      <c r="K559" s="58"/>
      <c r="L559" s="319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  <c r="EM559" s="58"/>
      <c r="EN559" s="58"/>
      <c r="EO559" s="58"/>
      <c r="EP559" s="58"/>
      <c r="EQ559" s="58"/>
      <c r="ER559" s="58"/>
      <c r="ES559" s="58"/>
      <c r="ET559" s="58"/>
      <c r="EU559" s="58"/>
      <c r="EV559" s="58"/>
      <c r="EW559" s="58"/>
      <c r="EX559" s="58"/>
      <c r="EY559" s="58"/>
      <c r="EZ559" s="58"/>
      <c r="FA559" s="58"/>
      <c r="FB559" s="58"/>
      <c r="FC559" s="58"/>
      <c r="FD559" s="58"/>
      <c r="FE559" s="58"/>
      <c r="FF559" s="58"/>
      <c r="FG559" s="58"/>
      <c r="FH559" s="58"/>
      <c r="FI559" s="58"/>
      <c r="FJ559" s="58"/>
      <c r="FK559" s="58"/>
      <c r="FL559" s="58"/>
      <c r="FM559" s="58"/>
      <c r="FN559" s="58"/>
      <c r="FO559" s="58"/>
      <c r="FP559" s="58"/>
      <c r="FQ559" s="58"/>
      <c r="FR559" s="58"/>
      <c r="FS559" s="58"/>
      <c r="FT559" s="58"/>
      <c r="FU559" s="58"/>
      <c r="FV559" s="58"/>
      <c r="FW559" s="58"/>
      <c r="FX559" s="58"/>
      <c r="FY559" s="58"/>
      <c r="FZ559" s="58"/>
      <c r="GA559" s="58"/>
      <c r="GB559" s="58"/>
      <c r="GC559" s="58"/>
      <c r="GD559" s="58"/>
      <c r="GE559" s="58"/>
      <c r="GF559" s="58"/>
      <c r="GG559" s="58"/>
      <c r="GH559" s="58"/>
      <c r="GI559" s="58"/>
      <c r="GJ559" s="58"/>
      <c r="GK559" s="58"/>
    </row>
    <row r="560" spans="1:193" s="74" customFormat="1">
      <c r="A560" s="78"/>
      <c r="B560" s="78"/>
      <c r="C560" s="78"/>
      <c r="D560" s="78"/>
      <c r="E560" s="78"/>
      <c r="F560" s="78"/>
      <c r="G560" s="67"/>
      <c r="H560" s="319"/>
      <c r="I560" s="319"/>
      <c r="J560" s="78"/>
      <c r="K560" s="58"/>
      <c r="L560" s="319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  <c r="EM560" s="58"/>
      <c r="EN560" s="58"/>
      <c r="EO560" s="58"/>
      <c r="EP560" s="58"/>
      <c r="EQ560" s="58"/>
      <c r="ER560" s="58"/>
      <c r="ES560" s="58"/>
      <c r="ET560" s="58"/>
      <c r="EU560" s="58"/>
      <c r="EV560" s="58"/>
      <c r="EW560" s="58"/>
      <c r="EX560" s="58"/>
      <c r="EY560" s="58"/>
      <c r="EZ560" s="58"/>
      <c r="FA560" s="58"/>
      <c r="FB560" s="58"/>
      <c r="FC560" s="58"/>
      <c r="FD560" s="58"/>
      <c r="FE560" s="58"/>
      <c r="FF560" s="58"/>
      <c r="FG560" s="58"/>
      <c r="FH560" s="58"/>
      <c r="FI560" s="58"/>
      <c r="FJ560" s="58"/>
      <c r="FK560" s="58"/>
      <c r="FL560" s="58"/>
      <c r="FM560" s="58"/>
      <c r="FN560" s="58"/>
      <c r="FO560" s="58"/>
      <c r="FP560" s="58"/>
      <c r="FQ560" s="58"/>
      <c r="FR560" s="58"/>
      <c r="FS560" s="58"/>
      <c r="FT560" s="58"/>
      <c r="FU560" s="58"/>
      <c r="FV560" s="58"/>
      <c r="FW560" s="58"/>
      <c r="FX560" s="58"/>
      <c r="FY560" s="58"/>
      <c r="FZ560" s="58"/>
      <c r="GA560" s="58"/>
      <c r="GB560" s="58"/>
      <c r="GC560" s="58"/>
      <c r="GD560" s="58"/>
      <c r="GE560" s="58"/>
      <c r="GF560" s="58"/>
      <c r="GG560" s="58"/>
      <c r="GH560" s="58"/>
      <c r="GI560" s="58"/>
      <c r="GJ560" s="58"/>
      <c r="GK560" s="58"/>
    </row>
    <row r="561" spans="1:193" s="74" customFormat="1">
      <c r="A561" s="78"/>
      <c r="B561" s="78"/>
      <c r="C561" s="78"/>
      <c r="D561" s="78"/>
      <c r="E561" s="78"/>
      <c r="F561" s="78"/>
      <c r="G561" s="67"/>
      <c r="H561" s="319"/>
      <c r="I561" s="319"/>
      <c r="J561" s="78"/>
      <c r="K561" s="58"/>
      <c r="L561" s="319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  <c r="EM561" s="58"/>
      <c r="EN561" s="58"/>
      <c r="EO561" s="58"/>
      <c r="EP561" s="58"/>
      <c r="EQ561" s="58"/>
      <c r="ER561" s="58"/>
      <c r="ES561" s="58"/>
      <c r="ET561" s="58"/>
      <c r="EU561" s="58"/>
      <c r="EV561" s="58"/>
      <c r="EW561" s="58"/>
      <c r="EX561" s="58"/>
      <c r="EY561" s="58"/>
      <c r="EZ561" s="58"/>
      <c r="FA561" s="58"/>
      <c r="FB561" s="58"/>
      <c r="FC561" s="58"/>
      <c r="FD561" s="58"/>
      <c r="FE561" s="58"/>
      <c r="FF561" s="58"/>
      <c r="FG561" s="58"/>
      <c r="FH561" s="58"/>
      <c r="FI561" s="58"/>
      <c r="FJ561" s="58"/>
      <c r="FK561" s="58"/>
      <c r="FL561" s="58"/>
      <c r="FM561" s="58"/>
      <c r="FN561" s="58"/>
      <c r="FO561" s="58"/>
      <c r="FP561" s="58"/>
      <c r="FQ561" s="58"/>
      <c r="FR561" s="58"/>
      <c r="FS561" s="58"/>
      <c r="FT561" s="58"/>
      <c r="FU561" s="58"/>
      <c r="FV561" s="58"/>
      <c r="FW561" s="58"/>
      <c r="FX561" s="58"/>
      <c r="FY561" s="58"/>
      <c r="FZ561" s="58"/>
      <c r="GA561" s="58"/>
      <c r="GB561" s="58"/>
      <c r="GC561" s="58"/>
      <c r="GD561" s="58"/>
      <c r="GE561" s="58"/>
      <c r="GF561" s="58"/>
      <c r="GG561" s="58"/>
      <c r="GH561" s="58"/>
      <c r="GI561" s="58"/>
      <c r="GJ561" s="58"/>
      <c r="GK561" s="58"/>
    </row>
    <row r="562" spans="1:193" s="74" customFormat="1">
      <c r="A562" s="78"/>
      <c r="B562" s="78"/>
      <c r="C562" s="78"/>
      <c r="D562" s="78"/>
      <c r="E562" s="78"/>
      <c r="F562" s="78"/>
      <c r="G562" s="67"/>
      <c r="H562" s="319"/>
      <c r="I562" s="319"/>
      <c r="J562" s="78"/>
      <c r="K562" s="58"/>
      <c r="L562" s="319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  <c r="EM562" s="58"/>
      <c r="EN562" s="58"/>
      <c r="EO562" s="58"/>
      <c r="EP562" s="58"/>
      <c r="EQ562" s="58"/>
      <c r="ER562" s="58"/>
      <c r="ES562" s="58"/>
      <c r="ET562" s="58"/>
      <c r="EU562" s="58"/>
      <c r="EV562" s="58"/>
      <c r="EW562" s="58"/>
      <c r="EX562" s="58"/>
      <c r="EY562" s="58"/>
      <c r="EZ562" s="58"/>
      <c r="FA562" s="58"/>
      <c r="FB562" s="58"/>
      <c r="FC562" s="58"/>
      <c r="FD562" s="58"/>
      <c r="FE562" s="58"/>
      <c r="FF562" s="58"/>
      <c r="FG562" s="58"/>
      <c r="FH562" s="58"/>
      <c r="FI562" s="58"/>
      <c r="FJ562" s="58"/>
      <c r="FK562" s="58"/>
      <c r="FL562" s="58"/>
      <c r="FM562" s="58"/>
      <c r="FN562" s="58"/>
      <c r="FO562" s="58"/>
      <c r="FP562" s="58"/>
      <c r="FQ562" s="58"/>
      <c r="FR562" s="58"/>
      <c r="FS562" s="58"/>
      <c r="FT562" s="58"/>
      <c r="FU562" s="58"/>
      <c r="FV562" s="58"/>
      <c r="FW562" s="58"/>
      <c r="FX562" s="58"/>
      <c r="FY562" s="58"/>
      <c r="FZ562" s="58"/>
      <c r="GA562" s="58"/>
      <c r="GB562" s="58"/>
      <c r="GC562" s="58"/>
      <c r="GD562" s="58"/>
      <c r="GE562" s="58"/>
      <c r="GF562" s="58"/>
      <c r="GG562" s="58"/>
      <c r="GH562" s="58"/>
      <c r="GI562" s="58"/>
      <c r="GJ562" s="58"/>
      <c r="GK562" s="58"/>
    </row>
    <row r="563" spans="1:193" s="74" customFormat="1">
      <c r="A563" s="78"/>
      <c r="B563" s="78"/>
      <c r="C563" s="78"/>
      <c r="D563" s="78"/>
      <c r="E563" s="78"/>
      <c r="F563" s="78"/>
      <c r="G563" s="67"/>
      <c r="H563" s="319"/>
      <c r="I563" s="319"/>
      <c r="J563" s="78"/>
      <c r="K563" s="58"/>
      <c r="L563" s="319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  <c r="EM563" s="58"/>
      <c r="EN563" s="58"/>
      <c r="EO563" s="58"/>
      <c r="EP563" s="58"/>
      <c r="EQ563" s="58"/>
      <c r="ER563" s="58"/>
      <c r="ES563" s="58"/>
      <c r="ET563" s="58"/>
      <c r="EU563" s="58"/>
      <c r="EV563" s="58"/>
      <c r="EW563" s="58"/>
      <c r="EX563" s="58"/>
      <c r="EY563" s="58"/>
      <c r="EZ563" s="58"/>
      <c r="FA563" s="58"/>
      <c r="FB563" s="58"/>
      <c r="FC563" s="58"/>
      <c r="FD563" s="58"/>
      <c r="FE563" s="58"/>
      <c r="FF563" s="58"/>
      <c r="FG563" s="58"/>
      <c r="FH563" s="58"/>
      <c r="FI563" s="58"/>
      <c r="FJ563" s="58"/>
      <c r="FK563" s="58"/>
      <c r="FL563" s="58"/>
      <c r="FM563" s="58"/>
      <c r="FN563" s="58"/>
      <c r="FO563" s="58"/>
      <c r="FP563" s="58"/>
      <c r="FQ563" s="58"/>
      <c r="FR563" s="58"/>
      <c r="FS563" s="58"/>
      <c r="FT563" s="58"/>
      <c r="FU563" s="58"/>
      <c r="FV563" s="58"/>
      <c r="FW563" s="58"/>
      <c r="FX563" s="58"/>
      <c r="FY563" s="58"/>
      <c r="FZ563" s="58"/>
      <c r="GA563" s="58"/>
      <c r="GB563" s="58"/>
      <c r="GC563" s="58"/>
      <c r="GD563" s="58"/>
      <c r="GE563" s="58"/>
      <c r="GF563" s="58"/>
      <c r="GG563" s="58"/>
      <c r="GH563" s="58"/>
      <c r="GI563" s="58"/>
      <c r="GJ563" s="58"/>
      <c r="GK563" s="58"/>
    </row>
    <row r="564" spans="1:193" s="74" customFormat="1">
      <c r="A564" s="78"/>
      <c r="B564" s="78"/>
      <c r="C564" s="78"/>
      <c r="D564" s="78"/>
      <c r="E564" s="78"/>
      <c r="F564" s="78"/>
      <c r="G564" s="67"/>
      <c r="H564" s="319"/>
      <c r="I564" s="319"/>
      <c r="J564" s="78"/>
      <c r="K564" s="58"/>
      <c r="L564" s="319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  <c r="EN564" s="58"/>
      <c r="EO564" s="58"/>
      <c r="EP564" s="58"/>
      <c r="EQ564" s="58"/>
      <c r="ER564" s="58"/>
      <c r="ES564" s="58"/>
      <c r="ET564" s="58"/>
      <c r="EU564" s="58"/>
      <c r="EV564" s="58"/>
      <c r="EW564" s="58"/>
      <c r="EX564" s="58"/>
      <c r="EY564" s="58"/>
      <c r="EZ564" s="58"/>
      <c r="FA564" s="58"/>
      <c r="FB564" s="58"/>
      <c r="FC564" s="58"/>
      <c r="FD564" s="58"/>
      <c r="FE564" s="58"/>
      <c r="FF564" s="58"/>
      <c r="FG564" s="58"/>
      <c r="FH564" s="58"/>
      <c r="FI564" s="58"/>
      <c r="FJ564" s="58"/>
      <c r="FK564" s="58"/>
      <c r="FL564" s="58"/>
      <c r="FM564" s="58"/>
      <c r="FN564" s="58"/>
      <c r="FO564" s="58"/>
      <c r="FP564" s="58"/>
      <c r="FQ564" s="58"/>
      <c r="FR564" s="58"/>
      <c r="FS564" s="58"/>
      <c r="FT564" s="58"/>
      <c r="FU564" s="58"/>
      <c r="FV564" s="58"/>
      <c r="FW564" s="58"/>
      <c r="FX564" s="58"/>
      <c r="FY564" s="58"/>
      <c r="FZ564" s="58"/>
      <c r="GA564" s="58"/>
      <c r="GB564" s="58"/>
      <c r="GC564" s="58"/>
      <c r="GD564" s="58"/>
      <c r="GE564" s="58"/>
      <c r="GF564" s="58"/>
      <c r="GG564" s="58"/>
      <c r="GH564" s="58"/>
      <c r="GI564" s="58"/>
      <c r="GJ564" s="58"/>
      <c r="GK564" s="58"/>
    </row>
    <row r="565" spans="1:193" s="74" customFormat="1">
      <c r="A565" s="78"/>
      <c r="B565" s="78"/>
      <c r="C565" s="78"/>
      <c r="D565" s="78"/>
      <c r="E565" s="78"/>
      <c r="F565" s="78"/>
      <c r="G565" s="67"/>
      <c r="H565" s="319"/>
      <c r="I565" s="319"/>
      <c r="J565" s="78"/>
      <c r="K565" s="58"/>
      <c r="L565" s="319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  <c r="EM565" s="58"/>
      <c r="EN565" s="58"/>
      <c r="EO565" s="58"/>
      <c r="EP565" s="58"/>
      <c r="EQ565" s="58"/>
      <c r="ER565" s="58"/>
      <c r="ES565" s="58"/>
      <c r="ET565" s="58"/>
      <c r="EU565" s="58"/>
      <c r="EV565" s="58"/>
      <c r="EW565" s="58"/>
      <c r="EX565" s="58"/>
      <c r="EY565" s="58"/>
      <c r="EZ565" s="58"/>
      <c r="FA565" s="58"/>
      <c r="FB565" s="58"/>
      <c r="FC565" s="58"/>
      <c r="FD565" s="58"/>
      <c r="FE565" s="58"/>
      <c r="FF565" s="58"/>
      <c r="FG565" s="58"/>
      <c r="FH565" s="58"/>
      <c r="FI565" s="58"/>
      <c r="FJ565" s="58"/>
      <c r="FK565" s="58"/>
      <c r="FL565" s="58"/>
      <c r="FM565" s="58"/>
      <c r="FN565" s="58"/>
      <c r="FO565" s="58"/>
      <c r="FP565" s="58"/>
      <c r="FQ565" s="58"/>
      <c r="FR565" s="58"/>
      <c r="FS565" s="58"/>
      <c r="FT565" s="58"/>
      <c r="FU565" s="58"/>
      <c r="FV565" s="58"/>
      <c r="FW565" s="58"/>
      <c r="FX565" s="58"/>
      <c r="FY565" s="58"/>
      <c r="FZ565" s="58"/>
      <c r="GA565" s="58"/>
      <c r="GB565" s="58"/>
      <c r="GC565" s="58"/>
      <c r="GD565" s="58"/>
      <c r="GE565" s="58"/>
      <c r="GF565" s="58"/>
      <c r="GG565" s="58"/>
      <c r="GH565" s="58"/>
      <c r="GI565" s="58"/>
      <c r="GJ565" s="58"/>
      <c r="GK565" s="58"/>
    </row>
    <row r="566" spans="1:193" s="74" customFormat="1">
      <c r="A566" s="78"/>
      <c r="B566" s="78"/>
      <c r="C566" s="78"/>
      <c r="D566" s="78"/>
      <c r="E566" s="78"/>
      <c r="F566" s="78"/>
      <c r="G566" s="67"/>
      <c r="H566" s="319"/>
      <c r="I566" s="319"/>
      <c r="J566" s="78"/>
      <c r="K566" s="58"/>
      <c r="L566" s="319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  <c r="EM566" s="58"/>
      <c r="EN566" s="58"/>
      <c r="EO566" s="58"/>
      <c r="EP566" s="58"/>
      <c r="EQ566" s="58"/>
      <c r="ER566" s="58"/>
      <c r="ES566" s="58"/>
      <c r="ET566" s="58"/>
      <c r="EU566" s="58"/>
      <c r="EV566" s="58"/>
      <c r="EW566" s="58"/>
      <c r="EX566" s="58"/>
      <c r="EY566" s="58"/>
      <c r="EZ566" s="58"/>
      <c r="FA566" s="58"/>
      <c r="FB566" s="58"/>
      <c r="FC566" s="58"/>
      <c r="FD566" s="58"/>
      <c r="FE566" s="58"/>
      <c r="FF566" s="58"/>
      <c r="FG566" s="58"/>
      <c r="FH566" s="58"/>
      <c r="FI566" s="58"/>
      <c r="FJ566" s="58"/>
      <c r="FK566" s="58"/>
      <c r="FL566" s="58"/>
      <c r="FM566" s="58"/>
      <c r="FN566" s="58"/>
      <c r="FO566" s="58"/>
      <c r="FP566" s="58"/>
      <c r="FQ566" s="58"/>
      <c r="FR566" s="58"/>
      <c r="FS566" s="58"/>
      <c r="FT566" s="58"/>
      <c r="FU566" s="58"/>
      <c r="FV566" s="58"/>
      <c r="FW566" s="58"/>
      <c r="FX566" s="58"/>
      <c r="FY566" s="58"/>
      <c r="FZ566" s="58"/>
      <c r="GA566" s="58"/>
      <c r="GB566" s="58"/>
      <c r="GC566" s="58"/>
      <c r="GD566" s="58"/>
      <c r="GE566" s="58"/>
      <c r="GF566" s="58"/>
      <c r="GG566" s="58"/>
      <c r="GH566" s="58"/>
      <c r="GI566" s="58"/>
      <c r="GJ566" s="58"/>
      <c r="GK566" s="58"/>
    </row>
    <row r="567" spans="1:193" s="74" customFormat="1">
      <c r="A567" s="78"/>
      <c r="B567" s="78"/>
      <c r="C567" s="78"/>
      <c r="D567" s="78"/>
      <c r="E567" s="78"/>
      <c r="F567" s="78"/>
      <c r="G567" s="67"/>
      <c r="H567" s="319"/>
      <c r="I567" s="319"/>
      <c r="J567" s="78"/>
      <c r="K567" s="58"/>
      <c r="L567" s="319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  <c r="EN567" s="58"/>
      <c r="EO567" s="58"/>
      <c r="EP567" s="58"/>
      <c r="EQ567" s="58"/>
      <c r="ER567" s="58"/>
      <c r="ES567" s="58"/>
      <c r="ET567" s="58"/>
      <c r="EU567" s="58"/>
      <c r="EV567" s="58"/>
      <c r="EW567" s="58"/>
      <c r="EX567" s="58"/>
      <c r="EY567" s="58"/>
      <c r="EZ567" s="58"/>
      <c r="FA567" s="58"/>
      <c r="FB567" s="58"/>
      <c r="FC567" s="58"/>
      <c r="FD567" s="58"/>
      <c r="FE567" s="58"/>
      <c r="FF567" s="58"/>
      <c r="FG567" s="58"/>
      <c r="FH567" s="58"/>
      <c r="FI567" s="58"/>
      <c r="FJ567" s="58"/>
      <c r="FK567" s="58"/>
      <c r="FL567" s="58"/>
      <c r="FM567" s="58"/>
      <c r="FN567" s="58"/>
      <c r="FO567" s="58"/>
      <c r="FP567" s="58"/>
      <c r="FQ567" s="58"/>
      <c r="FR567" s="58"/>
      <c r="FS567" s="58"/>
      <c r="FT567" s="58"/>
      <c r="FU567" s="58"/>
      <c r="FV567" s="58"/>
      <c r="FW567" s="58"/>
      <c r="FX567" s="58"/>
      <c r="FY567" s="58"/>
      <c r="FZ567" s="58"/>
      <c r="GA567" s="58"/>
      <c r="GB567" s="58"/>
      <c r="GC567" s="58"/>
      <c r="GD567" s="58"/>
      <c r="GE567" s="58"/>
      <c r="GF567" s="58"/>
      <c r="GG567" s="58"/>
      <c r="GH567" s="58"/>
      <c r="GI567" s="58"/>
      <c r="GJ567" s="58"/>
      <c r="GK567" s="58"/>
    </row>
    <row r="568" spans="1:193" s="74" customFormat="1">
      <c r="A568" s="78"/>
      <c r="B568" s="78"/>
      <c r="C568" s="78"/>
      <c r="D568" s="78"/>
      <c r="E568" s="78"/>
      <c r="F568" s="78"/>
      <c r="G568" s="67"/>
      <c r="H568" s="319"/>
      <c r="I568" s="319"/>
      <c r="J568" s="78"/>
      <c r="K568" s="58"/>
      <c r="L568" s="319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  <c r="EM568" s="58"/>
      <c r="EN568" s="58"/>
      <c r="EO568" s="58"/>
      <c r="EP568" s="58"/>
      <c r="EQ568" s="58"/>
      <c r="ER568" s="58"/>
      <c r="ES568" s="58"/>
      <c r="ET568" s="58"/>
      <c r="EU568" s="58"/>
      <c r="EV568" s="58"/>
      <c r="EW568" s="58"/>
      <c r="EX568" s="58"/>
      <c r="EY568" s="58"/>
      <c r="EZ568" s="58"/>
      <c r="FA568" s="58"/>
      <c r="FB568" s="58"/>
      <c r="FC568" s="58"/>
      <c r="FD568" s="58"/>
      <c r="FE568" s="58"/>
      <c r="FF568" s="58"/>
      <c r="FG568" s="58"/>
      <c r="FH568" s="58"/>
      <c r="FI568" s="58"/>
      <c r="FJ568" s="58"/>
      <c r="FK568" s="58"/>
      <c r="FL568" s="58"/>
      <c r="FM568" s="58"/>
      <c r="FN568" s="58"/>
      <c r="FO568" s="58"/>
      <c r="FP568" s="58"/>
      <c r="FQ568" s="58"/>
      <c r="FR568" s="58"/>
      <c r="FS568" s="58"/>
      <c r="FT568" s="58"/>
      <c r="FU568" s="58"/>
      <c r="FV568" s="58"/>
      <c r="FW568" s="58"/>
      <c r="FX568" s="58"/>
      <c r="FY568" s="58"/>
      <c r="FZ568" s="58"/>
      <c r="GA568" s="58"/>
      <c r="GB568" s="58"/>
      <c r="GC568" s="58"/>
      <c r="GD568" s="58"/>
      <c r="GE568" s="58"/>
      <c r="GF568" s="58"/>
      <c r="GG568" s="58"/>
      <c r="GH568" s="58"/>
      <c r="GI568" s="58"/>
      <c r="GJ568" s="58"/>
      <c r="GK568" s="58"/>
    </row>
    <row r="569" spans="1:193" s="74" customFormat="1">
      <c r="A569" s="78"/>
      <c r="B569" s="78"/>
      <c r="C569" s="78"/>
      <c r="D569" s="78"/>
      <c r="E569" s="78"/>
      <c r="F569" s="78"/>
      <c r="G569" s="67"/>
      <c r="H569" s="319"/>
      <c r="I569" s="319"/>
      <c r="J569" s="78"/>
      <c r="K569" s="58"/>
      <c r="L569" s="319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  <c r="EM569" s="58"/>
      <c r="EN569" s="58"/>
      <c r="EO569" s="58"/>
      <c r="EP569" s="58"/>
      <c r="EQ569" s="58"/>
      <c r="ER569" s="58"/>
      <c r="ES569" s="58"/>
      <c r="ET569" s="58"/>
      <c r="EU569" s="58"/>
      <c r="EV569" s="58"/>
      <c r="EW569" s="58"/>
      <c r="EX569" s="58"/>
      <c r="EY569" s="58"/>
      <c r="EZ569" s="58"/>
      <c r="FA569" s="58"/>
      <c r="FB569" s="58"/>
      <c r="FC569" s="58"/>
      <c r="FD569" s="58"/>
      <c r="FE569" s="58"/>
      <c r="FF569" s="58"/>
      <c r="FG569" s="58"/>
      <c r="FH569" s="58"/>
      <c r="FI569" s="58"/>
      <c r="FJ569" s="58"/>
      <c r="FK569" s="58"/>
      <c r="FL569" s="58"/>
      <c r="FM569" s="58"/>
      <c r="FN569" s="58"/>
      <c r="FO569" s="58"/>
      <c r="FP569" s="58"/>
      <c r="FQ569" s="58"/>
      <c r="FR569" s="58"/>
      <c r="FS569" s="58"/>
      <c r="FT569" s="58"/>
      <c r="FU569" s="58"/>
      <c r="FV569" s="58"/>
      <c r="FW569" s="58"/>
      <c r="FX569" s="58"/>
      <c r="FY569" s="58"/>
      <c r="FZ569" s="58"/>
      <c r="GA569" s="58"/>
      <c r="GB569" s="58"/>
      <c r="GC569" s="58"/>
      <c r="GD569" s="58"/>
      <c r="GE569" s="58"/>
      <c r="GF569" s="58"/>
      <c r="GG569" s="58"/>
      <c r="GH569" s="58"/>
      <c r="GI569" s="58"/>
      <c r="GJ569" s="58"/>
      <c r="GK569" s="58"/>
    </row>
    <row r="570" spans="1:193" s="74" customFormat="1">
      <c r="A570" s="78"/>
      <c r="B570" s="78"/>
      <c r="C570" s="78"/>
      <c r="D570" s="78"/>
      <c r="E570" s="78"/>
      <c r="F570" s="78"/>
      <c r="G570" s="67"/>
      <c r="H570" s="319"/>
      <c r="I570" s="319"/>
      <c r="J570" s="78"/>
      <c r="K570" s="58"/>
      <c r="L570" s="319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  <c r="EN570" s="58"/>
      <c r="EO570" s="58"/>
      <c r="EP570" s="58"/>
      <c r="EQ570" s="58"/>
      <c r="ER570" s="58"/>
      <c r="ES570" s="58"/>
      <c r="ET570" s="58"/>
      <c r="EU570" s="58"/>
      <c r="EV570" s="58"/>
      <c r="EW570" s="58"/>
      <c r="EX570" s="58"/>
      <c r="EY570" s="58"/>
      <c r="EZ570" s="58"/>
      <c r="FA570" s="58"/>
      <c r="FB570" s="58"/>
      <c r="FC570" s="58"/>
      <c r="FD570" s="58"/>
      <c r="FE570" s="58"/>
      <c r="FF570" s="58"/>
      <c r="FG570" s="58"/>
      <c r="FH570" s="58"/>
      <c r="FI570" s="58"/>
      <c r="FJ570" s="58"/>
      <c r="FK570" s="58"/>
      <c r="FL570" s="58"/>
      <c r="FM570" s="58"/>
      <c r="FN570" s="58"/>
      <c r="FO570" s="58"/>
      <c r="FP570" s="58"/>
      <c r="FQ570" s="58"/>
      <c r="FR570" s="58"/>
      <c r="FS570" s="58"/>
      <c r="FT570" s="58"/>
      <c r="FU570" s="58"/>
      <c r="FV570" s="58"/>
      <c r="FW570" s="58"/>
      <c r="FX570" s="58"/>
      <c r="FY570" s="58"/>
      <c r="FZ570" s="58"/>
      <c r="GA570" s="58"/>
      <c r="GB570" s="58"/>
      <c r="GC570" s="58"/>
      <c r="GD570" s="58"/>
      <c r="GE570" s="58"/>
      <c r="GF570" s="58"/>
      <c r="GG570" s="58"/>
      <c r="GH570" s="58"/>
      <c r="GI570" s="58"/>
      <c r="GJ570" s="58"/>
      <c r="GK570" s="58"/>
    </row>
    <row r="571" spans="1:193" s="74" customFormat="1">
      <c r="A571" s="78"/>
      <c r="B571" s="78"/>
      <c r="C571" s="78"/>
      <c r="D571" s="78"/>
      <c r="E571" s="78"/>
      <c r="F571" s="78"/>
      <c r="G571" s="67"/>
      <c r="H571" s="319"/>
      <c r="I571" s="319"/>
      <c r="J571" s="78"/>
      <c r="K571" s="58"/>
      <c r="L571" s="319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  <c r="EN571" s="58"/>
      <c r="EO571" s="58"/>
      <c r="EP571" s="58"/>
      <c r="EQ571" s="58"/>
      <c r="ER571" s="58"/>
      <c r="ES571" s="58"/>
      <c r="ET571" s="58"/>
      <c r="EU571" s="58"/>
      <c r="EV571" s="58"/>
      <c r="EW571" s="58"/>
      <c r="EX571" s="58"/>
      <c r="EY571" s="58"/>
      <c r="EZ571" s="58"/>
      <c r="FA571" s="58"/>
      <c r="FB571" s="58"/>
      <c r="FC571" s="58"/>
      <c r="FD571" s="58"/>
      <c r="FE571" s="58"/>
      <c r="FF571" s="58"/>
      <c r="FG571" s="58"/>
      <c r="FH571" s="58"/>
      <c r="FI571" s="58"/>
      <c r="FJ571" s="58"/>
      <c r="FK571" s="58"/>
      <c r="FL571" s="58"/>
      <c r="FM571" s="58"/>
      <c r="FN571" s="58"/>
      <c r="FO571" s="58"/>
      <c r="FP571" s="58"/>
      <c r="FQ571" s="58"/>
      <c r="FR571" s="58"/>
      <c r="FS571" s="58"/>
      <c r="FT571" s="58"/>
      <c r="FU571" s="58"/>
      <c r="FV571" s="58"/>
      <c r="FW571" s="58"/>
      <c r="FX571" s="58"/>
      <c r="FY571" s="58"/>
      <c r="FZ571" s="58"/>
      <c r="GA571" s="58"/>
      <c r="GB571" s="58"/>
      <c r="GC571" s="58"/>
      <c r="GD571" s="58"/>
      <c r="GE571" s="58"/>
      <c r="GF571" s="58"/>
      <c r="GG571" s="58"/>
      <c r="GH571" s="58"/>
      <c r="GI571" s="58"/>
      <c r="GJ571" s="58"/>
      <c r="GK571" s="58"/>
    </row>
    <row r="572" spans="1:193" s="74" customFormat="1">
      <c r="A572" s="78"/>
      <c r="B572" s="78"/>
      <c r="C572" s="78"/>
      <c r="D572" s="78"/>
      <c r="E572" s="78"/>
      <c r="F572" s="78"/>
      <c r="G572" s="67"/>
      <c r="H572" s="319"/>
      <c r="I572" s="319"/>
      <c r="J572" s="78"/>
      <c r="K572" s="58"/>
      <c r="L572" s="319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  <c r="EN572" s="58"/>
      <c r="EO572" s="58"/>
      <c r="EP572" s="58"/>
      <c r="EQ572" s="58"/>
      <c r="ER572" s="58"/>
      <c r="ES572" s="58"/>
      <c r="ET572" s="58"/>
      <c r="EU572" s="58"/>
      <c r="EV572" s="58"/>
      <c r="EW572" s="58"/>
      <c r="EX572" s="58"/>
      <c r="EY572" s="58"/>
      <c r="EZ572" s="58"/>
      <c r="FA572" s="58"/>
      <c r="FB572" s="58"/>
      <c r="FC572" s="58"/>
      <c r="FD572" s="58"/>
      <c r="FE572" s="58"/>
      <c r="FF572" s="58"/>
      <c r="FG572" s="58"/>
      <c r="FH572" s="58"/>
      <c r="FI572" s="58"/>
      <c r="FJ572" s="58"/>
      <c r="FK572" s="58"/>
      <c r="FL572" s="58"/>
      <c r="FM572" s="58"/>
      <c r="FN572" s="58"/>
      <c r="FO572" s="58"/>
      <c r="FP572" s="58"/>
      <c r="FQ572" s="58"/>
      <c r="FR572" s="58"/>
      <c r="FS572" s="58"/>
      <c r="FT572" s="58"/>
      <c r="FU572" s="58"/>
      <c r="FV572" s="58"/>
      <c r="FW572" s="58"/>
      <c r="FX572" s="58"/>
      <c r="FY572" s="58"/>
      <c r="FZ572" s="58"/>
      <c r="GA572" s="58"/>
      <c r="GB572" s="58"/>
      <c r="GC572" s="58"/>
      <c r="GD572" s="58"/>
      <c r="GE572" s="58"/>
      <c r="GF572" s="58"/>
      <c r="GG572" s="58"/>
      <c r="GH572" s="58"/>
      <c r="GI572" s="58"/>
      <c r="GJ572" s="58"/>
      <c r="GK572" s="58"/>
    </row>
    <row r="573" spans="1:193" s="74" customFormat="1">
      <c r="A573" s="78"/>
      <c r="B573" s="78"/>
      <c r="C573" s="78"/>
      <c r="D573" s="78"/>
      <c r="E573" s="78"/>
      <c r="F573" s="78"/>
      <c r="G573" s="67"/>
      <c r="H573" s="319"/>
      <c r="I573" s="319"/>
      <c r="J573" s="78"/>
      <c r="K573" s="58"/>
      <c r="L573" s="319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  <c r="EN573" s="58"/>
      <c r="EO573" s="58"/>
      <c r="EP573" s="58"/>
      <c r="EQ573" s="58"/>
      <c r="ER573" s="58"/>
      <c r="ES573" s="58"/>
      <c r="ET573" s="58"/>
      <c r="EU573" s="58"/>
      <c r="EV573" s="58"/>
      <c r="EW573" s="58"/>
      <c r="EX573" s="58"/>
      <c r="EY573" s="58"/>
      <c r="EZ573" s="58"/>
      <c r="FA573" s="58"/>
      <c r="FB573" s="58"/>
      <c r="FC573" s="58"/>
      <c r="FD573" s="58"/>
      <c r="FE573" s="58"/>
      <c r="FF573" s="58"/>
      <c r="FG573" s="58"/>
      <c r="FH573" s="58"/>
      <c r="FI573" s="58"/>
      <c r="FJ573" s="58"/>
      <c r="FK573" s="58"/>
      <c r="FL573" s="58"/>
      <c r="FM573" s="58"/>
      <c r="FN573" s="58"/>
      <c r="FO573" s="58"/>
      <c r="FP573" s="58"/>
      <c r="FQ573" s="58"/>
      <c r="FR573" s="58"/>
      <c r="FS573" s="58"/>
      <c r="FT573" s="58"/>
      <c r="FU573" s="58"/>
      <c r="FV573" s="58"/>
      <c r="FW573" s="58"/>
      <c r="FX573" s="58"/>
      <c r="FY573" s="58"/>
      <c r="FZ573" s="58"/>
      <c r="GA573" s="58"/>
      <c r="GB573" s="58"/>
      <c r="GC573" s="58"/>
      <c r="GD573" s="58"/>
      <c r="GE573" s="58"/>
      <c r="GF573" s="58"/>
      <c r="GG573" s="58"/>
      <c r="GH573" s="58"/>
      <c r="GI573" s="58"/>
      <c r="GJ573" s="58"/>
      <c r="GK573" s="58"/>
    </row>
    <row r="574" spans="1:193" s="74" customFormat="1">
      <c r="A574" s="78"/>
      <c r="B574" s="78"/>
      <c r="C574" s="78"/>
      <c r="D574" s="78"/>
      <c r="E574" s="78"/>
      <c r="F574" s="78"/>
      <c r="G574" s="67"/>
      <c r="H574" s="319"/>
      <c r="I574" s="319"/>
      <c r="J574" s="78"/>
      <c r="K574" s="58"/>
      <c r="L574" s="319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  <c r="EN574" s="58"/>
      <c r="EO574" s="58"/>
      <c r="EP574" s="58"/>
      <c r="EQ574" s="58"/>
      <c r="ER574" s="58"/>
      <c r="ES574" s="58"/>
      <c r="ET574" s="58"/>
      <c r="EU574" s="58"/>
      <c r="EV574" s="58"/>
      <c r="EW574" s="58"/>
      <c r="EX574" s="58"/>
      <c r="EY574" s="58"/>
      <c r="EZ574" s="58"/>
      <c r="FA574" s="58"/>
      <c r="FB574" s="58"/>
      <c r="FC574" s="58"/>
      <c r="FD574" s="58"/>
      <c r="FE574" s="58"/>
      <c r="FF574" s="58"/>
      <c r="FG574" s="58"/>
      <c r="FH574" s="58"/>
      <c r="FI574" s="58"/>
      <c r="FJ574" s="58"/>
      <c r="FK574" s="58"/>
      <c r="FL574" s="58"/>
      <c r="FM574" s="58"/>
      <c r="FN574" s="58"/>
      <c r="FO574" s="58"/>
      <c r="FP574" s="58"/>
      <c r="FQ574" s="58"/>
      <c r="FR574" s="58"/>
      <c r="FS574" s="58"/>
      <c r="FT574" s="58"/>
      <c r="FU574" s="58"/>
      <c r="FV574" s="58"/>
      <c r="FW574" s="58"/>
      <c r="FX574" s="58"/>
      <c r="FY574" s="58"/>
      <c r="FZ574" s="58"/>
      <c r="GA574" s="58"/>
      <c r="GB574" s="58"/>
      <c r="GC574" s="58"/>
      <c r="GD574" s="58"/>
      <c r="GE574" s="58"/>
      <c r="GF574" s="58"/>
      <c r="GG574" s="58"/>
      <c r="GH574" s="58"/>
      <c r="GI574" s="58"/>
      <c r="GJ574" s="58"/>
      <c r="GK574" s="58"/>
    </row>
    <row r="575" spans="1:193" s="74" customFormat="1">
      <c r="A575" s="78"/>
      <c r="B575" s="78"/>
      <c r="C575" s="78"/>
      <c r="D575" s="78"/>
      <c r="E575" s="78"/>
      <c r="F575" s="78"/>
      <c r="G575" s="67"/>
      <c r="H575" s="319"/>
      <c r="I575" s="319"/>
      <c r="J575" s="78"/>
      <c r="K575" s="58"/>
      <c r="L575" s="319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  <c r="EN575" s="58"/>
      <c r="EO575" s="58"/>
      <c r="EP575" s="58"/>
      <c r="EQ575" s="58"/>
      <c r="ER575" s="58"/>
      <c r="ES575" s="58"/>
      <c r="ET575" s="58"/>
      <c r="EU575" s="58"/>
      <c r="EV575" s="58"/>
      <c r="EW575" s="58"/>
      <c r="EX575" s="58"/>
      <c r="EY575" s="58"/>
      <c r="EZ575" s="58"/>
      <c r="FA575" s="58"/>
      <c r="FB575" s="58"/>
      <c r="FC575" s="58"/>
      <c r="FD575" s="58"/>
      <c r="FE575" s="58"/>
      <c r="FF575" s="58"/>
      <c r="FG575" s="58"/>
      <c r="FH575" s="58"/>
      <c r="FI575" s="58"/>
      <c r="FJ575" s="58"/>
      <c r="FK575" s="58"/>
      <c r="FL575" s="58"/>
      <c r="FM575" s="58"/>
      <c r="FN575" s="58"/>
      <c r="FO575" s="58"/>
      <c r="FP575" s="58"/>
      <c r="FQ575" s="58"/>
      <c r="FR575" s="58"/>
      <c r="FS575" s="58"/>
      <c r="FT575" s="58"/>
      <c r="FU575" s="58"/>
      <c r="FV575" s="58"/>
      <c r="FW575" s="58"/>
      <c r="FX575" s="58"/>
      <c r="FY575" s="58"/>
      <c r="FZ575" s="58"/>
      <c r="GA575" s="58"/>
      <c r="GB575" s="58"/>
      <c r="GC575" s="58"/>
      <c r="GD575" s="58"/>
      <c r="GE575" s="58"/>
      <c r="GF575" s="58"/>
      <c r="GG575" s="58"/>
      <c r="GH575" s="58"/>
      <c r="GI575" s="58"/>
      <c r="GJ575" s="58"/>
      <c r="GK575" s="58"/>
    </row>
    <row r="576" spans="1:193" s="74" customFormat="1">
      <c r="A576" s="78"/>
      <c r="B576" s="78"/>
      <c r="C576" s="78"/>
      <c r="D576" s="78"/>
      <c r="E576" s="78"/>
      <c r="F576" s="78"/>
      <c r="G576" s="67"/>
      <c r="H576" s="319"/>
      <c r="I576" s="319"/>
      <c r="J576" s="78"/>
      <c r="K576" s="58"/>
      <c r="L576" s="319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  <c r="EN576" s="58"/>
      <c r="EO576" s="58"/>
      <c r="EP576" s="58"/>
      <c r="EQ576" s="58"/>
      <c r="ER576" s="58"/>
      <c r="ES576" s="58"/>
      <c r="ET576" s="58"/>
      <c r="EU576" s="58"/>
      <c r="EV576" s="58"/>
      <c r="EW576" s="58"/>
      <c r="EX576" s="58"/>
      <c r="EY576" s="58"/>
      <c r="EZ576" s="58"/>
      <c r="FA576" s="58"/>
      <c r="FB576" s="58"/>
      <c r="FC576" s="58"/>
      <c r="FD576" s="58"/>
      <c r="FE576" s="58"/>
      <c r="FF576" s="58"/>
      <c r="FG576" s="58"/>
      <c r="FH576" s="58"/>
      <c r="FI576" s="58"/>
      <c r="FJ576" s="58"/>
      <c r="FK576" s="58"/>
      <c r="FL576" s="58"/>
      <c r="FM576" s="58"/>
      <c r="FN576" s="58"/>
      <c r="FO576" s="58"/>
      <c r="FP576" s="58"/>
      <c r="FQ576" s="58"/>
      <c r="FR576" s="58"/>
      <c r="FS576" s="58"/>
      <c r="FT576" s="58"/>
      <c r="FU576" s="58"/>
      <c r="FV576" s="58"/>
      <c r="FW576" s="58"/>
      <c r="FX576" s="58"/>
      <c r="FY576" s="58"/>
      <c r="FZ576" s="58"/>
      <c r="GA576" s="58"/>
      <c r="GB576" s="58"/>
      <c r="GC576" s="58"/>
      <c r="GD576" s="58"/>
      <c r="GE576" s="58"/>
      <c r="GF576" s="58"/>
      <c r="GG576" s="58"/>
      <c r="GH576" s="58"/>
      <c r="GI576" s="58"/>
      <c r="GJ576" s="58"/>
      <c r="GK576" s="58"/>
    </row>
    <row r="577" spans="1:193" s="74" customFormat="1">
      <c r="A577" s="78"/>
      <c r="B577" s="78"/>
      <c r="C577" s="78"/>
      <c r="D577" s="78"/>
      <c r="E577" s="78"/>
      <c r="F577" s="78"/>
      <c r="G577" s="67"/>
      <c r="H577" s="319"/>
      <c r="I577" s="319"/>
      <c r="J577" s="78"/>
      <c r="K577" s="58"/>
      <c r="L577" s="319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  <c r="EN577" s="58"/>
      <c r="EO577" s="58"/>
      <c r="EP577" s="58"/>
      <c r="EQ577" s="58"/>
      <c r="ER577" s="58"/>
      <c r="ES577" s="58"/>
      <c r="ET577" s="58"/>
      <c r="EU577" s="58"/>
      <c r="EV577" s="58"/>
      <c r="EW577" s="58"/>
      <c r="EX577" s="58"/>
      <c r="EY577" s="58"/>
      <c r="EZ577" s="58"/>
      <c r="FA577" s="58"/>
      <c r="FB577" s="58"/>
      <c r="FC577" s="58"/>
      <c r="FD577" s="58"/>
      <c r="FE577" s="58"/>
      <c r="FF577" s="58"/>
      <c r="FG577" s="58"/>
      <c r="FH577" s="58"/>
      <c r="FI577" s="58"/>
      <c r="FJ577" s="58"/>
      <c r="FK577" s="58"/>
      <c r="FL577" s="58"/>
      <c r="FM577" s="58"/>
      <c r="FN577" s="58"/>
      <c r="FO577" s="58"/>
      <c r="FP577" s="58"/>
      <c r="FQ577" s="58"/>
      <c r="FR577" s="58"/>
      <c r="FS577" s="58"/>
      <c r="FT577" s="58"/>
      <c r="FU577" s="58"/>
      <c r="FV577" s="58"/>
      <c r="FW577" s="58"/>
      <c r="FX577" s="58"/>
      <c r="FY577" s="58"/>
      <c r="FZ577" s="58"/>
      <c r="GA577" s="58"/>
      <c r="GB577" s="58"/>
      <c r="GC577" s="58"/>
      <c r="GD577" s="58"/>
      <c r="GE577" s="58"/>
      <c r="GF577" s="58"/>
      <c r="GG577" s="58"/>
      <c r="GH577" s="58"/>
      <c r="GI577" s="58"/>
      <c r="GJ577" s="58"/>
      <c r="GK577" s="58"/>
    </row>
    <row r="578" spans="1:193" s="74" customFormat="1">
      <c r="A578" s="78"/>
      <c r="B578" s="78"/>
      <c r="C578" s="78"/>
      <c r="D578" s="78"/>
      <c r="E578" s="78"/>
      <c r="F578" s="78"/>
      <c r="G578" s="67"/>
      <c r="H578" s="319"/>
      <c r="I578" s="319"/>
      <c r="J578" s="78"/>
      <c r="K578" s="58"/>
      <c r="L578" s="319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  <c r="EM578" s="58"/>
      <c r="EN578" s="58"/>
      <c r="EO578" s="58"/>
      <c r="EP578" s="58"/>
      <c r="EQ578" s="58"/>
      <c r="ER578" s="58"/>
      <c r="ES578" s="58"/>
      <c r="ET578" s="58"/>
      <c r="EU578" s="58"/>
      <c r="EV578" s="58"/>
      <c r="EW578" s="58"/>
      <c r="EX578" s="58"/>
      <c r="EY578" s="58"/>
      <c r="EZ578" s="58"/>
      <c r="FA578" s="58"/>
      <c r="FB578" s="58"/>
      <c r="FC578" s="58"/>
      <c r="FD578" s="58"/>
      <c r="FE578" s="58"/>
      <c r="FF578" s="58"/>
      <c r="FG578" s="58"/>
      <c r="FH578" s="58"/>
      <c r="FI578" s="58"/>
      <c r="FJ578" s="58"/>
      <c r="FK578" s="58"/>
      <c r="FL578" s="58"/>
      <c r="FM578" s="58"/>
      <c r="FN578" s="58"/>
      <c r="FO578" s="58"/>
      <c r="FP578" s="58"/>
      <c r="FQ578" s="58"/>
      <c r="FR578" s="58"/>
      <c r="FS578" s="58"/>
      <c r="FT578" s="58"/>
      <c r="FU578" s="58"/>
      <c r="FV578" s="58"/>
      <c r="FW578" s="58"/>
      <c r="FX578" s="58"/>
      <c r="FY578" s="58"/>
      <c r="FZ578" s="58"/>
      <c r="GA578" s="58"/>
      <c r="GB578" s="58"/>
      <c r="GC578" s="58"/>
      <c r="GD578" s="58"/>
      <c r="GE578" s="58"/>
      <c r="GF578" s="58"/>
      <c r="GG578" s="58"/>
      <c r="GH578" s="58"/>
      <c r="GI578" s="58"/>
      <c r="GJ578" s="58"/>
      <c r="GK578" s="58"/>
    </row>
    <row r="579" spans="1:193" s="74" customFormat="1">
      <c r="A579" s="78"/>
      <c r="B579" s="78"/>
      <c r="C579" s="78"/>
      <c r="D579" s="78"/>
      <c r="E579" s="78"/>
      <c r="F579" s="78"/>
      <c r="G579" s="67"/>
      <c r="H579" s="319"/>
      <c r="I579" s="319"/>
      <c r="J579" s="78"/>
      <c r="K579" s="58"/>
      <c r="L579" s="319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  <c r="EM579" s="58"/>
      <c r="EN579" s="58"/>
      <c r="EO579" s="58"/>
      <c r="EP579" s="58"/>
      <c r="EQ579" s="58"/>
      <c r="ER579" s="58"/>
      <c r="ES579" s="58"/>
      <c r="ET579" s="58"/>
      <c r="EU579" s="58"/>
      <c r="EV579" s="58"/>
      <c r="EW579" s="58"/>
      <c r="EX579" s="58"/>
      <c r="EY579" s="58"/>
      <c r="EZ579" s="58"/>
      <c r="FA579" s="58"/>
      <c r="FB579" s="58"/>
      <c r="FC579" s="58"/>
      <c r="FD579" s="58"/>
      <c r="FE579" s="58"/>
      <c r="FF579" s="58"/>
      <c r="FG579" s="58"/>
      <c r="FH579" s="58"/>
      <c r="FI579" s="58"/>
      <c r="FJ579" s="58"/>
      <c r="FK579" s="58"/>
      <c r="FL579" s="58"/>
      <c r="FM579" s="58"/>
      <c r="FN579" s="58"/>
      <c r="FO579" s="58"/>
      <c r="FP579" s="58"/>
      <c r="FQ579" s="58"/>
      <c r="FR579" s="58"/>
      <c r="FS579" s="58"/>
      <c r="FT579" s="58"/>
      <c r="FU579" s="58"/>
      <c r="FV579" s="58"/>
      <c r="FW579" s="58"/>
      <c r="FX579" s="58"/>
      <c r="FY579" s="58"/>
      <c r="FZ579" s="58"/>
      <c r="GA579" s="58"/>
      <c r="GB579" s="58"/>
      <c r="GC579" s="58"/>
      <c r="GD579" s="58"/>
      <c r="GE579" s="58"/>
      <c r="GF579" s="58"/>
      <c r="GG579" s="58"/>
      <c r="GH579" s="58"/>
      <c r="GI579" s="58"/>
      <c r="GJ579" s="58"/>
      <c r="GK579" s="58"/>
    </row>
    <row r="580" spans="1:193" s="74" customFormat="1">
      <c r="A580" s="78"/>
      <c r="B580" s="78"/>
      <c r="C580" s="78"/>
      <c r="D580" s="78"/>
      <c r="E580" s="78"/>
      <c r="F580" s="78"/>
      <c r="G580" s="67"/>
      <c r="H580" s="319"/>
      <c r="I580" s="319"/>
      <c r="J580" s="78"/>
      <c r="K580" s="58"/>
      <c r="L580" s="319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  <c r="EM580" s="58"/>
      <c r="EN580" s="58"/>
      <c r="EO580" s="58"/>
      <c r="EP580" s="58"/>
      <c r="EQ580" s="58"/>
      <c r="ER580" s="58"/>
      <c r="ES580" s="58"/>
      <c r="ET580" s="58"/>
      <c r="EU580" s="58"/>
      <c r="EV580" s="58"/>
      <c r="EW580" s="58"/>
      <c r="EX580" s="58"/>
      <c r="EY580" s="58"/>
      <c r="EZ580" s="58"/>
      <c r="FA580" s="58"/>
      <c r="FB580" s="58"/>
      <c r="FC580" s="58"/>
      <c r="FD580" s="58"/>
      <c r="FE580" s="58"/>
      <c r="FF580" s="58"/>
      <c r="FG580" s="58"/>
      <c r="FH580" s="58"/>
      <c r="FI580" s="58"/>
      <c r="FJ580" s="58"/>
      <c r="FK580" s="58"/>
      <c r="FL580" s="58"/>
      <c r="FM580" s="58"/>
      <c r="FN580" s="58"/>
      <c r="FO580" s="58"/>
      <c r="FP580" s="58"/>
      <c r="FQ580" s="58"/>
      <c r="FR580" s="58"/>
      <c r="FS580" s="58"/>
      <c r="FT580" s="58"/>
      <c r="FU580" s="58"/>
      <c r="FV580" s="58"/>
      <c r="FW580" s="58"/>
      <c r="FX580" s="58"/>
      <c r="FY580" s="58"/>
      <c r="FZ580" s="58"/>
      <c r="GA580" s="58"/>
      <c r="GB580" s="58"/>
      <c r="GC580" s="58"/>
      <c r="GD580" s="58"/>
      <c r="GE580" s="58"/>
      <c r="GF580" s="58"/>
      <c r="GG580" s="58"/>
      <c r="GH580" s="58"/>
      <c r="GI580" s="58"/>
      <c r="GJ580" s="58"/>
      <c r="GK580" s="58"/>
    </row>
    <row r="581" spans="1:193" s="74" customFormat="1">
      <c r="A581" s="78"/>
      <c r="B581" s="78"/>
      <c r="C581" s="78"/>
      <c r="D581" s="78"/>
      <c r="E581" s="78"/>
      <c r="F581" s="78"/>
      <c r="G581" s="67"/>
      <c r="H581" s="319"/>
      <c r="I581" s="319"/>
      <c r="J581" s="78"/>
      <c r="K581" s="58"/>
      <c r="L581" s="319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  <c r="EM581" s="58"/>
      <c r="EN581" s="58"/>
      <c r="EO581" s="58"/>
      <c r="EP581" s="58"/>
      <c r="EQ581" s="58"/>
      <c r="ER581" s="58"/>
      <c r="ES581" s="58"/>
      <c r="ET581" s="58"/>
      <c r="EU581" s="58"/>
      <c r="EV581" s="58"/>
      <c r="EW581" s="58"/>
      <c r="EX581" s="58"/>
      <c r="EY581" s="58"/>
      <c r="EZ581" s="58"/>
      <c r="FA581" s="58"/>
      <c r="FB581" s="58"/>
      <c r="FC581" s="58"/>
      <c r="FD581" s="58"/>
      <c r="FE581" s="58"/>
      <c r="FF581" s="58"/>
      <c r="FG581" s="58"/>
      <c r="FH581" s="58"/>
      <c r="FI581" s="58"/>
      <c r="FJ581" s="58"/>
      <c r="FK581" s="58"/>
      <c r="FL581" s="58"/>
      <c r="FM581" s="58"/>
      <c r="FN581" s="58"/>
      <c r="FO581" s="58"/>
      <c r="FP581" s="58"/>
      <c r="FQ581" s="58"/>
      <c r="FR581" s="58"/>
      <c r="FS581" s="58"/>
      <c r="FT581" s="58"/>
      <c r="FU581" s="58"/>
      <c r="FV581" s="58"/>
      <c r="FW581" s="58"/>
      <c r="FX581" s="58"/>
      <c r="FY581" s="58"/>
      <c r="FZ581" s="58"/>
      <c r="GA581" s="58"/>
      <c r="GB581" s="58"/>
      <c r="GC581" s="58"/>
      <c r="GD581" s="58"/>
      <c r="GE581" s="58"/>
      <c r="GF581" s="58"/>
      <c r="GG581" s="58"/>
      <c r="GH581" s="58"/>
      <c r="GI581" s="58"/>
      <c r="GJ581" s="58"/>
      <c r="GK581" s="58"/>
    </row>
    <row r="582" spans="1:193" s="74" customFormat="1">
      <c r="A582" s="78"/>
      <c r="B582" s="78"/>
      <c r="C582" s="78"/>
      <c r="D582" s="78"/>
      <c r="E582" s="78"/>
      <c r="F582" s="78"/>
      <c r="G582" s="67"/>
      <c r="H582" s="319"/>
      <c r="I582" s="319"/>
      <c r="J582" s="78"/>
      <c r="K582" s="58"/>
      <c r="L582" s="319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  <c r="EM582" s="58"/>
      <c r="EN582" s="58"/>
      <c r="EO582" s="58"/>
      <c r="EP582" s="58"/>
      <c r="EQ582" s="58"/>
      <c r="ER582" s="58"/>
      <c r="ES582" s="58"/>
      <c r="ET582" s="58"/>
      <c r="EU582" s="58"/>
      <c r="EV582" s="58"/>
      <c r="EW582" s="58"/>
      <c r="EX582" s="58"/>
      <c r="EY582" s="58"/>
      <c r="EZ582" s="58"/>
      <c r="FA582" s="58"/>
      <c r="FB582" s="58"/>
      <c r="FC582" s="58"/>
      <c r="FD582" s="58"/>
      <c r="FE582" s="58"/>
      <c r="FF582" s="58"/>
      <c r="FG582" s="58"/>
      <c r="FH582" s="58"/>
      <c r="FI582" s="58"/>
      <c r="FJ582" s="58"/>
      <c r="FK582" s="58"/>
      <c r="FL582" s="58"/>
      <c r="FM582" s="58"/>
      <c r="FN582" s="58"/>
      <c r="FO582" s="58"/>
      <c r="FP582" s="58"/>
      <c r="FQ582" s="58"/>
      <c r="FR582" s="58"/>
      <c r="FS582" s="58"/>
      <c r="FT582" s="58"/>
      <c r="FU582" s="58"/>
      <c r="FV582" s="58"/>
      <c r="FW582" s="58"/>
      <c r="FX582" s="58"/>
      <c r="FY582" s="58"/>
      <c r="FZ582" s="58"/>
      <c r="GA582" s="58"/>
      <c r="GB582" s="58"/>
      <c r="GC582" s="58"/>
      <c r="GD582" s="58"/>
      <c r="GE582" s="58"/>
      <c r="GF582" s="58"/>
      <c r="GG582" s="58"/>
      <c r="GH582" s="58"/>
      <c r="GI582" s="58"/>
      <c r="GJ582" s="58"/>
      <c r="GK582" s="58"/>
    </row>
    <row r="583" spans="1:193" s="74" customFormat="1">
      <c r="A583" s="78"/>
      <c r="B583" s="78"/>
      <c r="C583" s="78"/>
      <c r="D583" s="78"/>
      <c r="E583" s="78"/>
      <c r="F583" s="78"/>
      <c r="G583" s="67"/>
      <c r="H583" s="319"/>
      <c r="I583" s="319"/>
      <c r="J583" s="78"/>
      <c r="K583" s="58"/>
      <c r="L583" s="319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  <c r="EM583" s="58"/>
      <c r="EN583" s="58"/>
      <c r="EO583" s="58"/>
      <c r="EP583" s="58"/>
      <c r="EQ583" s="58"/>
      <c r="ER583" s="58"/>
      <c r="ES583" s="58"/>
      <c r="ET583" s="58"/>
      <c r="EU583" s="58"/>
      <c r="EV583" s="58"/>
      <c r="EW583" s="58"/>
      <c r="EX583" s="58"/>
      <c r="EY583" s="58"/>
      <c r="EZ583" s="58"/>
      <c r="FA583" s="58"/>
      <c r="FB583" s="58"/>
      <c r="FC583" s="58"/>
      <c r="FD583" s="58"/>
      <c r="FE583" s="58"/>
      <c r="FF583" s="58"/>
      <c r="FG583" s="58"/>
      <c r="FH583" s="58"/>
      <c r="FI583" s="58"/>
      <c r="FJ583" s="58"/>
      <c r="FK583" s="58"/>
      <c r="FL583" s="58"/>
      <c r="FM583" s="58"/>
      <c r="FN583" s="58"/>
      <c r="FO583" s="58"/>
      <c r="FP583" s="58"/>
      <c r="FQ583" s="58"/>
      <c r="FR583" s="58"/>
      <c r="FS583" s="58"/>
      <c r="FT583" s="58"/>
      <c r="FU583" s="58"/>
      <c r="FV583" s="58"/>
      <c r="FW583" s="58"/>
      <c r="FX583" s="58"/>
      <c r="FY583" s="58"/>
      <c r="FZ583" s="58"/>
      <c r="GA583" s="58"/>
      <c r="GB583" s="58"/>
      <c r="GC583" s="58"/>
      <c r="GD583" s="58"/>
      <c r="GE583" s="58"/>
      <c r="GF583" s="58"/>
      <c r="GG583" s="58"/>
      <c r="GH583" s="58"/>
      <c r="GI583" s="58"/>
      <c r="GJ583" s="58"/>
      <c r="GK583" s="58"/>
    </row>
    <row r="584" spans="1:193" s="74" customFormat="1">
      <c r="A584" s="78"/>
      <c r="B584" s="78"/>
      <c r="C584" s="78"/>
      <c r="D584" s="78"/>
      <c r="E584" s="78"/>
      <c r="F584" s="78"/>
      <c r="G584" s="67"/>
      <c r="H584" s="319"/>
      <c r="I584" s="319"/>
      <c r="J584" s="78"/>
      <c r="K584" s="58"/>
      <c r="L584" s="319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  <c r="EM584" s="58"/>
      <c r="EN584" s="58"/>
      <c r="EO584" s="58"/>
      <c r="EP584" s="58"/>
      <c r="EQ584" s="58"/>
      <c r="ER584" s="58"/>
      <c r="ES584" s="58"/>
      <c r="ET584" s="58"/>
      <c r="EU584" s="58"/>
      <c r="EV584" s="58"/>
      <c r="EW584" s="58"/>
      <c r="EX584" s="58"/>
      <c r="EY584" s="58"/>
      <c r="EZ584" s="58"/>
      <c r="FA584" s="58"/>
      <c r="FB584" s="58"/>
      <c r="FC584" s="58"/>
      <c r="FD584" s="58"/>
      <c r="FE584" s="58"/>
      <c r="FF584" s="58"/>
      <c r="FG584" s="58"/>
      <c r="FH584" s="58"/>
      <c r="FI584" s="58"/>
      <c r="FJ584" s="58"/>
      <c r="FK584" s="58"/>
      <c r="FL584" s="58"/>
      <c r="FM584" s="58"/>
      <c r="FN584" s="58"/>
      <c r="FO584" s="58"/>
      <c r="FP584" s="58"/>
      <c r="FQ584" s="58"/>
      <c r="FR584" s="58"/>
      <c r="FS584" s="58"/>
      <c r="FT584" s="58"/>
      <c r="FU584" s="58"/>
      <c r="FV584" s="58"/>
      <c r="FW584" s="58"/>
      <c r="FX584" s="58"/>
      <c r="FY584" s="58"/>
      <c r="FZ584" s="58"/>
      <c r="GA584" s="58"/>
      <c r="GB584" s="58"/>
      <c r="GC584" s="58"/>
      <c r="GD584" s="58"/>
      <c r="GE584" s="58"/>
      <c r="GF584" s="58"/>
      <c r="GG584" s="58"/>
      <c r="GH584" s="58"/>
      <c r="GI584" s="58"/>
      <c r="GJ584" s="58"/>
      <c r="GK584" s="58"/>
    </row>
    <row r="585" spans="1:193" s="74" customFormat="1">
      <c r="A585" s="78"/>
      <c r="B585" s="78"/>
      <c r="C585" s="78"/>
      <c r="D585" s="78"/>
      <c r="E585" s="78"/>
      <c r="F585" s="78"/>
      <c r="G585" s="67"/>
      <c r="H585" s="319"/>
      <c r="I585" s="319"/>
      <c r="J585" s="78"/>
      <c r="K585" s="58"/>
      <c r="L585" s="319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  <c r="EM585" s="58"/>
      <c r="EN585" s="58"/>
      <c r="EO585" s="58"/>
      <c r="EP585" s="58"/>
      <c r="EQ585" s="58"/>
      <c r="ER585" s="58"/>
      <c r="ES585" s="58"/>
      <c r="ET585" s="58"/>
      <c r="EU585" s="58"/>
      <c r="EV585" s="58"/>
      <c r="EW585" s="58"/>
      <c r="EX585" s="58"/>
      <c r="EY585" s="58"/>
      <c r="EZ585" s="58"/>
      <c r="FA585" s="58"/>
      <c r="FB585" s="58"/>
      <c r="FC585" s="58"/>
      <c r="FD585" s="58"/>
      <c r="FE585" s="58"/>
      <c r="FF585" s="58"/>
      <c r="FG585" s="58"/>
      <c r="FH585" s="58"/>
      <c r="FI585" s="58"/>
      <c r="FJ585" s="58"/>
      <c r="FK585" s="58"/>
      <c r="FL585" s="58"/>
      <c r="FM585" s="58"/>
      <c r="FN585" s="58"/>
      <c r="FO585" s="58"/>
      <c r="FP585" s="58"/>
      <c r="FQ585" s="58"/>
      <c r="FR585" s="58"/>
      <c r="FS585" s="58"/>
      <c r="FT585" s="58"/>
      <c r="FU585" s="58"/>
      <c r="FV585" s="58"/>
      <c r="FW585" s="58"/>
      <c r="FX585" s="58"/>
      <c r="FY585" s="58"/>
      <c r="FZ585" s="58"/>
      <c r="GA585" s="58"/>
      <c r="GB585" s="58"/>
      <c r="GC585" s="58"/>
      <c r="GD585" s="58"/>
      <c r="GE585" s="58"/>
      <c r="GF585" s="58"/>
      <c r="GG585" s="58"/>
      <c r="GH585" s="58"/>
      <c r="GI585" s="58"/>
      <c r="GJ585" s="58"/>
      <c r="GK585" s="58"/>
    </row>
    <row r="586" spans="1:193" s="74" customFormat="1">
      <c r="A586" s="78"/>
      <c r="B586" s="78"/>
      <c r="C586" s="78"/>
      <c r="D586" s="78"/>
      <c r="E586" s="78"/>
      <c r="F586" s="78"/>
      <c r="G586" s="67"/>
      <c r="H586" s="319"/>
      <c r="I586" s="319"/>
      <c r="J586" s="78"/>
      <c r="K586" s="58"/>
      <c r="L586" s="319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  <c r="EM586" s="58"/>
      <c r="EN586" s="58"/>
      <c r="EO586" s="58"/>
      <c r="EP586" s="58"/>
      <c r="EQ586" s="58"/>
      <c r="ER586" s="58"/>
      <c r="ES586" s="58"/>
      <c r="ET586" s="58"/>
      <c r="EU586" s="58"/>
      <c r="EV586" s="58"/>
      <c r="EW586" s="58"/>
      <c r="EX586" s="58"/>
      <c r="EY586" s="58"/>
      <c r="EZ586" s="58"/>
      <c r="FA586" s="58"/>
      <c r="FB586" s="58"/>
      <c r="FC586" s="58"/>
      <c r="FD586" s="58"/>
      <c r="FE586" s="58"/>
      <c r="FF586" s="58"/>
      <c r="FG586" s="58"/>
      <c r="FH586" s="58"/>
      <c r="FI586" s="58"/>
      <c r="FJ586" s="58"/>
      <c r="FK586" s="58"/>
      <c r="FL586" s="58"/>
      <c r="FM586" s="58"/>
      <c r="FN586" s="58"/>
      <c r="FO586" s="58"/>
      <c r="FP586" s="58"/>
      <c r="FQ586" s="58"/>
      <c r="FR586" s="58"/>
      <c r="FS586" s="58"/>
      <c r="FT586" s="58"/>
      <c r="FU586" s="58"/>
      <c r="FV586" s="58"/>
      <c r="FW586" s="58"/>
      <c r="FX586" s="58"/>
      <c r="FY586" s="58"/>
      <c r="FZ586" s="58"/>
      <c r="GA586" s="58"/>
      <c r="GB586" s="58"/>
      <c r="GC586" s="58"/>
      <c r="GD586" s="58"/>
      <c r="GE586" s="58"/>
      <c r="GF586" s="58"/>
      <c r="GG586" s="58"/>
      <c r="GH586" s="58"/>
      <c r="GI586" s="58"/>
      <c r="GJ586" s="58"/>
      <c r="GK586" s="58"/>
    </row>
    <row r="587" spans="1:193" s="74" customFormat="1">
      <c r="A587" s="78"/>
      <c r="B587" s="78"/>
      <c r="C587" s="78"/>
      <c r="D587" s="78"/>
      <c r="E587" s="78"/>
      <c r="F587" s="78"/>
      <c r="G587" s="67"/>
      <c r="H587" s="319"/>
      <c r="I587" s="319"/>
      <c r="J587" s="78"/>
      <c r="K587" s="58"/>
      <c r="L587" s="319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  <c r="EM587" s="58"/>
      <c r="EN587" s="58"/>
      <c r="EO587" s="58"/>
      <c r="EP587" s="58"/>
      <c r="EQ587" s="58"/>
      <c r="ER587" s="58"/>
      <c r="ES587" s="58"/>
      <c r="ET587" s="58"/>
      <c r="EU587" s="58"/>
      <c r="EV587" s="58"/>
      <c r="EW587" s="58"/>
      <c r="EX587" s="58"/>
      <c r="EY587" s="58"/>
      <c r="EZ587" s="58"/>
      <c r="FA587" s="58"/>
      <c r="FB587" s="58"/>
      <c r="FC587" s="58"/>
      <c r="FD587" s="58"/>
      <c r="FE587" s="58"/>
      <c r="FF587" s="58"/>
      <c r="FG587" s="58"/>
      <c r="FH587" s="58"/>
      <c r="FI587" s="58"/>
      <c r="FJ587" s="58"/>
      <c r="FK587" s="58"/>
      <c r="FL587" s="58"/>
      <c r="FM587" s="58"/>
      <c r="FN587" s="58"/>
      <c r="FO587" s="58"/>
      <c r="FP587" s="58"/>
      <c r="FQ587" s="58"/>
      <c r="FR587" s="58"/>
      <c r="FS587" s="58"/>
      <c r="FT587" s="58"/>
      <c r="FU587" s="58"/>
      <c r="FV587" s="58"/>
      <c r="FW587" s="58"/>
      <c r="FX587" s="58"/>
      <c r="FY587" s="58"/>
      <c r="FZ587" s="58"/>
      <c r="GA587" s="58"/>
      <c r="GB587" s="58"/>
      <c r="GC587" s="58"/>
      <c r="GD587" s="58"/>
      <c r="GE587" s="58"/>
      <c r="GF587" s="58"/>
      <c r="GG587" s="58"/>
      <c r="GH587" s="58"/>
      <c r="GI587" s="58"/>
      <c r="GJ587" s="58"/>
      <c r="GK587" s="58"/>
    </row>
    <row r="588" spans="1:193" s="74" customFormat="1">
      <c r="A588" s="78"/>
      <c r="B588" s="78"/>
      <c r="C588" s="78"/>
      <c r="D588" s="78"/>
      <c r="E588" s="78"/>
      <c r="F588" s="78"/>
      <c r="G588" s="67"/>
      <c r="H588" s="319"/>
      <c r="I588" s="319"/>
      <c r="J588" s="78"/>
      <c r="K588" s="58"/>
      <c r="L588" s="319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  <c r="EM588" s="58"/>
      <c r="EN588" s="58"/>
      <c r="EO588" s="58"/>
      <c r="EP588" s="58"/>
      <c r="EQ588" s="58"/>
      <c r="ER588" s="58"/>
      <c r="ES588" s="58"/>
      <c r="ET588" s="58"/>
      <c r="EU588" s="58"/>
      <c r="EV588" s="58"/>
      <c r="EW588" s="58"/>
      <c r="EX588" s="58"/>
      <c r="EY588" s="58"/>
      <c r="EZ588" s="58"/>
      <c r="FA588" s="58"/>
      <c r="FB588" s="58"/>
      <c r="FC588" s="58"/>
      <c r="FD588" s="58"/>
      <c r="FE588" s="58"/>
      <c r="FF588" s="58"/>
      <c r="FG588" s="58"/>
      <c r="FH588" s="58"/>
      <c r="FI588" s="58"/>
      <c r="FJ588" s="58"/>
      <c r="FK588" s="58"/>
      <c r="FL588" s="58"/>
      <c r="FM588" s="58"/>
      <c r="FN588" s="58"/>
      <c r="FO588" s="58"/>
      <c r="FP588" s="58"/>
      <c r="FQ588" s="58"/>
      <c r="FR588" s="58"/>
      <c r="FS588" s="58"/>
      <c r="FT588" s="58"/>
      <c r="FU588" s="58"/>
      <c r="FV588" s="58"/>
      <c r="FW588" s="58"/>
      <c r="FX588" s="58"/>
      <c r="FY588" s="58"/>
      <c r="FZ588" s="58"/>
      <c r="GA588" s="58"/>
      <c r="GB588" s="58"/>
      <c r="GC588" s="58"/>
      <c r="GD588" s="58"/>
      <c r="GE588" s="58"/>
      <c r="GF588" s="58"/>
      <c r="GG588" s="58"/>
      <c r="GH588" s="58"/>
      <c r="GI588" s="58"/>
      <c r="GJ588" s="58"/>
      <c r="GK588" s="58"/>
    </row>
    <row r="589" spans="1:193" s="74" customFormat="1">
      <c r="A589" s="78"/>
      <c r="B589" s="78"/>
      <c r="C589" s="78"/>
      <c r="D589" s="78"/>
      <c r="E589" s="78"/>
      <c r="F589" s="78"/>
      <c r="G589" s="67"/>
      <c r="H589" s="319"/>
      <c r="I589" s="319"/>
      <c r="J589" s="78"/>
      <c r="K589" s="58"/>
      <c r="L589" s="319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  <c r="EM589" s="58"/>
      <c r="EN589" s="58"/>
      <c r="EO589" s="58"/>
      <c r="EP589" s="58"/>
      <c r="EQ589" s="58"/>
      <c r="ER589" s="58"/>
      <c r="ES589" s="58"/>
      <c r="ET589" s="58"/>
      <c r="EU589" s="58"/>
      <c r="EV589" s="58"/>
      <c r="EW589" s="58"/>
      <c r="EX589" s="58"/>
      <c r="EY589" s="58"/>
      <c r="EZ589" s="58"/>
      <c r="FA589" s="58"/>
      <c r="FB589" s="58"/>
      <c r="FC589" s="58"/>
      <c r="FD589" s="58"/>
      <c r="FE589" s="58"/>
      <c r="FF589" s="58"/>
      <c r="FG589" s="58"/>
      <c r="FH589" s="58"/>
      <c r="FI589" s="58"/>
      <c r="FJ589" s="58"/>
      <c r="FK589" s="58"/>
      <c r="FL589" s="58"/>
      <c r="FM589" s="58"/>
      <c r="FN589" s="58"/>
      <c r="FO589" s="58"/>
      <c r="FP589" s="58"/>
      <c r="FQ589" s="58"/>
      <c r="FR589" s="58"/>
      <c r="FS589" s="58"/>
      <c r="FT589" s="58"/>
      <c r="FU589" s="58"/>
      <c r="FV589" s="58"/>
      <c r="FW589" s="58"/>
      <c r="FX589" s="58"/>
      <c r="FY589" s="58"/>
      <c r="FZ589" s="58"/>
      <c r="GA589" s="58"/>
      <c r="GB589" s="58"/>
      <c r="GC589" s="58"/>
      <c r="GD589" s="58"/>
      <c r="GE589" s="58"/>
      <c r="GF589" s="58"/>
      <c r="GG589" s="58"/>
      <c r="GH589" s="58"/>
      <c r="GI589" s="58"/>
      <c r="GJ589" s="58"/>
      <c r="GK589" s="58"/>
    </row>
    <row r="590" spans="1:193" s="74" customFormat="1">
      <c r="A590" s="78"/>
      <c r="B590" s="78"/>
      <c r="C590" s="78"/>
      <c r="D590" s="78"/>
      <c r="E590" s="78"/>
      <c r="F590" s="78"/>
      <c r="G590" s="67"/>
      <c r="H590" s="319"/>
      <c r="I590" s="319"/>
      <c r="J590" s="78"/>
      <c r="K590" s="58"/>
      <c r="L590" s="319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  <c r="EM590" s="58"/>
      <c r="EN590" s="58"/>
      <c r="EO590" s="58"/>
      <c r="EP590" s="58"/>
      <c r="EQ590" s="58"/>
      <c r="ER590" s="58"/>
      <c r="ES590" s="58"/>
      <c r="ET590" s="58"/>
      <c r="EU590" s="58"/>
      <c r="EV590" s="58"/>
      <c r="EW590" s="58"/>
      <c r="EX590" s="58"/>
      <c r="EY590" s="58"/>
      <c r="EZ590" s="58"/>
      <c r="FA590" s="58"/>
      <c r="FB590" s="58"/>
      <c r="FC590" s="58"/>
      <c r="FD590" s="58"/>
      <c r="FE590" s="58"/>
      <c r="FF590" s="58"/>
      <c r="FG590" s="58"/>
      <c r="FH590" s="58"/>
      <c r="FI590" s="58"/>
      <c r="FJ590" s="58"/>
      <c r="FK590" s="58"/>
      <c r="FL590" s="58"/>
      <c r="FM590" s="58"/>
      <c r="FN590" s="58"/>
      <c r="FO590" s="58"/>
      <c r="FP590" s="58"/>
      <c r="FQ590" s="58"/>
      <c r="FR590" s="58"/>
      <c r="FS590" s="58"/>
      <c r="FT590" s="58"/>
      <c r="FU590" s="58"/>
      <c r="FV590" s="58"/>
      <c r="FW590" s="58"/>
      <c r="FX590" s="58"/>
      <c r="FY590" s="58"/>
      <c r="FZ590" s="58"/>
      <c r="GA590" s="58"/>
      <c r="GB590" s="58"/>
      <c r="GC590" s="58"/>
      <c r="GD590" s="58"/>
      <c r="GE590" s="58"/>
      <c r="GF590" s="58"/>
      <c r="GG590" s="58"/>
      <c r="GH590" s="58"/>
      <c r="GI590" s="58"/>
      <c r="GJ590" s="58"/>
      <c r="GK590" s="58"/>
    </row>
    <row r="591" spans="1:193" s="74" customFormat="1">
      <c r="A591" s="78"/>
      <c r="B591" s="78"/>
      <c r="C591" s="78"/>
      <c r="D591" s="78"/>
      <c r="E591" s="78"/>
      <c r="F591" s="78"/>
      <c r="G591" s="67"/>
      <c r="H591" s="319"/>
      <c r="I591" s="319"/>
      <c r="J591" s="78"/>
      <c r="K591" s="58"/>
      <c r="L591" s="319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  <c r="EM591" s="58"/>
      <c r="EN591" s="58"/>
      <c r="EO591" s="58"/>
      <c r="EP591" s="58"/>
      <c r="EQ591" s="58"/>
      <c r="ER591" s="58"/>
      <c r="ES591" s="58"/>
      <c r="ET591" s="58"/>
      <c r="EU591" s="58"/>
      <c r="EV591" s="58"/>
      <c r="EW591" s="58"/>
      <c r="EX591" s="58"/>
      <c r="EY591" s="58"/>
      <c r="EZ591" s="58"/>
      <c r="FA591" s="58"/>
      <c r="FB591" s="58"/>
      <c r="FC591" s="58"/>
      <c r="FD591" s="58"/>
      <c r="FE591" s="58"/>
      <c r="FF591" s="58"/>
      <c r="FG591" s="58"/>
      <c r="FH591" s="58"/>
      <c r="FI591" s="58"/>
      <c r="FJ591" s="58"/>
      <c r="FK591" s="58"/>
      <c r="FL591" s="58"/>
      <c r="FM591" s="58"/>
      <c r="FN591" s="58"/>
      <c r="FO591" s="58"/>
      <c r="FP591" s="58"/>
      <c r="FQ591" s="58"/>
      <c r="FR591" s="58"/>
      <c r="FS591" s="58"/>
      <c r="FT591" s="58"/>
      <c r="FU591" s="58"/>
      <c r="FV591" s="58"/>
      <c r="FW591" s="58"/>
      <c r="FX591" s="58"/>
      <c r="FY591" s="58"/>
      <c r="FZ591" s="58"/>
      <c r="GA591" s="58"/>
      <c r="GB591" s="58"/>
      <c r="GC591" s="58"/>
      <c r="GD591" s="58"/>
      <c r="GE591" s="58"/>
      <c r="GF591" s="58"/>
      <c r="GG591" s="58"/>
      <c r="GH591" s="58"/>
      <c r="GI591" s="58"/>
      <c r="GJ591" s="58"/>
      <c r="GK591" s="58"/>
    </row>
    <row r="592" spans="1:193" s="74" customFormat="1">
      <c r="A592" s="78"/>
      <c r="B592" s="78"/>
      <c r="C592" s="78"/>
      <c r="D592" s="78"/>
      <c r="E592" s="78"/>
      <c r="F592" s="78"/>
      <c r="G592" s="67"/>
      <c r="H592" s="319"/>
      <c r="I592" s="319"/>
      <c r="J592" s="78"/>
      <c r="K592" s="58"/>
      <c r="L592" s="319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  <c r="EM592" s="58"/>
      <c r="EN592" s="58"/>
      <c r="EO592" s="58"/>
      <c r="EP592" s="58"/>
      <c r="EQ592" s="58"/>
      <c r="ER592" s="58"/>
      <c r="ES592" s="58"/>
      <c r="ET592" s="58"/>
      <c r="EU592" s="58"/>
      <c r="EV592" s="58"/>
      <c r="EW592" s="58"/>
      <c r="EX592" s="58"/>
      <c r="EY592" s="58"/>
      <c r="EZ592" s="58"/>
      <c r="FA592" s="58"/>
      <c r="FB592" s="58"/>
      <c r="FC592" s="58"/>
      <c r="FD592" s="58"/>
      <c r="FE592" s="58"/>
      <c r="FF592" s="58"/>
      <c r="FG592" s="58"/>
      <c r="FH592" s="58"/>
      <c r="FI592" s="58"/>
      <c r="FJ592" s="58"/>
      <c r="FK592" s="58"/>
      <c r="FL592" s="58"/>
      <c r="FM592" s="58"/>
      <c r="FN592" s="58"/>
      <c r="FO592" s="58"/>
      <c r="FP592" s="58"/>
      <c r="FQ592" s="58"/>
      <c r="FR592" s="58"/>
      <c r="FS592" s="58"/>
      <c r="FT592" s="58"/>
      <c r="FU592" s="58"/>
      <c r="FV592" s="58"/>
      <c r="FW592" s="58"/>
      <c r="FX592" s="58"/>
      <c r="FY592" s="58"/>
      <c r="FZ592" s="58"/>
      <c r="GA592" s="58"/>
      <c r="GB592" s="58"/>
      <c r="GC592" s="58"/>
      <c r="GD592" s="58"/>
      <c r="GE592" s="58"/>
      <c r="GF592" s="58"/>
      <c r="GG592" s="58"/>
      <c r="GH592" s="58"/>
      <c r="GI592" s="58"/>
      <c r="GJ592" s="58"/>
      <c r="GK592" s="58"/>
    </row>
    <row r="593" spans="1:193" s="74" customFormat="1">
      <c r="A593" s="78"/>
      <c r="B593" s="78"/>
      <c r="C593" s="78"/>
      <c r="D593" s="78"/>
      <c r="E593" s="78"/>
      <c r="F593" s="78"/>
      <c r="G593" s="67"/>
      <c r="H593" s="319"/>
      <c r="I593" s="319"/>
      <c r="J593" s="78"/>
      <c r="K593" s="58"/>
      <c r="L593" s="319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  <c r="EM593" s="58"/>
      <c r="EN593" s="58"/>
      <c r="EO593" s="58"/>
      <c r="EP593" s="58"/>
      <c r="EQ593" s="58"/>
      <c r="ER593" s="58"/>
      <c r="ES593" s="58"/>
      <c r="ET593" s="58"/>
      <c r="EU593" s="58"/>
      <c r="EV593" s="58"/>
      <c r="EW593" s="58"/>
      <c r="EX593" s="58"/>
      <c r="EY593" s="58"/>
      <c r="EZ593" s="58"/>
      <c r="FA593" s="58"/>
      <c r="FB593" s="58"/>
      <c r="FC593" s="58"/>
      <c r="FD593" s="58"/>
      <c r="FE593" s="58"/>
      <c r="FF593" s="58"/>
      <c r="FG593" s="58"/>
      <c r="FH593" s="58"/>
      <c r="FI593" s="58"/>
      <c r="FJ593" s="58"/>
      <c r="FK593" s="58"/>
      <c r="FL593" s="58"/>
      <c r="FM593" s="58"/>
      <c r="FN593" s="58"/>
      <c r="FO593" s="58"/>
      <c r="FP593" s="58"/>
      <c r="FQ593" s="58"/>
      <c r="FR593" s="58"/>
      <c r="FS593" s="58"/>
      <c r="FT593" s="58"/>
      <c r="FU593" s="58"/>
      <c r="FV593" s="58"/>
      <c r="FW593" s="58"/>
      <c r="FX593" s="58"/>
      <c r="FY593" s="58"/>
      <c r="FZ593" s="58"/>
      <c r="GA593" s="58"/>
      <c r="GB593" s="58"/>
      <c r="GC593" s="58"/>
      <c r="GD593" s="58"/>
      <c r="GE593" s="58"/>
      <c r="GF593" s="58"/>
      <c r="GG593" s="58"/>
      <c r="GH593" s="58"/>
      <c r="GI593" s="58"/>
      <c r="GJ593" s="58"/>
      <c r="GK593" s="58"/>
    </row>
  </sheetData>
  <mergeCells count="6">
    <mergeCell ref="L1:L2"/>
    <mergeCell ref="A1:F1"/>
    <mergeCell ref="G1:G2"/>
    <mergeCell ref="H1:H2"/>
    <mergeCell ref="J1:J2"/>
    <mergeCell ref="I1:I2"/>
  </mergeCells>
  <printOptions horizontalCentered="1"/>
  <pageMargins left="0.59055118110236227" right="0.31496062992125984" top="0.35433070866141736" bottom="0.43307086614173229" header="0.19685039370078741" footer="0.19685039370078741"/>
  <pageSetup paperSize="9" scale="5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0"/>
  <sheetViews>
    <sheetView zoomScale="130" zoomScaleNormal="130" workbookViewId="0">
      <pane ySplit="4" topLeftCell="A5" activePane="bottomLeft" state="frozen"/>
      <selection pane="bottomLeft" sqref="A1:J1"/>
    </sheetView>
  </sheetViews>
  <sheetFormatPr defaultColWidth="9.140625" defaultRowHeight="12.75"/>
  <cols>
    <col min="1" max="2" width="3.42578125" style="512" customWidth="1"/>
    <col min="3" max="4" width="2.7109375" style="512" customWidth="1"/>
    <col min="5" max="5" width="3.42578125" style="512" customWidth="1"/>
    <col min="6" max="6" width="40.7109375" style="381" customWidth="1"/>
    <col min="7" max="7" width="11.42578125" style="412" hidden="1" customWidth="1"/>
    <col min="8" max="8" width="13" style="412" bestFit="1" customWidth="1"/>
    <col min="9" max="9" width="13.85546875" style="510" customWidth="1"/>
    <col min="10" max="11" width="13" style="510" bestFit="1" customWidth="1"/>
    <col min="12" max="12" width="7.7109375" style="511" customWidth="1"/>
    <col min="13" max="13" width="9.140625" style="381"/>
    <col min="14" max="14" width="13.85546875" style="381" bestFit="1" customWidth="1"/>
    <col min="15" max="16" width="9.140625" style="381"/>
    <col min="17" max="17" width="12.7109375" style="381" bestFit="1" customWidth="1"/>
    <col min="18" max="18" width="9.140625" style="381"/>
    <col min="19" max="19" width="10.85546875" style="381" bestFit="1" customWidth="1"/>
    <col min="20" max="16384" width="9.140625" style="381"/>
  </cols>
  <sheetData>
    <row r="1" spans="1:20" ht="32.25" customHeight="1" thickBot="1">
      <c r="A1" s="1022" t="s">
        <v>2133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06" t="s">
        <v>2134</v>
      </c>
      <c r="L1" s="1007"/>
    </row>
    <row r="2" spans="1:20" ht="7.5" customHeight="1" thickBot="1">
      <c r="A2" s="382"/>
      <c r="B2" s="382"/>
      <c r="C2" s="382"/>
      <c r="D2" s="382"/>
      <c r="E2" s="382"/>
      <c r="F2" s="383"/>
      <c r="G2" s="384"/>
      <c r="H2" s="384"/>
      <c r="I2" s="385"/>
      <c r="J2" s="386"/>
      <c r="K2" s="387"/>
      <c r="L2" s="388"/>
    </row>
    <row r="3" spans="1:20" ht="13.15" customHeight="1">
      <c r="A3" s="1024" t="s">
        <v>2128</v>
      </c>
      <c r="B3" s="1025"/>
      <c r="C3" s="1025"/>
      <c r="D3" s="1025"/>
      <c r="E3" s="1025"/>
      <c r="F3" s="1025"/>
      <c r="G3" s="1025"/>
      <c r="H3" s="1025"/>
      <c r="I3" s="960" t="s">
        <v>3488</v>
      </c>
      <c r="J3" s="960" t="s">
        <v>3487</v>
      </c>
      <c r="K3" s="1013" t="s">
        <v>3476</v>
      </c>
      <c r="L3" s="1014"/>
    </row>
    <row r="4" spans="1:20" s="390" customFormat="1" ht="39.75" customHeight="1">
      <c r="A4" s="1026"/>
      <c r="B4" s="1027"/>
      <c r="C4" s="1027"/>
      <c r="D4" s="1027"/>
      <c r="E4" s="1027"/>
      <c r="F4" s="1027"/>
      <c r="G4" s="1028"/>
      <c r="H4" s="1027"/>
      <c r="I4" s="961"/>
      <c r="J4" s="961"/>
      <c r="K4" s="378" t="s">
        <v>2</v>
      </c>
      <c r="L4" s="389" t="s">
        <v>3</v>
      </c>
    </row>
    <row r="5" spans="1:20">
      <c r="A5" s="391"/>
      <c r="B5" s="392"/>
      <c r="C5" s="392"/>
      <c r="D5" s="392"/>
      <c r="E5" s="392"/>
      <c r="F5" s="393"/>
      <c r="G5" s="394"/>
      <c r="H5" s="395"/>
      <c r="I5" s="396"/>
      <c r="J5" s="396"/>
      <c r="K5" s="396"/>
      <c r="L5" s="397"/>
    </row>
    <row r="6" spans="1:20" s="405" customFormat="1" ht="11.25">
      <c r="A6" s="398" t="s">
        <v>4</v>
      </c>
      <c r="B6" s="327" t="s">
        <v>2135</v>
      </c>
      <c r="C6" s="399"/>
      <c r="D6" s="399"/>
      <c r="E6" s="399"/>
      <c r="F6" s="400"/>
      <c r="G6" s="401"/>
      <c r="H6" s="401"/>
      <c r="I6" s="402"/>
      <c r="J6" s="403"/>
      <c r="K6" s="403"/>
      <c r="L6" s="404"/>
    </row>
    <row r="7" spans="1:20" s="405" customFormat="1" ht="11.25">
      <c r="A7" s="406"/>
      <c r="B7" s="399" t="s">
        <v>123</v>
      </c>
      <c r="C7" s="407" t="s">
        <v>2136</v>
      </c>
      <c r="D7" s="399"/>
      <c r="E7" s="399"/>
      <c r="F7" s="400"/>
      <c r="G7" s="401"/>
      <c r="H7" s="401"/>
      <c r="I7" s="402">
        <f>SUM(I8:I12)</f>
        <v>1409037</v>
      </c>
      <c r="J7" s="402">
        <f>SUM(J8:J12)</f>
        <v>1403805</v>
      </c>
      <c r="K7" s="346">
        <f>+I7-J7</f>
        <v>5232</v>
      </c>
      <c r="L7" s="404">
        <f>IF(J7=0,"-    ",K7/J7)</f>
        <v>3.7270133672411766E-3</v>
      </c>
    </row>
    <row r="8" spans="1:20" s="412" customFormat="1" ht="11.25">
      <c r="A8" s="398"/>
      <c r="B8" s="399"/>
      <c r="C8" s="408" t="s">
        <v>86</v>
      </c>
      <c r="D8" s="321" t="s">
        <v>2137</v>
      </c>
      <c r="E8" s="399"/>
      <c r="F8" s="409"/>
      <c r="G8" s="410"/>
      <c r="H8" s="410"/>
      <c r="I8" s="411">
        <f>ROUND(+'SP Min'!D30-'SP Min'!D52,0)</f>
        <v>0</v>
      </c>
      <c r="J8" s="411">
        <f>ROUND(+'SP Min'!E30-'SP Min'!E52,0)</f>
        <v>0</v>
      </c>
      <c r="K8" s="346">
        <f t="shared" ref="K8:K37" si="0">+I8-J8</f>
        <v>0</v>
      </c>
      <c r="L8" s="467" t="str">
        <f t="shared" ref="L8:L37" si="1">IF(J8=0,"-    ",K8/J8)</f>
        <v xml:space="preserve">-    </v>
      </c>
    </row>
    <row r="9" spans="1:20" s="412" customFormat="1" ht="11.25">
      <c r="A9" s="413"/>
      <c r="B9" s="399"/>
      <c r="C9" s="408" t="s">
        <v>88</v>
      </c>
      <c r="D9" s="321" t="s">
        <v>2138</v>
      </c>
      <c r="E9" s="399"/>
      <c r="F9" s="414"/>
      <c r="G9" s="410"/>
      <c r="H9" s="410"/>
      <c r="I9" s="329">
        <f>ROUND(+'SP Min'!D33-'SP Min'!D53,0)</f>
        <v>0</v>
      </c>
      <c r="J9" s="329">
        <f>ROUND(+'SP Min'!E33-'SP Min'!E53,0)</f>
        <v>0</v>
      </c>
      <c r="K9" s="346">
        <f t="shared" si="0"/>
        <v>0</v>
      </c>
      <c r="L9" s="467" t="str">
        <f t="shared" si="1"/>
        <v xml:space="preserve">-    </v>
      </c>
    </row>
    <row r="10" spans="1:20" s="412" customFormat="1" ht="11.25">
      <c r="A10" s="413"/>
      <c r="B10" s="399"/>
      <c r="C10" s="408" t="s">
        <v>116</v>
      </c>
      <c r="D10" s="321" t="s">
        <v>2139</v>
      </c>
      <c r="E10" s="399"/>
      <c r="F10" s="414"/>
      <c r="G10" s="410"/>
      <c r="H10" s="410"/>
      <c r="I10" s="329">
        <f>ROUND(+'SP Min'!D36-'SP Min'!D54,0)</f>
        <v>7279</v>
      </c>
      <c r="J10" s="329">
        <f>ROUND(+'SP Min'!E36-'SP Min'!E54,0)</f>
        <v>1558</v>
      </c>
      <c r="K10" s="346">
        <f t="shared" si="0"/>
        <v>5721</v>
      </c>
      <c r="L10" s="467">
        <f t="shared" si="1"/>
        <v>3.6720154043645699</v>
      </c>
      <c r="Q10" s="416"/>
      <c r="R10" s="416"/>
      <c r="S10" s="416"/>
      <c r="T10" s="416"/>
    </row>
    <row r="11" spans="1:20" s="412" customFormat="1" ht="11.25">
      <c r="A11" s="413"/>
      <c r="B11" s="399"/>
      <c r="C11" s="408" t="s">
        <v>2140</v>
      </c>
      <c r="D11" s="321" t="s">
        <v>2141</v>
      </c>
      <c r="E11" s="399"/>
      <c r="F11" s="414"/>
      <c r="G11" s="410"/>
      <c r="H11" s="410"/>
      <c r="I11" s="329">
        <f>ROUND(+'SP Min'!D41,0)</f>
        <v>92312</v>
      </c>
      <c r="J11" s="329">
        <f>ROUND(+'SP Min'!E41,0)</f>
        <v>37480</v>
      </c>
      <c r="K11" s="346">
        <f t="shared" si="0"/>
        <v>54832</v>
      </c>
      <c r="L11" s="467">
        <f t="shared" si="1"/>
        <v>1.4629669156883671</v>
      </c>
      <c r="Q11" s="416"/>
      <c r="R11" s="416"/>
      <c r="S11" s="416"/>
      <c r="T11" s="416"/>
    </row>
    <row r="12" spans="1:20" s="412" customFormat="1" ht="11.25">
      <c r="A12" s="413"/>
      <c r="B12" s="399"/>
      <c r="C12" s="408" t="s">
        <v>2142</v>
      </c>
      <c r="D12" s="321" t="s">
        <v>2143</v>
      </c>
      <c r="E12" s="399"/>
      <c r="F12" s="414"/>
      <c r="G12" s="410"/>
      <c r="H12" s="410"/>
      <c r="I12" s="329">
        <f>ROUND(+'SP Min'!D42-'SP Min'!D55,0)</f>
        <v>1309446</v>
      </c>
      <c r="J12" s="329">
        <f>ROUND(+'SP Min'!E42-'SP Min'!E55,0)</f>
        <v>1364767</v>
      </c>
      <c r="K12" s="346">
        <f t="shared" si="0"/>
        <v>-55321</v>
      </c>
      <c r="L12" s="467">
        <f t="shared" si="1"/>
        <v>-4.053512431059661E-2</v>
      </c>
      <c r="Q12" s="416"/>
      <c r="R12" s="416"/>
      <c r="S12" s="416"/>
      <c r="T12" s="416"/>
    </row>
    <row r="13" spans="1:20" s="405" customFormat="1" ht="11.25">
      <c r="A13" s="406"/>
      <c r="B13" s="399" t="s">
        <v>124</v>
      </c>
      <c r="C13" s="417" t="s">
        <v>2144</v>
      </c>
      <c r="D13" s="399"/>
      <c r="E13" s="399"/>
      <c r="F13" s="400"/>
      <c r="G13" s="401"/>
      <c r="H13" s="401"/>
      <c r="I13" s="347">
        <f>I14+I17+SUM(I20:I26)</f>
        <v>326132408</v>
      </c>
      <c r="J13" s="347">
        <f>J14+J17+SUM(J20:J26)</f>
        <v>329197026</v>
      </c>
      <c r="K13" s="346">
        <f t="shared" si="0"/>
        <v>-3064618</v>
      </c>
      <c r="L13" s="404">
        <f t="shared" si="1"/>
        <v>-9.3093732869871069E-3</v>
      </c>
      <c r="Q13" s="418"/>
      <c r="R13" s="418"/>
      <c r="S13" s="418"/>
      <c r="T13" s="418"/>
    </row>
    <row r="14" spans="1:20" s="412" customFormat="1" ht="11.25">
      <c r="A14" s="398"/>
      <c r="B14" s="399"/>
      <c r="C14" s="408" t="s">
        <v>86</v>
      </c>
      <c r="D14" s="321" t="s">
        <v>2145</v>
      </c>
      <c r="E14" s="408"/>
      <c r="F14" s="419"/>
      <c r="G14" s="410"/>
      <c r="H14" s="410"/>
      <c r="I14" s="329">
        <f>SUM(I15:I16)</f>
        <v>1843437</v>
      </c>
      <c r="J14" s="329">
        <f>SUM(J15:J16)</f>
        <v>1843437</v>
      </c>
      <c r="K14" s="346">
        <f t="shared" si="0"/>
        <v>0</v>
      </c>
      <c r="L14" s="404">
        <f t="shared" si="1"/>
        <v>0</v>
      </c>
      <c r="Q14" s="416"/>
      <c r="R14" s="416"/>
      <c r="S14" s="416"/>
      <c r="T14" s="416"/>
    </row>
    <row r="15" spans="1:20" s="426" customFormat="1" ht="11.25">
      <c r="A15" s="420"/>
      <c r="B15" s="421"/>
      <c r="C15" s="422"/>
      <c r="D15" s="422" t="s">
        <v>2146</v>
      </c>
      <c r="E15" s="423" t="s">
        <v>2147</v>
      </c>
      <c r="F15" s="424"/>
      <c r="G15" s="425"/>
      <c r="H15" s="425"/>
      <c r="I15" s="411">
        <f>ROUND(+'SP Min'!D58-'Alimentazione SP P'!H55,0)</f>
        <v>497010</v>
      </c>
      <c r="J15" s="411">
        <f>ROUND(+'SP Min'!E58-'Alimentazione SP P'!I55,0)</f>
        <v>497010</v>
      </c>
      <c r="K15" s="346">
        <f t="shared" si="0"/>
        <v>0</v>
      </c>
      <c r="L15" s="404">
        <f t="shared" si="1"/>
        <v>0</v>
      </c>
      <c r="Q15" s="427"/>
      <c r="R15" s="427"/>
      <c r="S15" s="427"/>
      <c r="T15" s="427"/>
    </row>
    <row r="16" spans="1:20" s="426" customFormat="1" ht="11.25">
      <c r="A16" s="420"/>
      <c r="B16" s="421"/>
      <c r="C16" s="422"/>
      <c r="D16" s="422" t="s">
        <v>2148</v>
      </c>
      <c r="E16" s="423" t="s">
        <v>2149</v>
      </c>
      <c r="F16" s="419"/>
      <c r="G16" s="425"/>
      <c r="H16" s="425"/>
      <c r="I16" s="411">
        <f>ROUND(+'SP Min'!D59-'Alimentazione SP P'!H56,0)</f>
        <v>1346427</v>
      </c>
      <c r="J16" s="411">
        <f>ROUND(+'SP Min'!E59-'Alimentazione SP P'!I56,0)</f>
        <v>1346427</v>
      </c>
      <c r="K16" s="346">
        <f t="shared" si="0"/>
        <v>0</v>
      </c>
      <c r="L16" s="404">
        <f t="shared" si="1"/>
        <v>0</v>
      </c>
      <c r="Q16" s="427"/>
      <c r="R16" s="427"/>
      <c r="S16" s="427"/>
      <c r="T16" s="427"/>
    </row>
    <row r="17" spans="1:20" s="412" customFormat="1" ht="11.25">
      <c r="A17" s="398"/>
      <c r="B17" s="399"/>
      <c r="C17" s="408" t="s">
        <v>88</v>
      </c>
      <c r="D17" s="331" t="s">
        <v>2150</v>
      </c>
      <c r="E17" s="399"/>
      <c r="F17" s="414"/>
      <c r="G17" s="410"/>
      <c r="H17" s="410"/>
      <c r="I17" s="329">
        <f>SUM(I18:I19)</f>
        <v>285871162</v>
      </c>
      <c r="J17" s="329">
        <f>SUM(J18:J19)</f>
        <v>299233985</v>
      </c>
      <c r="K17" s="346">
        <f t="shared" si="0"/>
        <v>-13362823</v>
      </c>
      <c r="L17" s="467">
        <f t="shared" si="1"/>
        <v>-4.4656769183486961E-2</v>
      </c>
      <c r="Q17" s="416"/>
      <c r="R17" s="416"/>
      <c r="S17" s="416"/>
      <c r="T17" s="416"/>
    </row>
    <row r="18" spans="1:20" s="412" customFormat="1" ht="11.25">
      <c r="A18" s="398"/>
      <c r="B18" s="399"/>
      <c r="C18" s="408"/>
      <c r="D18" s="422" t="s">
        <v>2146</v>
      </c>
      <c r="E18" s="423" t="s">
        <v>2151</v>
      </c>
      <c r="F18" s="419"/>
      <c r="G18" s="410"/>
      <c r="H18" s="410"/>
      <c r="I18" s="329">
        <f>ROUND('SP Min'!D61-'Alimentazione SP P'!H57,0)</f>
        <v>1150767</v>
      </c>
      <c r="J18" s="329">
        <f>ROUND('SP Min'!E61-'Alimentazione SP P'!I57,0)</f>
        <v>1232010</v>
      </c>
      <c r="K18" s="346">
        <f t="shared" si="0"/>
        <v>-81243</v>
      </c>
      <c r="L18" s="467">
        <f t="shared" si="1"/>
        <v>-6.5943458251150555E-2</v>
      </c>
      <c r="Q18" s="416"/>
      <c r="R18" s="416"/>
      <c r="S18" s="416"/>
      <c r="T18" s="416"/>
    </row>
    <row r="19" spans="1:20" s="412" customFormat="1" ht="11.25">
      <c r="A19" s="398"/>
      <c r="B19" s="399"/>
      <c r="C19" s="408"/>
      <c r="D19" s="422" t="s">
        <v>2148</v>
      </c>
      <c r="E19" s="423" t="s">
        <v>2152</v>
      </c>
      <c r="F19" s="321"/>
      <c r="G19" s="410"/>
      <c r="H19" s="410"/>
      <c r="I19" s="329">
        <f>+ROUND('SP Min'!D64-'Alimentazione SP P'!H58,0)</f>
        <v>284720395</v>
      </c>
      <c r="J19" s="329">
        <f>+ROUND('SP Min'!E64-'Alimentazione SP P'!I58,0)</f>
        <v>298001975</v>
      </c>
      <c r="K19" s="346">
        <f t="shared" si="0"/>
        <v>-13281580</v>
      </c>
      <c r="L19" s="467">
        <f t="shared" si="1"/>
        <v>-4.4568765022446583E-2</v>
      </c>
      <c r="Q19" s="416"/>
      <c r="R19" s="416"/>
      <c r="S19" s="416"/>
      <c r="T19" s="416"/>
    </row>
    <row r="20" spans="1:20" s="412" customFormat="1" ht="11.25">
      <c r="A20" s="398"/>
      <c r="B20" s="399"/>
      <c r="C20" s="408" t="s">
        <v>116</v>
      </c>
      <c r="D20" s="331" t="s">
        <v>2153</v>
      </c>
      <c r="E20" s="399"/>
      <c r="F20" s="321"/>
      <c r="G20" s="410"/>
      <c r="H20" s="410"/>
      <c r="I20" s="329">
        <f>+ROUND('SP Min'!D67-'SP Min'!D87,0)</f>
        <v>2304012</v>
      </c>
      <c r="J20" s="329">
        <f>+ROUND('SP Min'!E67-'SP Min'!E87,0)</f>
        <v>2432930</v>
      </c>
      <c r="K20" s="346">
        <f t="shared" si="0"/>
        <v>-128918</v>
      </c>
      <c r="L20" s="467">
        <f t="shared" si="1"/>
        <v>-5.2988783072262666E-2</v>
      </c>
      <c r="Q20" s="416"/>
      <c r="R20" s="416"/>
      <c r="S20" s="416"/>
      <c r="T20" s="416"/>
    </row>
    <row r="21" spans="1:20" s="412" customFormat="1" ht="11.25">
      <c r="A21" s="398"/>
      <c r="B21" s="399"/>
      <c r="C21" s="408" t="s">
        <v>2140</v>
      </c>
      <c r="D21" s="428" t="s">
        <v>2154</v>
      </c>
      <c r="E21" s="399"/>
      <c r="F21" s="414"/>
      <c r="G21" s="410"/>
      <c r="H21" s="410"/>
      <c r="I21" s="329">
        <f>+ROUND('SP Min'!D70-'SP Min'!D88,0)</f>
        <v>18210492</v>
      </c>
      <c r="J21" s="329">
        <f>+ROUND('SP Min'!E70-'SP Min'!E88,0)</f>
        <v>13663911</v>
      </c>
      <c r="K21" s="346">
        <f t="shared" si="0"/>
        <v>4546581</v>
      </c>
      <c r="L21" s="467">
        <f t="shared" si="1"/>
        <v>0.33274375103877651</v>
      </c>
      <c r="Q21" s="416"/>
      <c r="R21" s="416"/>
      <c r="S21" s="416"/>
      <c r="T21" s="416"/>
    </row>
    <row r="22" spans="1:20" s="412" customFormat="1" ht="11.25">
      <c r="A22" s="398"/>
      <c r="B22" s="399"/>
      <c r="C22" s="408" t="s">
        <v>2142</v>
      </c>
      <c r="D22" s="331" t="s">
        <v>2155</v>
      </c>
      <c r="E22" s="399"/>
      <c r="F22" s="409"/>
      <c r="G22" s="410"/>
      <c r="H22" s="410"/>
      <c r="I22" s="329">
        <f>+ROUND('SP Min'!D73-'SP Min'!D89,0)</f>
        <v>989255</v>
      </c>
      <c r="J22" s="329">
        <f>+ROUND('SP Min'!E73-'SP Min'!E89,0)</f>
        <v>938051</v>
      </c>
      <c r="K22" s="346">
        <f t="shared" si="0"/>
        <v>51204</v>
      </c>
      <c r="L22" s="467">
        <f t="shared" si="1"/>
        <v>5.4585518271394629E-2</v>
      </c>
      <c r="Q22" s="416"/>
      <c r="R22" s="416"/>
      <c r="S22" s="416"/>
      <c r="T22" s="416"/>
    </row>
    <row r="23" spans="1:20" s="412" customFormat="1" ht="11.25">
      <c r="A23" s="398"/>
      <c r="B23" s="399"/>
      <c r="C23" s="408" t="s">
        <v>2156</v>
      </c>
      <c r="D23" s="331" t="s">
        <v>2157</v>
      </c>
      <c r="E23" s="399"/>
      <c r="F23" s="321"/>
      <c r="G23" s="410"/>
      <c r="H23" s="410"/>
      <c r="I23" s="329">
        <f>+ROUND('SP Min'!D76-'SP Min'!D90,0)</f>
        <v>675084</v>
      </c>
      <c r="J23" s="329">
        <f>+ROUND('SP Min'!E76-'SP Min'!E90,0)</f>
        <v>555965</v>
      </c>
      <c r="K23" s="346">
        <f t="shared" si="0"/>
        <v>119119</v>
      </c>
      <c r="L23" s="467">
        <f t="shared" si="1"/>
        <v>0.21425629311197647</v>
      </c>
      <c r="Q23" s="416"/>
      <c r="R23" s="416"/>
      <c r="S23" s="416"/>
      <c r="T23" s="416"/>
    </row>
    <row r="24" spans="1:20" s="412" customFormat="1" ht="11.25">
      <c r="A24" s="398"/>
      <c r="B24" s="399"/>
      <c r="C24" s="408" t="s">
        <v>2158</v>
      </c>
      <c r="D24" s="331" t="s">
        <v>2159</v>
      </c>
      <c r="E24" s="399"/>
      <c r="F24" s="321"/>
      <c r="G24" s="410"/>
      <c r="H24" s="410"/>
      <c r="I24" s="329">
        <f>+ROUND('SP Min'!D79-'SP Min'!D91,0)</f>
        <v>44348</v>
      </c>
      <c r="J24" s="329">
        <f>+ROUND('SP Min'!E79-'SP Min'!E91,0)</f>
        <v>41866</v>
      </c>
      <c r="K24" s="346">
        <f t="shared" si="0"/>
        <v>2482</v>
      </c>
      <c r="L24" s="467">
        <f t="shared" si="1"/>
        <v>5.9284383509291549E-2</v>
      </c>
      <c r="Q24" s="416"/>
      <c r="R24" s="416"/>
      <c r="S24" s="416"/>
      <c r="T24" s="416"/>
    </row>
    <row r="25" spans="1:20" s="412" customFormat="1" ht="11.25">
      <c r="A25" s="398"/>
      <c r="B25" s="399"/>
      <c r="C25" s="408" t="s">
        <v>2160</v>
      </c>
      <c r="D25" s="321" t="s">
        <v>2161</v>
      </c>
      <c r="E25" s="399"/>
      <c r="F25" s="414"/>
      <c r="G25" s="410"/>
      <c r="H25" s="410"/>
      <c r="I25" s="329">
        <f>+ROUND('SP Min'!D80-'SP Min'!D92,0)</f>
        <v>2021811</v>
      </c>
      <c r="J25" s="329">
        <f>+ROUND('SP Min'!E80-'SP Min'!E92,0)</f>
        <v>2320336</v>
      </c>
      <c r="K25" s="346">
        <f t="shared" si="0"/>
        <v>-298525</v>
      </c>
      <c r="L25" s="467">
        <f t="shared" si="1"/>
        <v>-0.12865593603684983</v>
      </c>
      <c r="Q25" s="416"/>
      <c r="R25" s="416"/>
      <c r="S25" s="416"/>
      <c r="T25" s="416"/>
    </row>
    <row r="26" spans="1:20" s="412" customFormat="1" ht="11.25">
      <c r="A26" s="398"/>
      <c r="B26" s="399"/>
      <c r="C26" s="408" t="s">
        <v>2162</v>
      </c>
      <c r="D26" s="321" t="s">
        <v>2163</v>
      </c>
      <c r="E26" s="399"/>
      <c r="F26" s="409"/>
      <c r="G26" s="410"/>
      <c r="H26" s="410"/>
      <c r="I26" s="329">
        <f>+ROUND('SP Min'!D83,0)</f>
        <v>14172807</v>
      </c>
      <c r="J26" s="329">
        <f>+ROUND('SP Min'!E83,0)</f>
        <v>8166545</v>
      </c>
      <c r="K26" s="346">
        <f t="shared" si="0"/>
        <v>6006262</v>
      </c>
      <c r="L26" s="467">
        <f t="shared" si="1"/>
        <v>0.73547161008725237</v>
      </c>
      <c r="Q26" s="416"/>
      <c r="R26" s="416"/>
      <c r="S26" s="416"/>
      <c r="T26" s="416"/>
    </row>
    <row r="27" spans="1:20" s="412" customFormat="1" ht="11.25">
      <c r="A27" s="398"/>
      <c r="B27" s="399"/>
      <c r="C27" s="408"/>
      <c r="D27" s="399"/>
      <c r="E27" s="399"/>
      <c r="F27" s="331"/>
      <c r="G27" s="429" t="s">
        <v>2164</v>
      </c>
      <c r="H27" s="430" t="s">
        <v>2165</v>
      </c>
      <c r="I27" s="329"/>
      <c r="J27" s="329"/>
      <c r="K27" s="346">
        <f t="shared" si="0"/>
        <v>0</v>
      </c>
      <c r="L27" s="467" t="str">
        <f t="shared" si="1"/>
        <v xml:space="preserve">-    </v>
      </c>
      <c r="Q27" s="416"/>
      <c r="R27" s="416"/>
      <c r="S27" s="416"/>
      <c r="T27" s="416"/>
    </row>
    <row r="28" spans="1:20" s="405" customFormat="1" ht="26.25" customHeight="1">
      <c r="A28" s="406"/>
      <c r="B28" s="399" t="s">
        <v>125</v>
      </c>
      <c r="C28" s="1029" t="s">
        <v>2166</v>
      </c>
      <c r="D28" s="1029"/>
      <c r="E28" s="1029"/>
      <c r="F28" s="1030"/>
      <c r="G28" s="431"/>
      <c r="H28" s="432"/>
      <c r="I28" s="347">
        <f>I29+I34</f>
        <v>6952182</v>
      </c>
      <c r="J28" s="347">
        <f>J29+J34</f>
        <v>6257360</v>
      </c>
      <c r="K28" s="346">
        <f t="shared" si="0"/>
        <v>694822</v>
      </c>
      <c r="L28" s="404">
        <f t="shared" si="1"/>
        <v>0.11104075840290474</v>
      </c>
      <c r="Q28" s="418"/>
      <c r="R28" s="418"/>
      <c r="S28" s="418"/>
      <c r="T28" s="418"/>
    </row>
    <row r="29" spans="1:20" s="412" customFormat="1" ht="11.25">
      <c r="A29" s="413"/>
      <c r="B29" s="399"/>
      <c r="C29" s="408" t="s">
        <v>86</v>
      </c>
      <c r="D29" s="433" t="s">
        <v>2167</v>
      </c>
      <c r="E29" s="414"/>
      <c r="F29" s="414"/>
      <c r="G29" s="434">
        <f>SUM(G30:G33)</f>
        <v>0</v>
      </c>
      <c r="H29" s="434">
        <f>SUM(H30:H33)</f>
        <v>6952182</v>
      </c>
      <c r="I29" s="329">
        <f>SUM(I30:I33)</f>
        <v>6952182</v>
      </c>
      <c r="J29" s="329">
        <f>SUM(J30:J33)</f>
        <v>6257360</v>
      </c>
      <c r="K29" s="346">
        <f t="shared" si="0"/>
        <v>694822</v>
      </c>
      <c r="L29" s="467">
        <f t="shared" si="1"/>
        <v>0.11104075840290474</v>
      </c>
      <c r="Q29" s="416"/>
      <c r="R29" s="416"/>
      <c r="S29" s="416"/>
      <c r="T29" s="416"/>
    </row>
    <row r="30" spans="1:20" s="412" customFormat="1" ht="11.25">
      <c r="A30" s="398"/>
      <c r="B30" s="399"/>
      <c r="C30" s="399"/>
      <c r="D30" s="422" t="s">
        <v>2146</v>
      </c>
      <c r="E30" s="419" t="s">
        <v>2168</v>
      </c>
      <c r="F30" s="409"/>
      <c r="G30" s="415"/>
      <c r="H30" s="415"/>
      <c r="I30" s="329">
        <f>+ROUND('SP Min'!D95,0)</f>
        <v>0</v>
      </c>
      <c r="J30" s="329">
        <f>+ROUND('SP Min'!E95,0)</f>
        <v>0</v>
      </c>
      <c r="K30" s="346">
        <f t="shared" si="0"/>
        <v>0</v>
      </c>
      <c r="L30" s="467" t="str">
        <f t="shared" si="1"/>
        <v xml:space="preserve">-    </v>
      </c>
      <c r="Q30" s="416"/>
      <c r="R30" s="416"/>
      <c r="S30" s="416"/>
      <c r="T30" s="416"/>
    </row>
    <row r="31" spans="1:20" s="412" customFormat="1" ht="11.25">
      <c r="A31" s="398"/>
      <c r="B31" s="399"/>
      <c r="C31" s="399"/>
      <c r="D31" s="422" t="s">
        <v>2148</v>
      </c>
      <c r="E31" s="419" t="s">
        <v>2169</v>
      </c>
      <c r="F31" s="419"/>
      <c r="G31" s="415"/>
      <c r="H31" s="415">
        <f>I31</f>
        <v>6858338</v>
      </c>
      <c r="I31" s="329">
        <f>+ROUND('SP Min'!D96,0)</f>
        <v>6858338</v>
      </c>
      <c r="J31" s="329">
        <f>+ROUND('SP Min'!E96,0)</f>
        <v>6163516</v>
      </c>
      <c r="K31" s="346">
        <f t="shared" si="0"/>
        <v>694822</v>
      </c>
      <c r="L31" s="467">
        <f t="shared" si="1"/>
        <v>0.11273143446046055</v>
      </c>
      <c r="Q31" s="416"/>
      <c r="R31" s="416"/>
      <c r="S31" s="416"/>
      <c r="T31" s="416"/>
    </row>
    <row r="32" spans="1:20" s="412" customFormat="1" ht="11.25">
      <c r="A32" s="398"/>
      <c r="B32" s="399"/>
      <c r="C32" s="408"/>
      <c r="D32" s="422" t="s">
        <v>2170</v>
      </c>
      <c r="E32" s="435" t="s">
        <v>2171</v>
      </c>
      <c r="F32" s="409"/>
      <c r="G32" s="415"/>
      <c r="H32" s="415"/>
      <c r="I32" s="329">
        <f>+ROUND('SP Min'!D97,0)</f>
        <v>0</v>
      </c>
      <c r="J32" s="329">
        <f>+ROUND('SP Min'!E97,0)</f>
        <v>0</v>
      </c>
      <c r="K32" s="346">
        <f t="shared" si="0"/>
        <v>0</v>
      </c>
      <c r="L32" s="467" t="str">
        <f t="shared" si="1"/>
        <v xml:space="preserve">-    </v>
      </c>
      <c r="Q32" s="416"/>
      <c r="R32" s="416"/>
      <c r="S32" s="416"/>
      <c r="T32" s="416"/>
    </row>
    <row r="33" spans="1:20" s="412" customFormat="1" ht="11.25">
      <c r="A33" s="398"/>
      <c r="B33" s="399"/>
      <c r="C33" s="408"/>
      <c r="D33" s="422" t="s">
        <v>2172</v>
      </c>
      <c r="E33" s="435" t="s">
        <v>2173</v>
      </c>
      <c r="F33" s="433"/>
      <c r="G33" s="415"/>
      <c r="H33" s="436">
        <f>I33</f>
        <v>93844</v>
      </c>
      <c r="I33" s="329">
        <f>+ROUND('SP Min'!D98,0)</f>
        <v>93844</v>
      </c>
      <c r="J33" s="329">
        <f>+ROUND('SP Min'!E98,0)</f>
        <v>93844</v>
      </c>
      <c r="K33" s="346">
        <f t="shared" si="0"/>
        <v>0</v>
      </c>
      <c r="L33" s="467">
        <f t="shared" si="1"/>
        <v>0</v>
      </c>
      <c r="Q33" s="416"/>
      <c r="R33" s="416"/>
      <c r="S33" s="416"/>
      <c r="T33" s="416"/>
    </row>
    <row r="34" spans="1:20" s="412" customFormat="1" ht="11.25">
      <c r="A34" s="398"/>
      <c r="B34" s="399"/>
      <c r="C34" s="408" t="s">
        <v>88</v>
      </c>
      <c r="D34" s="331" t="s">
        <v>2174</v>
      </c>
      <c r="E34" s="408"/>
      <c r="F34" s="433"/>
      <c r="G34" s="437"/>
      <c r="H34" s="410"/>
      <c r="I34" s="329">
        <f>SUM(I35:I36)</f>
        <v>0</v>
      </c>
      <c r="J34" s="329">
        <f>SUM(J35:J36)</f>
        <v>0</v>
      </c>
      <c r="K34" s="346">
        <f t="shared" si="0"/>
        <v>0</v>
      </c>
      <c r="L34" s="467" t="str">
        <f t="shared" si="1"/>
        <v xml:space="preserve">-    </v>
      </c>
      <c r="Q34" s="416"/>
      <c r="R34" s="416"/>
      <c r="S34" s="416"/>
      <c r="T34" s="416"/>
    </row>
    <row r="35" spans="1:20" s="412" customFormat="1" ht="11.25">
      <c r="A35" s="398"/>
      <c r="B35" s="399"/>
      <c r="C35" s="408"/>
      <c r="D35" s="422" t="s">
        <v>2146</v>
      </c>
      <c r="E35" s="423" t="s">
        <v>2175</v>
      </c>
      <c r="F35" s="414"/>
      <c r="G35" s="410"/>
      <c r="H35" s="410"/>
      <c r="I35" s="329">
        <f>+ROUND('SP Min'!D100,0)</f>
        <v>0</v>
      </c>
      <c r="J35" s="329">
        <f>+ROUND('SP Min'!E100,0)</f>
        <v>0</v>
      </c>
      <c r="K35" s="346">
        <f t="shared" si="0"/>
        <v>0</v>
      </c>
      <c r="L35" s="467" t="str">
        <f t="shared" si="1"/>
        <v xml:space="preserve">-    </v>
      </c>
      <c r="Q35" s="416"/>
      <c r="R35" s="416"/>
      <c r="S35" s="416"/>
      <c r="T35" s="416"/>
    </row>
    <row r="36" spans="1:20" s="412" customFormat="1" ht="11.25">
      <c r="A36" s="398"/>
      <c r="B36" s="399"/>
      <c r="C36" s="408"/>
      <c r="D36" s="422" t="s">
        <v>2148</v>
      </c>
      <c r="E36" s="423" t="s">
        <v>2176</v>
      </c>
      <c r="F36" s="321"/>
      <c r="G36" s="438"/>
      <c r="H36" s="410"/>
      <c r="I36" s="439">
        <f>+ROUND('SP Min'!D101,0)</f>
        <v>0</v>
      </c>
      <c r="J36" s="439">
        <f>+ROUND('SP Min'!E101,0)</f>
        <v>0</v>
      </c>
      <c r="K36" s="346">
        <f t="shared" si="0"/>
        <v>0</v>
      </c>
      <c r="L36" s="467" t="str">
        <f t="shared" si="1"/>
        <v xml:space="preserve">-    </v>
      </c>
      <c r="Q36" s="416"/>
      <c r="R36" s="416"/>
      <c r="S36" s="416"/>
      <c r="T36" s="416"/>
    </row>
    <row r="37" spans="1:20" s="405" customFormat="1" ht="11.25">
      <c r="A37" s="1015" t="s">
        <v>2177</v>
      </c>
      <c r="B37" s="1016"/>
      <c r="C37" s="1016"/>
      <c r="D37" s="1016"/>
      <c r="E37" s="1016"/>
      <c r="F37" s="1016"/>
      <c r="G37" s="1031"/>
      <c r="H37" s="1016"/>
      <c r="I37" s="349">
        <f>I7+I13+I28</f>
        <v>334493627</v>
      </c>
      <c r="J37" s="349">
        <f>J7+J13+J28</f>
        <v>336858191</v>
      </c>
      <c r="K37" s="349">
        <f t="shared" si="0"/>
        <v>-2364564</v>
      </c>
      <c r="L37" s="349">
        <f t="shared" si="1"/>
        <v>-7.0194641637792328E-3</v>
      </c>
      <c r="Q37" s="418"/>
      <c r="R37" s="418"/>
      <c r="S37" s="418"/>
      <c r="T37" s="418"/>
    </row>
    <row r="38" spans="1:20" s="405" customFormat="1" ht="11.25">
      <c r="A38" s="398"/>
      <c r="B38" s="399"/>
      <c r="C38" s="399"/>
      <c r="D38" s="399"/>
      <c r="E38" s="399"/>
      <c r="F38" s="440"/>
      <c r="G38" s="401"/>
      <c r="H38" s="401"/>
      <c r="I38" s="441"/>
      <c r="J38" s="441"/>
      <c r="K38" s="441"/>
      <c r="L38" s="442"/>
      <c r="Q38" s="418"/>
      <c r="R38" s="418"/>
      <c r="S38" s="418"/>
      <c r="T38" s="418"/>
    </row>
    <row r="39" spans="1:20" s="405" customFormat="1" ht="11.25">
      <c r="A39" s="443" t="s">
        <v>33</v>
      </c>
      <c r="B39" s="444" t="s">
        <v>2178</v>
      </c>
      <c r="C39" s="445"/>
      <c r="D39" s="445"/>
      <c r="E39" s="445"/>
      <c r="F39" s="400"/>
      <c r="G39" s="401"/>
      <c r="H39" s="401"/>
      <c r="I39" s="347"/>
      <c r="J39" s="403"/>
      <c r="K39" s="403"/>
      <c r="L39" s="404"/>
      <c r="Q39" s="418"/>
      <c r="R39" s="418"/>
      <c r="S39" s="418"/>
      <c r="T39" s="418"/>
    </row>
    <row r="40" spans="1:20" s="405" customFormat="1" ht="11.25">
      <c r="A40" s="443"/>
      <c r="B40" s="445" t="s">
        <v>123</v>
      </c>
      <c r="C40" s="446" t="s">
        <v>2179</v>
      </c>
      <c r="D40" s="445"/>
      <c r="E40" s="445"/>
      <c r="F40" s="440"/>
      <c r="G40" s="401"/>
      <c r="H40" s="401"/>
      <c r="I40" s="347">
        <f>SUM(I41:I44)</f>
        <v>6052926</v>
      </c>
      <c r="J40" s="347">
        <f>SUM(J41:J44)</f>
        <v>4559726</v>
      </c>
      <c r="K40" s="346">
        <f>+I40-J40</f>
        <v>1493200</v>
      </c>
      <c r="L40" s="404">
        <f t="shared" ref="L40:L98" si="2">IF(J40=0,"-    ",K40/J40)</f>
        <v>0.32747581762588368</v>
      </c>
      <c r="Q40" s="418"/>
      <c r="R40" s="418"/>
      <c r="S40" s="418"/>
      <c r="T40" s="418"/>
    </row>
    <row r="41" spans="1:20" s="412" customFormat="1" ht="11.25">
      <c r="A41" s="443"/>
      <c r="B41" s="445"/>
      <c r="C41" s="447" t="s">
        <v>86</v>
      </c>
      <c r="D41" s="447" t="s">
        <v>2180</v>
      </c>
      <c r="E41" s="445"/>
      <c r="F41" s="414"/>
      <c r="G41" s="410"/>
      <c r="H41" s="410"/>
      <c r="I41" s="329">
        <f>+ROUND('SP Min'!D108-'SP Min'!D117,0)</f>
        <v>5440416</v>
      </c>
      <c r="J41" s="329">
        <f>+ROUND('SP Min'!E108-'SP Min'!E117,0)</f>
        <v>4357532</v>
      </c>
      <c r="K41" s="346">
        <f t="shared" ref="K41:K90" si="3">+I41-J41</f>
        <v>1082884</v>
      </c>
      <c r="L41" s="467">
        <f t="shared" si="2"/>
        <v>0.2485085594322658</v>
      </c>
      <c r="Q41" s="416"/>
      <c r="R41" s="416"/>
      <c r="S41" s="416"/>
      <c r="T41" s="416"/>
    </row>
    <row r="42" spans="1:20" s="412" customFormat="1" ht="11.25">
      <c r="A42" s="443"/>
      <c r="B42" s="445"/>
      <c r="C42" s="447" t="s">
        <v>88</v>
      </c>
      <c r="D42" s="447" t="s">
        <v>2181</v>
      </c>
      <c r="E42" s="445"/>
      <c r="F42" s="321"/>
      <c r="G42" s="410"/>
      <c r="H42" s="410"/>
      <c r="I42" s="329">
        <f>+ROUND('SP Min'!D118-'SP Min'!D125,0)</f>
        <v>612510</v>
      </c>
      <c r="J42" s="329">
        <f>+ROUND('SP Min'!E118-'SP Min'!E125,0)</f>
        <v>202194</v>
      </c>
      <c r="K42" s="346">
        <f t="shared" si="3"/>
        <v>410316</v>
      </c>
      <c r="L42" s="467">
        <f t="shared" si="2"/>
        <v>2.0293183773999228</v>
      </c>
      <c r="Q42" s="416"/>
      <c r="R42" s="416"/>
      <c r="S42" s="416"/>
      <c r="T42" s="416"/>
    </row>
    <row r="43" spans="1:20" s="412" customFormat="1" ht="11.25">
      <c r="A43" s="443"/>
      <c r="B43" s="445"/>
      <c r="C43" s="447" t="s">
        <v>116</v>
      </c>
      <c r="D43" s="447" t="s">
        <v>2182</v>
      </c>
      <c r="E43" s="445"/>
      <c r="F43" s="448"/>
      <c r="G43" s="410"/>
      <c r="H43" s="410"/>
      <c r="I43" s="329">
        <f>+ROUND('SP Min'!D117,0)</f>
        <v>0</v>
      </c>
      <c r="J43" s="329">
        <f>+ROUND('SP Min'!E117,0)</f>
        <v>0</v>
      </c>
      <c r="K43" s="346">
        <f t="shared" si="3"/>
        <v>0</v>
      </c>
      <c r="L43" s="467" t="str">
        <f t="shared" si="2"/>
        <v xml:space="preserve">-    </v>
      </c>
      <c r="Q43" s="416"/>
      <c r="R43" s="416"/>
      <c r="S43" s="416"/>
      <c r="T43" s="416"/>
    </row>
    <row r="44" spans="1:20" s="412" customFormat="1" ht="11.25">
      <c r="A44" s="443"/>
      <c r="B44" s="445"/>
      <c r="C44" s="447" t="s">
        <v>2140</v>
      </c>
      <c r="D44" s="447" t="s">
        <v>2183</v>
      </c>
      <c r="E44" s="445"/>
      <c r="F44" s="321"/>
      <c r="G44" s="410"/>
      <c r="H44" s="410"/>
      <c r="I44" s="329">
        <f>+ROUND('SP Min'!D125,0)</f>
        <v>0</v>
      </c>
      <c r="J44" s="329">
        <f>+ROUND('SP Min'!E125,0)</f>
        <v>0</v>
      </c>
      <c r="K44" s="346">
        <f t="shared" si="3"/>
        <v>0</v>
      </c>
      <c r="L44" s="467" t="str">
        <f t="shared" si="2"/>
        <v xml:space="preserve">-    </v>
      </c>
      <c r="Q44" s="416"/>
      <c r="R44" s="416"/>
      <c r="S44" s="416"/>
      <c r="T44" s="416"/>
    </row>
    <row r="45" spans="1:20" s="412" customFormat="1" ht="11.25">
      <c r="A45" s="443"/>
      <c r="B45" s="445"/>
      <c r="C45" s="445"/>
      <c r="D45" s="445"/>
      <c r="E45" s="445"/>
      <c r="F45" s="321"/>
      <c r="G45" s="429" t="s">
        <v>2164</v>
      </c>
      <c r="H45" s="449" t="s">
        <v>2165</v>
      </c>
      <c r="I45" s="329"/>
      <c r="J45" s="329"/>
      <c r="K45" s="346">
        <f t="shared" si="3"/>
        <v>0</v>
      </c>
      <c r="L45" s="467" t="str">
        <f t="shared" si="2"/>
        <v xml:space="preserve">-    </v>
      </c>
      <c r="Q45" s="416"/>
      <c r="R45" s="416"/>
      <c r="S45" s="416"/>
      <c r="T45" s="416"/>
    </row>
    <row r="46" spans="1:20" s="405" customFormat="1" ht="25.5" customHeight="1">
      <c r="A46" s="406"/>
      <c r="B46" s="399" t="s">
        <v>124</v>
      </c>
      <c r="C46" s="1029" t="s">
        <v>2184</v>
      </c>
      <c r="D46" s="1029"/>
      <c r="E46" s="1029"/>
      <c r="F46" s="1030"/>
      <c r="G46" s="450"/>
      <c r="H46" s="450"/>
      <c r="I46" s="347">
        <f>I47+I58+I71+I72+I75+I76+I77</f>
        <v>237286611</v>
      </c>
      <c r="J46" s="347">
        <f>J47+J58+J71+J72+J75+J76+J77</f>
        <v>217372667</v>
      </c>
      <c r="K46" s="346">
        <f t="shared" si="3"/>
        <v>19913944</v>
      </c>
      <c r="L46" s="404">
        <f t="shared" si="2"/>
        <v>9.161199646135823E-2</v>
      </c>
      <c r="Q46" s="418"/>
      <c r="R46" s="418"/>
      <c r="S46" s="418"/>
      <c r="T46" s="418"/>
    </row>
    <row r="47" spans="1:20" s="412" customFormat="1" ht="11.25">
      <c r="A47" s="413"/>
      <c r="B47" s="445"/>
      <c r="C47" s="447" t="s">
        <v>86</v>
      </c>
      <c r="D47" s="447" t="s">
        <v>2185</v>
      </c>
      <c r="E47" s="445"/>
      <c r="F47" s="451"/>
      <c r="G47" s="452"/>
      <c r="H47" s="452"/>
      <c r="I47" s="329">
        <f>I48+I51+I52+I57</f>
        <v>62189</v>
      </c>
      <c r="J47" s="329">
        <f>J48+J51+J52+J57</f>
        <v>291711</v>
      </c>
      <c r="K47" s="346">
        <f t="shared" si="3"/>
        <v>-229522</v>
      </c>
      <c r="L47" s="467">
        <f t="shared" si="2"/>
        <v>-0.78681297585624133</v>
      </c>
      <c r="Q47" s="416"/>
      <c r="R47" s="416"/>
      <c r="S47" s="416"/>
      <c r="T47" s="416"/>
    </row>
    <row r="48" spans="1:20" s="412" customFormat="1" ht="11.25">
      <c r="A48" s="413"/>
      <c r="B48" s="445"/>
      <c r="C48" s="447"/>
      <c r="D48" s="453" t="s">
        <v>2146</v>
      </c>
      <c r="E48" s="453" t="s">
        <v>2186</v>
      </c>
      <c r="F48" s="451"/>
      <c r="G48" s="452"/>
      <c r="H48" s="452"/>
      <c r="I48" s="329">
        <f>I49+I50</f>
        <v>52693</v>
      </c>
      <c r="J48" s="329">
        <f>J49+J50</f>
        <v>259145</v>
      </c>
      <c r="K48" s="346">
        <f t="shared" si="3"/>
        <v>-206452</v>
      </c>
      <c r="L48" s="467">
        <f t="shared" si="2"/>
        <v>-0.79666595921202421</v>
      </c>
      <c r="Q48" s="416"/>
      <c r="R48" s="416"/>
      <c r="S48" s="416"/>
      <c r="T48" s="416"/>
    </row>
    <row r="49" spans="1:20" s="412" customFormat="1" ht="11.25">
      <c r="A49" s="413"/>
      <c r="B49" s="445"/>
      <c r="C49" s="447"/>
      <c r="D49" s="447"/>
      <c r="E49" s="447" t="s">
        <v>86</v>
      </c>
      <c r="F49" s="451" t="s">
        <v>2187</v>
      </c>
      <c r="G49" s="452"/>
      <c r="H49" s="452"/>
      <c r="I49" s="329">
        <f>+ROUND('SP Min'!D128+'SP Min'!D129+'SP Min'!D130+'SP Min'!D131+'SP Min'!D132+'SP Min'!D133+'SP Min'!D135,0)</f>
        <v>0</v>
      </c>
      <c r="J49" s="329">
        <f>+ROUND('SP Min'!E128+'SP Min'!E129+'SP Min'!E130+'SP Min'!E131+'SP Min'!E132+'SP Min'!E133+'SP Min'!E135,0)</f>
        <v>0</v>
      </c>
      <c r="K49" s="346">
        <f t="shared" si="3"/>
        <v>0</v>
      </c>
      <c r="L49" s="467" t="str">
        <f t="shared" si="2"/>
        <v xml:space="preserve">-    </v>
      </c>
      <c r="Q49" s="416"/>
      <c r="R49" s="416"/>
      <c r="S49" s="416"/>
      <c r="T49" s="416"/>
    </row>
    <row r="50" spans="1:20" s="412" customFormat="1" ht="11.25">
      <c r="A50" s="413"/>
      <c r="B50" s="445"/>
      <c r="C50" s="447"/>
      <c r="D50" s="447"/>
      <c r="E50" s="447" t="s">
        <v>88</v>
      </c>
      <c r="F50" s="451" t="s">
        <v>2188</v>
      </c>
      <c r="G50" s="452"/>
      <c r="H50" s="452"/>
      <c r="I50" s="329">
        <f>+ROUND('SP Min'!D134,0)</f>
        <v>52693</v>
      </c>
      <c r="J50" s="329">
        <f>+ROUND('SP Min'!E134,0)</f>
        <v>259145</v>
      </c>
      <c r="K50" s="346">
        <f t="shared" si="3"/>
        <v>-206452</v>
      </c>
      <c r="L50" s="467">
        <f t="shared" si="2"/>
        <v>-0.79666595921202421</v>
      </c>
      <c r="Q50" s="416"/>
      <c r="R50" s="416"/>
      <c r="S50" s="416"/>
      <c r="T50" s="416"/>
    </row>
    <row r="51" spans="1:20" s="412" customFormat="1" ht="11.25">
      <c r="A51" s="413"/>
      <c r="B51" s="445"/>
      <c r="C51" s="447"/>
      <c r="D51" s="453" t="s">
        <v>2148</v>
      </c>
      <c r="E51" s="453" t="s">
        <v>2189</v>
      </c>
      <c r="F51" s="451"/>
      <c r="G51" s="452"/>
      <c r="H51" s="452"/>
      <c r="I51" s="329">
        <f>+ROUND('SP Min'!D136,0)</f>
        <v>0</v>
      </c>
      <c r="J51" s="329">
        <f>+ROUND('SP Min'!E136,0)</f>
        <v>0</v>
      </c>
      <c r="K51" s="346">
        <f t="shared" si="3"/>
        <v>0</v>
      </c>
      <c r="L51" s="467" t="str">
        <f t="shared" si="2"/>
        <v xml:space="preserve">-    </v>
      </c>
      <c r="Q51" s="416"/>
      <c r="R51" s="416"/>
      <c r="S51" s="416"/>
      <c r="T51" s="416"/>
    </row>
    <row r="52" spans="1:20" s="412" customFormat="1" ht="11.25">
      <c r="A52" s="413"/>
      <c r="B52" s="445"/>
      <c r="C52" s="447"/>
      <c r="D52" s="453" t="s">
        <v>2170</v>
      </c>
      <c r="E52" s="453" t="s">
        <v>2190</v>
      </c>
      <c r="F52" s="451"/>
      <c r="G52" s="452"/>
      <c r="H52" s="452"/>
      <c r="I52" s="329">
        <f>I53+I54+I55+I56</f>
        <v>7184</v>
      </c>
      <c r="J52" s="329">
        <f>J53+J54+J55+J56</f>
        <v>27543</v>
      </c>
      <c r="K52" s="346">
        <f t="shared" si="3"/>
        <v>-20359</v>
      </c>
      <c r="L52" s="467">
        <f t="shared" si="2"/>
        <v>-0.73917147732636246</v>
      </c>
      <c r="Q52" s="416"/>
      <c r="R52" s="416"/>
      <c r="S52" s="416"/>
      <c r="T52" s="416"/>
    </row>
    <row r="53" spans="1:20" s="412" customFormat="1" ht="11.25">
      <c r="A53" s="413"/>
      <c r="B53" s="445"/>
      <c r="C53" s="447"/>
      <c r="D53" s="447"/>
      <c r="E53" s="447" t="s">
        <v>86</v>
      </c>
      <c r="F53" s="451" t="s">
        <v>2191</v>
      </c>
      <c r="G53" s="452"/>
      <c r="H53" s="452"/>
      <c r="I53" s="329">
        <f>+ROUND('SP Min'!D138,0)</f>
        <v>0</v>
      </c>
      <c r="J53" s="329">
        <f>+ROUND('SP Min'!E138,0)</f>
        <v>7876</v>
      </c>
      <c r="K53" s="346">
        <f t="shared" si="3"/>
        <v>-7876</v>
      </c>
      <c r="L53" s="467">
        <f t="shared" si="2"/>
        <v>-1</v>
      </c>
      <c r="Q53" s="416"/>
      <c r="R53" s="416"/>
      <c r="S53" s="416"/>
      <c r="T53" s="416"/>
    </row>
    <row r="54" spans="1:20" s="412" customFormat="1" ht="11.25">
      <c r="A54" s="413"/>
      <c r="B54" s="445"/>
      <c r="C54" s="447"/>
      <c r="D54" s="447"/>
      <c r="E54" s="447" t="s">
        <v>88</v>
      </c>
      <c r="F54" s="451" t="s">
        <v>2192</v>
      </c>
      <c r="G54" s="452"/>
      <c r="H54" s="452"/>
      <c r="I54" s="329">
        <f>+ROUND('SP Min'!D139,0)</f>
        <v>0</v>
      </c>
      <c r="J54" s="329">
        <f>+ROUND('SP Min'!E139,0)</f>
        <v>0</v>
      </c>
      <c r="K54" s="346">
        <f t="shared" si="3"/>
        <v>0</v>
      </c>
      <c r="L54" s="467" t="str">
        <f t="shared" si="2"/>
        <v xml:space="preserve">-    </v>
      </c>
      <c r="Q54" s="416"/>
      <c r="R54" s="416"/>
      <c r="S54" s="416"/>
      <c r="T54" s="416"/>
    </row>
    <row r="55" spans="1:20" s="412" customFormat="1" ht="11.25">
      <c r="A55" s="413"/>
      <c r="B55" s="445"/>
      <c r="C55" s="447"/>
      <c r="D55" s="447"/>
      <c r="E55" s="447" t="s">
        <v>116</v>
      </c>
      <c r="F55" s="451" t="s">
        <v>2193</v>
      </c>
      <c r="G55" s="452"/>
      <c r="H55" s="452"/>
      <c r="I55" s="329">
        <f>+ROUND('SP Min'!D140,0)</f>
        <v>7184</v>
      </c>
      <c r="J55" s="329">
        <f>+ROUND('SP Min'!E140,0)</f>
        <v>19667</v>
      </c>
      <c r="K55" s="346">
        <f t="shared" si="3"/>
        <v>-12483</v>
      </c>
      <c r="L55" s="467">
        <f t="shared" si="2"/>
        <v>-0.63471805562617578</v>
      </c>
      <c r="Q55" s="416"/>
      <c r="R55" s="416"/>
      <c r="S55" s="416"/>
      <c r="T55" s="416"/>
    </row>
    <row r="56" spans="1:20" s="412" customFormat="1" ht="11.25">
      <c r="A56" s="413"/>
      <c r="B56" s="445"/>
      <c r="C56" s="447"/>
      <c r="D56" s="447"/>
      <c r="E56" s="447" t="s">
        <v>2140</v>
      </c>
      <c r="F56" s="451" t="s">
        <v>2194</v>
      </c>
      <c r="G56" s="452"/>
      <c r="H56" s="452"/>
      <c r="I56" s="329">
        <f>+ROUND('SP Min'!D141,0)</f>
        <v>0</v>
      </c>
      <c r="J56" s="329">
        <f>+ROUND('SP Min'!E141,0)</f>
        <v>0</v>
      </c>
      <c r="K56" s="346">
        <f t="shared" si="3"/>
        <v>0</v>
      </c>
      <c r="L56" s="467" t="str">
        <f t="shared" si="2"/>
        <v xml:space="preserve">-    </v>
      </c>
      <c r="Q56" s="416"/>
      <c r="R56" s="416"/>
      <c r="S56" s="416"/>
      <c r="T56" s="416"/>
    </row>
    <row r="57" spans="1:20" s="412" customFormat="1" ht="11.25">
      <c r="A57" s="413"/>
      <c r="B57" s="447"/>
      <c r="C57" s="447"/>
      <c r="D57" s="453" t="s">
        <v>2172</v>
      </c>
      <c r="E57" s="453" t="s">
        <v>2195</v>
      </c>
      <c r="F57" s="454"/>
      <c r="G57" s="452"/>
      <c r="H57" s="452"/>
      <c r="I57" s="329">
        <f>+ROUND('SP Min'!D142,0)</f>
        <v>2312</v>
      </c>
      <c r="J57" s="329">
        <f>+ROUND('SP Min'!E142,0)</f>
        <v>5023</v>
      </c>
      <c r="K57" s="346">
        <f t="shared" si="3"/>
        <v>-2711</v>
      </c>
      <c r="L57" s="467">
        <f t="shared" si="2"/>
        <v>-0.53971730041807686</v>
      </c>
      <c r="Q57" s="416"/>
      <c r="R57" s="416"/>
      <c r="S57" s="416"/>
      <c r="T57" s="416"/>
    </row>
    <row r="58" spans="1:20" s="412" customFormat="1" ht="11.25">
      <c r="A58" s="413"/>
      <c r="B58" s="447"/>
      <c r="C58" s="447" t="s">
        <v>88</v>
      </c>
      <c r="D58" s="447" t="s">
        <v>2196</v>
      </c>
      <c r="E58" s="447"/>
      <c r="F58" s="451"/>
      <c r="G58" s="452"/>
      <c r="H58" s="329">
        <f>H59+H66</f>
        <v>109988156</v>
      </c>
      <c r="I58" s="329">
        <f>I59+I66</f>
        <v>170664021</v>
      </c>
      <c r="J58" s="329">
        <f>J59+J66</f>
        <v>167045996</v>
      </c>
      <c r="K58" s="346">
        <f t="shared" si="3"/>
        <v>3618025</v>
      </c>
      <c r="L58" s="467">
        <f t="shared" si="2"/>
        <v>2.1658854965910107E-2</v>
      </c>
      <c r="Q58" s="416"/>
      <c r="R58" s="416"/>
      <c r="S58" s="416"/>
      <c r="T58" s="416"/>
    </row>
    <row r="59" spans="1:20" s="412" customFormat="1" ht="11.25">
      <c r="A59" s="413"/>
      <c r="B59" s="447"/>
      <c r="C59" s="447"/>
      <c r="D59" s="453" t="s">
        <v>2146</v>
      </c>
      <c r="E59" s="453" t="s">
        <v>2197</v>
      </c>
      <c r="F59" s="454"/>
      <c r="G59" s="452"/>
      <c r="H59" s="452"/>
      <c r="I59" s="329">
        <f>I60+I65</f>
        <v>9040253</v>
      </c>
      <c r="J59" s="329">
        <f>J60+J65</f>
        <v>7085140</v>
      </c>
      <c r="K59" s="346">
        <f t="shared" si="3"/>
        <v>1955113</v>
      </c>
      <c r="L59" s="467">
        <f t="shared" si="2"/>
        <v>0.27594557058858399</v>
      </c>
      <c r="Q59" s="416"/>
      <c r="R59" s="416"/>
      <c r="S59" s="416"/>
      <c r="T59" s="416"/>
    </row>
    <row r="60" spans="1:20" s="412" customFormat="1" ht="11.25">
      <c r="A60" s="413"/>
      <c r="B60" s="447"/>
      <c r="C60" s="447"/>
      <c r="D60" s="447"/>
      <c r="E60" s="447" t="s">
        <v>86</v>
      </c>
      <c r="F60" s="454" t="s">
        <v>2198</v>
      </c>
      <c r="G60" s="452"/>
      <c r="H60" s="452"/>
      <c r="I60" s="329">
        <f>I61+I62+I63+I64</f>
        <v>6921171</v>
      </c>
      <c r="J60" s="329">
        <f>J61+J62+J63+J64</f>
        <v>5065385</v>
      </c>
      <c r="K60" s="346">
        <f t="shared" si="3"/>
        <v>1855786</v>
      </c>
      <c r="L60" s="467">
        <f t="shared" si="2"/>
        <v>0.36636622882564701</v>
      </c>
      <c r="Q60" s="416"/>
      <c r="R60" s="416"/>
      <c r="S60" s="416"/>
      <c r="T60" s="416"/>
    </row>
    <row r="61" spans="1:20" s="412" customFormat="1" ht="22.5">
      <c r="A61" s="413"/>
      <c r="B61" s="447"/>
      <c r="C61" s="447"/>
      <c r="D61" s="447"/>
      <c r="E61" s="447"/>
      <c r="F61" s="455" t="s">
        <v>2199</v>
      </c>
      <c r="G61" s="452"/>
      <c r="H61" s="452"/>
      <c r="I61" s="329">
        <f>+ROUND('SP Min'!D145+'SP Min'!D146+'SP Min'!D147+'SP Min'!D148+'SP Min'!D152+'SP Min'!D154,0)</f>
        <v>2135205</v>
      </c>
      <c r="J61" s="329">
        <f>+ROUND('SP Min'!E145+'SP Min'!E146+'SP Min'!E147+'SP Min'!E148+'SP Min'!E152+'SP Min'!E154,0)</f>
        <v>2284104</v>
      </c>
      <c r="K61" s="346">
        <f t="shared" si="3"/>
        <v>-148899</v>
      </c>
      <c r="L61" s="467">
        <f t="shared" si="2"/>
        <v>-6.5189238318395307E-2</v>
      </c>
      <c r="Q61" s="416"/>
      <c r="R61" s="416"/>
      <c r="S61" s="416"/>
      <c r="T61" s="416"/>
    </row>
    <row r="62" spans="1:20" s="412" customFormat="1" ht="22.5">
      <c r="A62" s="413"/>
      <c r="B62" s="447"/>
      <c r="C62" s="447"/>
      <c r="D62" s="447"/>
      <c r="E62" s="447"/>
      <c r="F62" s="455" t="s">
        <v>2200</v>
      </c>
      <c r="G62" s="452"/>
      <c r="H62" s="452"/>
      <c r="I62" s="329">
        <f>+ROUND('SP Min'!D149,0)</f>
        <v>0</v>
      </c>
      <c r="J62" s="329">
        <f>+ROUND('SP Min'!E149,0)</f>
        <v>0</v>
      </c>
      <c r="K62" s="346">
        <f t="shared" si="3"/>
        <v>0</v>
      </c>
      <c r="L62" s="467" t="str">
        <f t="shared" si="2"/>
        <v xml:space="preserve">-    </v>
      </c>
      <c r="Q62" s="416"/>
      <c r="R62" s="416"/>
      <c r="S62" s="416"/>
      <c r="T62" s="416"/>
    </row>
    <row r="63" spans="1:20" s="412" customFormat="1" ht="22.5">
      <c r="A63" s="413"/>
      <c r="B63" s="447"/>
      <c r="C63" s="447"/>
      <c r="D63" s="447"/>
      <c r="E63" s="447"/>
      <c r="F63" s="455" t="s">
        <v>2201</v>
      </c>
      <c r="G63" s="452"/>
      <c r="H63" s="452"/>
      <c r="I63" s="329">
        <f>+ROUND('SP Min'!D150,0)</f>
        <v>0</v>
      </c>
      <c r="J63" s="329">
        <f>+ROUND('SP Min'!E150,0)</f>
        <v>0</v>
      </c>
      <c r="K63" s="346">
        <f t="shared" si="3"/>
        <v>0</v>
      </c>
      <c r="L63" s="467" t="str">
        <f t="shared" si="2"/>
        <v xml:space="preserve">-    </v>
      </c>
      <c r="Q63" s="416"/>
      <c r="R63" s="416"/>
      <c r="S63" s="416"/>
      <c r="T63" s="416"/>
    </row>
    <row r="64" spans="1:20" s="412" customFormat="1" ht="11.25">
      <c r="A64" s="413"/>
      <c r="B64" s="447"/>
      <c r="C64" s="447"/>
      <c r="D64" s="447"/>
      <c r="E64" s="447"/>
      <c r="F64" s="456" t="s">
        <v>2202</v>
      </c>
      <c r="G64" s="452"/>
      <c r="H64" s="457"/>
      <c r="I64" s="329">
        <f>+ROUND('SP Min'!D151,0)</f>
        <v>4785966</v>
      </c>
      <c r="J64" s="329">
        <f>+ROUND('SP Min'!E151,0)</f>
        <v>2781281</v>
      </c>
      <c r="K64" s="346">
        <f t="shared" si="3"/>
        <v>2004685</v>
      </c>
      <c r="L64" s="467">
        <f t="shared" si="2"/>
        <v>0.72077758414198345</v>
      </c>
      <c r="Q64" s="416"/>
      <c r="R64" s="416"/>
      <c r="S64" s="416"/>
      <c r="T64" s="416"/>
    </row>
    <row r="65" spans="1:20" s="412" customFormat="1" ht="11.25">
      <c r="A65" s="413"/>
      <c r="B65" s="447"/>
      <c r="C65" s="447"/>
      <c r="D65" s="447"/>
      <c r="E65" s="447" t="s">
        <v>88</v>
      </c>
      <c r="F65" s="447" t="s">
        <v>2203</v>
      </c>
      <c r="G65" s="452"/>
      <c r="H65" s="457"/>
      <c r="I65" s="329">
        <f>+ROUND('SP Min'!D153,0)</f>
        <v>2119082</v>
      </c>
      <c r="J65" s="329">
        <f>+ROUND('SP Min'!E153,0)</f>
        <v>2019755</v>
      </c>
      <c r="K65" s="346">
        <f t="shared" si="3"/>
        <v>99327</v>
      </c>
      <c r="L65" s="467">
        <f t="shared" si="2"/>
        <v>4.9177746805924481E-2</v>
      </c>
      <c r="Q65" s="416"/>
      <c r="R65" s="416"/>
      <c r="S65" s="416"/>
      <c r="T65" s="416"/>
    </row>
    <row r="66" spans="1:20" s="412" customFormat="1" ht="11.25">
      <c r="A66" s="413"/>
      <c r="B66" s="447"/>
      <c r="C66" s="447"/>
      <c r="D66" s="453" t="s">
        <v>2148</v>
      </c>
      <c r="E66" s="453" t="s">
        <v>2204</v>
      </c>
      <c r="F66" s="454"/>
      <c r="G66" s="452"/>
      <c r="H66" s="329">
        <f>H67+H68+H69+H70</f>
        <v>109988156</v>
      </c>
      <c r="I66" s="329">
        <f>I67+I68+I69+I70</f>
        <v>161623768</v>
      </c>
      <c r="J66" s="329">
        <f>J67+J68+J69+J70</f>
        <v>159960856</v>
      </c>
      <c r="K66" s="346">
        <f t="shared" si="3"/>
        <v>1662912</v>
      </c>
      <c r="L66" s="467">
        <f t="shared" si="2"/>
        <v>1.0395743318602896E-2</v>
      </c>
      <c r="Q66" s="416"/>
      <c r="R66" s="416"/>
      <c r="S66" s="416"/>
      <c r="T66" s="416"/>
    </row>
    <row r="67" spans="1:20" s="412" customFormat="1" ht="11.25">
      <c r="A67" s="413"/>
      <c r="B67" s="447"/>
      <c r="C67" s="447"/>
      <c r="D67" s="447"/>
      <c r="E67" s="447" t="s">
        <v>86</v>
      </c>
      <c r="F67" s="454" t="s">
        <v>2205</v>
      </c>
      <c r="G67" s="452"/>
      <c r="H67" s="457">
        <v>109988156</v>
      </c>
      <c r="I67" s="329">
        <f>+ROUND('SP Min'!D156,0)</f>
        <v>161623768</v>
      </c>
      <c r="J67" s="329">
        <f>+ROUND('SP Min'!E156,0)</f>
        <v>159960856</v>
      </c>
      <c r="K67" s="346">
        <f t="shared" si="3"/>
        <v>1662912</v>
      </c>
      <c r="L67" s="467">
        <f t="shared" si="2"/>
        <v>1.0395743318602896E-2</v>
      </c>
      <c r="Q67" s="416"/>
      <c r="R67" s="416"/>
      <c r="S67" s="416"/>
      <c r="T67" s="416"/>
    </row>
    <row r="68" spans="1:20" s="412" customFormat="1" ht="11.25">
      <c r="A68" s="413"/>
      <c r="B68" s="447"/>
      <c r="C68" s="447"/>
      <c r="D68" s="447"/>
      <c r="E68" s="447" t="s">
        <v>88</v>
      </c>
      <c r="F68" s="454" t="s">
        <v>2206</v>
      </c>
      <c r="G68" s="452"/>
      <c r="H68" s="457"/>
      <c r="I68" s="329">
        <f>+ROUND('SP Min'!D157,0)</f>
        <v>0</v>
      </c>
      <c r="J68" s="329">
        <f>+ROUND('SP Min'!E157,0)</f>
        <v>0</v>
      </c>
      <c r="K68" s="346">
        <f t="shared" si="3"/>
        <v>0</v>
      </c>
      <c r="L68" s="467" t="str">
        <f t="shared" si="2"/>
        <v xml:space="preserve">-    </v>
      </c>
      <c r="Q68" s="416"/>
      <c r="R68" s="416"/>
      <c r="S68" s="416"/>
      <c r="T68" s="416"/>
    </row>
    <row r="69" spans="1:20" s="412" customFormat="1" ht="11.25">
      <c r="A69" s="413"/>
      <c r="B69" s="447"/>
      <c r="C69" s="447"/>
      <c r="D69" s="447"/>
      <c r="E69" s="447" t="s">
        <v>116</v>
      </c>
      <c r="F69" s="454" t="s">
        <v>2207</v>
      </c>
      <c r="G69" s="452"/>
      <c r="H69" s="457"/>
      <c r="I69" s="329">
        <f>+ROUND('SP Min'!D158+'SP Min'!D159+'SP Min'!D162+'SP Min'!D163,0)</f>
        <v>0</v>
      </c>
      <c r="J69" s="329">
        <f>+ROUND('SP Min'!E158+'SP Min'!E159+'SP Min'!E162+'SP Min'!E163,0)</f>
        <v>0</v>
      </c>
      <c r="K69" s="346">
        <f t="shared" si="3"/>
        <v>0</v>
      </c>
      <c r="L69" s="467" t="str">
        <f t="shared" si="2"/>
        <v xml:space="preserve">-    </v>
      </c>
      <c r="Q69" s="416"/>
      <c r="R69" s="416"/>
      <c r="S69" s="416"/>
      <c r="T69" s="416"/>
    </row>
    <row r="70" spans="1:20" s="412" customFormat="1" ht="22.5">
      <c r="A70" s="413"/>
      <c r="B70" s="445"/>
      <c r="C70" s="447"/>
      <c r="D70" s="445"/>
      <c r="E70" s="447" t="s">
        <v>2140</v>
      </c>
      <c r="F70" s="458" t="s">
        <v>2208</v>
      </c>
      <c r="G70" s="452"/>
      <c r="H70" s="452"/>
      <c r="I70" s="329">
        <f>+ROUND('SP Min'!D161,0)</f>
        <v>0</v>
      </c>
      <c r="J70" s="329">
        <f>+ROUND('SP Min'!E161,0)</f>
        <v>0</v>
      </c>
      <c r="K70" s="346">
        <f t="shared" si="3"/>
        <v>0</v>
      </c>
      <c r="L70" s="467" t="str">
        <f t="shared" si="2"/>
        <v xml:space="preserve">-    </v>
      </c>
      <c r="Q70" s="416"/>
      <c r="R70" s="416"/>
      <c r="S70" s="416"/>
      <c r="T70" s="416"/>
    </row>
    <row r="71" spans="1:20" s="412" customFormat="1" ht="11.25">
      <c r="A71" s="413"/>
      <c r="B71" s="445"/>
      <c r="C71" s="447" t="s">
        <v>116</v>
      </c>
      <c r="D71" s="447" t="s">
        <v>2209</v>
      </c>
      <c r="E71" s="414"/>
      <c r="F71" s="454"/>
      <c r="G71" s="452"/>
      <c r="H71" s="452"/>
      <c r="I71" s="329">
        <f>+ROUND('SP Min'!D164,0)</f>
        <v>372575</v>
      </c>
      <c r="J71" s="329">
        <f>+ROUND('SP Min'!E164,0)</f>
        <v>587690</v>
      </c>
      <c r="K71" s="346">
        <f t="shared" si="3"/>
        <v>-215115</v>
      </c>
      <c r="L71" s="467">
        <f t="shared" si="2"/>
        <v>-0.36603481427283091</v>
      </c>
      <c r="Q71" s="416"/>
      <c r="R71" s="416"/>
      <c r="S71" s="416"/>
      <c r="T71" s="416"/>
    </row>
    <row r="72" spans="1:20" s="412" customFormat="1" ht="11.25">
      <c r="A72" s="413"/>
      <c r="B72" s="445"/>
      <c r="C72" s="447" t="s">
        <v>2140</v>
      </c>
      <c r="D72" s="447" t="s">
        <v>2210</v>
      </c>
      <c r="E72" s="447"/>
      <c r="F72" s="454"/>
      <c r="G72" s="452"/>
      <c r="H72" s="452"/>
      <c r="I72" s="329">
        <f>I73+I74</f>
        <v>48709577</v>
      </c>
      <c r="J72" s="329">
        <f>J73+J74</f>
        <v>38135918</v>
      </c>
      <c r="K72" s="346">
        <f t="shared" si="3"/>
        <v>10573659</v>
      </c>
      <c r="L72" s="467">
        <f t="shared" si="2"/>
        <v>0.27726247470953763</v>
      </c>
      <c r="Q72" s="416"/>
      <c r="R72" s="416"/>
      <c r="S72" s="416"/>
      <c r="T72" s="416"/>
    </row>
    <row r="73" spans="1:20" s="412" customFormat="1" ht="11.25">
      <c r="A73" s="413"/>
      <c r="B73" s="445"/>
      <c r="C73" s="447"/>
      <c r="D73" s="453" t="s">
        <v>2146</v>
      </c>
      <c r="E73" s="453" t="s">
        <v>2211</v>
      </c>
      <c r="F73" s="454"/>
      <c r="G73" s="452"/>
      <c r="H73" s="452"/>
      <c r="I73" s="329">
        <f>+ROUND('SP Min'!D166+'SP Min'!D170+'SP Min'!D171+'SP Min'!D173,0)</f>
        <v>48426597</v>
      </c>
      <c r="J73" s="329">
        <f>+ROUND('SP Min'!E166+'SP Min'!E170+'SP Min'!E171+'SP Min'!E173,0)</f>
        <v>37936767</v>
      </c>
      <c r="K73" s="346">
        <f t="shared" si="3"/>
        <v>10489830</v>
      </c>
      <c r="L73" s="467">
        <f t="shared" si="2"/>
        <v>0.27650827494077185</v>
      </c>
      <c r="Q73" s="416"/>
      <c r="R73" s="416"/>
      <c r="S73" s="416"/>
      <c r="T73" s="416"/>
    </row>
    <row r="74" spans="1:20" s="412" customFormat="1" ht="11.25">
      <c r="A74" s="413"/>
      <c r="B74" s="445"/>
      <c r="C74" s="447"/>
      <c r="D74" s="453" t="s">
        <v>2148</v>
      </c>
      <c r="E74" s="453" t="s">
        <v>2212</v>
      </c>
      <c r="F74" s="454"/>
      <c r="G74" s="452"/>
      <c r="H74" s="452"/>
      <c r="I74" s="329">
        <f>+ROUND('SP Min'!D172,0)</f>
        <v>282980</v>
      </c>
      <c r="J74" s="329">
        <f>+ROUND('SP Min'!E172,0)</f>
        <v>199151</v>
      </c>
      <c r="K74" s="346">
        <f t="shared" si="3"/>
        <v>83829</v>
      </c>
      <c r="L74" s="467">
        <f t="shared" si="2"/>
        <v>0.42093185572756353</v>
      </c>
      <c r="Q74" s="416"/>
      <c r="R74" s="416"/>
      <c r="S74" s="416"/>
      <c r="T74" s="416"/>
    </row>
    <row r="75" spans="1:20" s="412" customFormat="1" ht="11.25">
      <c r="A75" s="413"/>
      <c r="B75" s="445"/>
      <c r="C75" s="447" t="s">
        <v>2142</v>
      </c>
      <c r="D75" s="447" t="s">
        <v>2213</v>
      </c>
      <c r="E75" s="447"/>
      <c r="F75" s="454"/>
      <c r="G75" s="452"/>
      <c r="H75" s="452"/>
      <c r="I75" s="329">
        <f>+ROUND('SP Min'!D174,0)</f>
        <v>3530</v>
      </c>
      <c r="J75" s="329">
        <f>+ROUND('SP Min'!E174,0)</f>
        <v>145</v>
      </c>
      <c r="K75" s="346">
        <f t="shared" si="3"/>
        <v>3385</v>
      </c>
      <c r="L75" s="467">
        <f t="shared" si="2"/>
        <v>23.344827586206897</v>
      </c>
      <c r="Q75" s="416"/>
      <c r="R75" s="416"/>
      <c r="S75" s="416"/>
      <c r="T75" s="416"/>
    </row>
    <row r="76" spans="1:20" s="412" customFormat="1" ht="11.25">
      <c r="A76" s="413"/>
      <c r="B76" s="445"/>
      <c r="C76" s="447" t="s">
        <v>2156</v>
      </c>
      <c r="D76" s="447" t="s">
        <v>2214</v>
      </c>
      <c r="E76" s="447"/>
      <c r="F76" s="454"/>
      <c r="G76" s="452"/>
      <c r="H76" s="452"/>
      <c r="I76" s="415">
        <f>+ROUND('SP Min'!D178,0)</f>
        <v>43375</v>
      </c>
      <c r="J76" s="415">
        <f>+ROUND('SP Min'!E178,0)</f>
        <v>7046</v>
      </c>
      <c r="K76" s="346">
        <f t="shared" si="3"/>
        <v>36329</v>
      </c>
      <c r="L76" s="467">
        <f t="shared" si="2"/>
        <v>5.1559750212886746</v>
      </c>
      <c r="Q76" s="416"/>
      <c r="R76" s="416"/>
      <c r="S76" s="416"/>
      <c r="T76" s="416"/>
    </row>
    <row r="77" spans="1:20" s="412" customFormat="1" ht="11.25">
      <c r="A77" s="413"/>
      <c r="B77" s="445"/>
      <c r="C77" s="447" t="s">
        <v>2158</v>
      </c>
      <c r="D77" s="447" t="s">
        <v>2215</v>
      </c>
      <c r="E77" s="447"/>
      <c r="F77" s="454"/>
      <c r="G77" s="459"/>
      <c r="H77" s="459"/>
      <c r="I77" s="415">
        <f>+ROUND('SP Min'!D179,0)</f>
        <v>17431344</v>
      </c>
      <c r="J77" s="415">
        <f>+ROUND('SP Min'!E179,0)</f>
        <v>11304161</v>
      </c>
      <c r="K77" s="346">
        <f t="shared" si="3"/>
        <v>6127183</v>
      </c>
      <c r="L77" s="467">
        <f t="shared" si="2"/>
        <v>0.54202899268685223</v>
      </c>
      <c r="Q77" s="416"/>
      <c r="R77" s="416"/>
      <c r="S77" s="416"/>
      <c r="T77" s="416"/>
    </row>
    <row r="78" spans="1:20" s="405" customFormat="1" ht="11.25">
      <c r="A78" s="443"/>
      <c r="B78" s="445" t="s">
        <v>125</v>
      </c>
      <c r="C78" s="460" t="s">
        <v>2216</v>
      </c>
      <c r="D78" s="445"/>
      <c r="E78" s="445"/>
      <c r="F78" s="460"/>
      <c r="G78" s="445"/>
      <c r="H78" s="445"/>
      <c r="I78" s="346">
        <f>SUM(I79:I80)</f>
        <v>0</v>
      </c>
      <c r="J78" s="346">
        <f>SUM(J79:J80)</f>
        <v>0</v>
      </c>
      <c r="K78" s="346">
        <f t="shared" si="3"/>
        <v>0</v>
      </c>
      <c r="L78" s="404" t="str">
        <f t="shared" si="2"/>
        <v xml:space="preserve">-    </v>
      </c>
      <c r="Q78" s="418"/>
      <c r="R78" s="418"/>
      <c r="S78" s="418"/>
      <c r="T78" s="418"/>
    </row>
    <row r="79" spans="1:20" s="412" customFormat="1" ht="11.25">
      <c r="A79" s="413"/>
      <c r="B79" s="445"/>
      <c r="C79" s="447" t="s">
        <v>86</v>
      </c>
      <c r="D79" s="447" t="s">
        <v>2217</v>
      </c>
      <c r="E79" s="445"/>
      <c r="F79" s="414"/>
      <c r="G79" s="447"/>
      <c r="H79" s="447"/>
      <c r="I79" s="415">
        <f>+ROUND('SP Min'!D191,0)</f>
        <v>0</v>
      </c>
      <c r="J79" s="415">
        <f>+ROUND('SP Min'!E191,0)</f>
        <v>0</v>
      </c>
      <c r="K79" s="346">
        <f t="shared" si="3"/>
        <v>0</v>
      </c>
      <c r="L79" s="467" t="str">
        <f t="shared" si="2"/>
        <v xml:space="preserve">-    </v>
      </c>
      <c r="Q79" s="416"/>
      <c r="R79" s="416"/>
      <c r="S79" s="416"/>
      <c r="T79" s="416"/>
    </row>
    <row r="80" spans="1:20" s="412" customFormat="1" ht="11.25">
      <c r="A80" s="443"/>
      <c r="B80" s="445"/>
      <c r="C80" s="447" t="s">
        <v>88</v>
      </c>
      <c r="D80" s="447" t="s">
        <v>2218</v>
      </c>
      <c r="E80" s="445"/>
      <c r="F80" s="456"/>
      <c r="G80" s="447"/>
      <c r="H80" s="447"/>
      <c r="I80" s="415">
        <f>+ROUND('SP Min'!D192,0)</f>
        <v>0</v>
      </c>
      <c r="J80" s="415">
        <f>+ROUND('SP Min'!E192,0)</f>
        <v>0</v>
      </c>
      <c r="K80" s="346">
        <f t="shared" si="3"/>
        <v>0</v>
      </c>
      <c r="L80" s="467" t="str">
        <f t="shared" si="2"/>
        <v xml:space="preserve">-    </v>
      </c>
      <c r="Q80" s="416"/>
      <c r="R80" s="416"/>
      <c r="S80" s="416"/>
      <c r="T80" s="416"/>
    </row>
    <row r="81" spans="1:20" s="405" customFormat="1" ht="11.25">
      <c r="A81" s="406"/>
      <c r="B81" s="445" t="s">
        <v>126</v>
      </c>
      <c r="C81" s="460" t="s">
        <v>2219</v>
      </c>
      <c r="D81" s="445"/>
      <c r="E81" s="445"/>
      <c r="F81" s="400"/>
      <c r="G81" s="445"/>
      <c r="H81" s="445"/>
      <c r="I81" s="461">
        <f>SUM(I82:I85)</f>
        <v>239290103</v>
      </c>
      <c r="J81" s="461">
        <f>SUM(J82:J85)</f>
        <v>180162609</v>
      </c>
      <c r="K81" s="346">
        <f t="shared" si="3"/>
        <v>59127494</v>
      </c>
      <c r="L81" s="404">
        <f t="shared" si="2"/>
        <v>0.3281895967658861</v>
      </c>
      <c r="Q81" s="418"/>
      <c r="R81" s="418"/>
      <c r="S81" s="418"/>
      <c r="T81" s="418"/>
    </row>
    <row r="82" spans="1:20" s="412" customFormat="1" ht="11.25">
      <c r="A82" s="443"/>
      <c r="B82" s="445"/>
      <c r="C82" s="445" t="s">
        <v>86</v>
      </c>
      <c r="D82" s="454" t="s">
        <v>2220</v>
      </c>
      <c r="E82" s="445"/>
      <c r="F82" s="454"/>
      <c r="G82" s="447"/>
      <c r="H82" s="447"/>
      <c r="I82" s="415">
        <f>+ROUND('SP Min'!D194,0)</f>
        <v>97104</v>
      </c>
      <c r="J82" s="415">
        <f>+ROUND('SP Min'!E194,0)</f>
        <v>126321</v>
      </c>
      <c r="K82" s="346">
        <f t="shared" si="3"/>
        <v>-29217</v>
      </c>
      <c r="L82" s="467">
        <f t="shared" si="2"/>
        <v>-0.2312917092169948</v>
      </c>
      <c r="Q82" s="416"/>
      <c r="R82" s="416"/>
      <c r="S82" s="416"/>
      <c r="T82" s="416"/>
    </row>
    <row r="83" spans="1:20" s="412" customFormat="1" ht="11.25">
      <c r="A83" s="413"/>
      <c r="B83" s="445"/>
      <c r="C83" s="445" t="s">
        <v>88</v>
      </c>
      <c r="D83" s="454" t="s">
        <v>2221</v>
      </c>
      <c r="E83" s="445"/>
      <c r="F83" s="414"/>
      <c r="G83" s="447"/>
      <c r="H83" s="447"/>
      <c r="I83" s="415">
        <f>+ROUND('SP Min'!D195,0)</f>
        <v>239115355</v>
      </c>
      <c r="J83" s="415">
        <f>+ROUND('SP Min'!E195,0)</f>
        <v>179923676</v>
      </c>
      <c r="K83" s="346">
        <f t="shared" si="3"/>
        <v>59191679</v>
      </c>
      <c r="L83" s="467">
        <f t="shared" si="2"/>
        <v>0.32898215685633281</v>
      </c>
      <c r="Q83" s="416"/>
      <c r="R83" s="416"/>
      <c r="S83" s="416"/>
      <c r="T83" s="416"/>
    </row>
    <row r="84" spans="1:20" s="412" customFormat="1" ht="11.25">
      <c r="A84" s="413"/>
      <c r="B84" s="445"/>
      <c r="C84" s="445" t="s">
        <v>116</v>
      </c>
      <c r="D84" s="454" t="s">
        <v>2222</v>
      </c>
      <c r="E84" s="445"/>
      <c r="F84" s="414"/>
      <c r="G84" s="447"/>
      <c r="H84" s="447"/>
      <c r="I84" s="415">
        <f>+ROUND('SP Min'!D196,0)</f>
        <v>0</v>
      </c>
      <c r="J84" s="415">
        <f>+ROUND('SP Min'!E196,0)</f>
        <v>0</v>
      </c>
      <c r="K84" s="346">
        <f t="shared" si="3"/>
        <v>0</v>
      </c>
      <c r="L84" s="467" t="str">
        <f t="shared" si="2"/>
        <v xml:space="preserve">-    </v>
      </c>
      <c r="Q84" s="416"/>
      <c r="R84" s="416"/>
      <c r="S84" s="416"/>
      <c r="T84" s="416"/>
    </row>
    <row r="85" spans="1:20" s="412" customFormat="1" ht="11.25">
      <c r="A85" s="413"/>
      <c r="B85" s="445"/>
      <c r="C85" s="445" t="s">
        <v>2140</v>
      </c>
      <c r="D85" s="454" t="s">
        <v>2223</v>
      </c>
      <c r="E85" s="445"/>
      <c r="F85" s="414"/>
      <c r="G85" s="447"/>
      <c r="H85" s="447"/>
      <c r="I85" s="415">
        <f>+ROUND('SP Min'!D197,0)</f>
        <v>77644</v>
      </c>
      <c r="J85" s="415">
        <f>+ROUND('SP Min'!E197,0)</f>
        <v>112612</v>
      </c>
      <c r="K85" s="346">
        <f t="shared" si="3"/>
        <v>-34968</v>
      </c>
      <c r="L85" s="467">
        <f t="shared" si="2"/>
        <v>-0.31051752921535891</v>
      </c>
      <c r="Q85" s="416"/>
      <c r="R85" s="416"/>
      <c r="S85" s="416"/>
      <c r="T85" s="416"/>
    </row>
    <row r="86" spans="1:20" s="405" customFormat="1" ht="11.25">
      <c r="A86" s="1018" t="s">
        <v>2224</v>
      </c>
      <c r="B86" s="1019"/>
      <c r="C86" s="1019"/>
      <c r="D86" s="1019"/>
      <c r="E86" s="1019"/>
      <c r="F86" s="1019"/>
      <c r="G86" s="1032"/>
      <c r="H86" s="1019"/>
      <c r="I86" s="349">
        <f>I40+I46+I78+I81</f>
        <v>482629640</v>
      </c>
      <c r="J86" s="349">
        <f>J40+J46+J78+J81</f>
        <v>402095002</v>
      </c>
      <c r="K86" s="349">
        <f t="shared" si="3"/>
        <v>80534638</v>
      </c>
      <c r="L86" s="462">
        <f t="shared" si="2"/>
        <v>0.20028758775768121</v>
      </c>
      <c r="Q86" s="418"/>
      <c r="R86" s="418"/>
      <c r="S86" s="418"/>
      <c r="T86" s="418"/>
    </row>
    <row r="87" spans="1:20" s="405" customFormat="1" ht="11.25">
      <c r="A87" s="443" t="s">
        <v>84</v>
      </c>
      <c r="B87" s="444" t="s">
        <v>2225</v>
      </c>
      <c r="C87" s="445"/>
      <c r="D87" s="445"/>
      <c r="E87" s="445"/>
      <c r="F87" s="400"/>
      <c r="G87" s="463"/>
      <c r="H87" s="464"/>
      <c r="I87" s="464"/>
      <c r="J87" s="464"/>
      <c r="K87" s="346">
        <f t="shared" si="3"/>
        <v>0</v>
      </c>
      <c r="L87" s="467" t="str">
        <f t="shared" ref="L87" si="4">IF(J87=0,"-    ",K87/K87)</f>
        <v xml:space="preserve">-    </v>
      </c>
      <c r="Q87" s="418"/>
      <c r="R87" s="418"/>
      <c r="S87" s="418"/>
      <c r="T87" s="418"/>
    </row>
    <row r="88" spans="1:20" s="405" customFormat="1" ht="11.25">
      <c r="A88" s="443"/>
      <c r="B88" s="445" t="s">
        <v>123</v>
      </c>
      <c r="C88" s="444" t="s">
        <v>2226</v>
      </c>
      <c r="D88" s="445"/>
      <c r="E88" s="445"/>
      <c r="F88" s="460"/>
      <c r="G88" s="445"/>
      <c r="H88" s="464"/>
      <c r="I88" s="415">
        <f>+ROUND('SP Min'!D199,0)</f>
        <v>2250</v>
      </c>
      <c r="J88" s="415">
        <f>+ROUND('SP Min'!E199,0)</f>
        <v>0</v>
      </c>
      <c r="K88" s="346">
        <f t="shared" si="3"/>
        <v>2250</v>
      </c>
      <c r="L88" s="467" t="str">
        <f t="shared" si="2"/>
        <v xml:space="preserve">-    </v>
      </c>
      <c r="Q88" s="418"/>
      <c r="R88" s="418"/>
      <c r="S88" s="418"/>
      <c r="T88" s="418"/>
    </row>
    <row r="89" spans="1:20" s="405" customFormat="1" ht="11.25">
      <c r="A89" s="443"/>
      <c r="B89" s="445" t="s">
        <v>124</v>
      </c>
      <c r="C89" s="444" t="s">
        <v>2227</v>
      </c>
      <c r="D89" s="445"/>
      <c r="E89" s="445"/>
      <c r="F89" s="400"/>
      <c r="G89" s="465"/>
      <c r="H89" s="464"/>
      <c r="I89" s="415">
        <f>+ROUND('SP Min'!D202,0)</f>
        <v>93959</v>
      </c>
      <c r="J89" s="415">
        <f>+ROUND('SP Min'!E202,0)</f>
        <v>416590</v>
      </c>
      <c r="K89" s="346">
        <f t="shared" si="3"/>
        <v>-322631</v>
      </c>
      <c r="L89" s="467">
        <f t="shared" si="2"/>
        <v>-0.77445690006961276</v>
      </c>
      <c r="Q89" s="418"/>
      <c r="R89" s="418"/>
      <c r="S89" s="418"/>
      <c r="T89" s="418"/>
    </row>
    <row r="90" spans="1:20" s="405" customFormat="1" ht="11.25">
      <c r="A90" s="1018" t="s">
        <v>2228</v>
      </c>
      <c r="B90" s="1019"/>
      <c r="C90" s="1019"/>
      <c r="D90" s="1019"/>
      <c r="E90" s="1019"/>
      <c r="F90" s="1019"/>
      <c r="G90" s="1021"/>
      <c r="H90" s="1019"/>
      <c r="I90" s="349">
        <f>SUM(I88:I89)</f>
        <v>96209</v>
      </c>
      <c r="J90" s="349">
        <f>SUM(J88:J89)</f>
        <v>416590</v>
      </c>
      <c r="K90" s="349">
        <f t="shared" si="3"/>
        <v>-320381</v>
      </c>
      <c r="L90" s="462">
        <f t="shared" si="2"/>
        <v>-0.7690559062867568</v>
      </c>
      <c r="Q90" s="418"/>
      <c r="R90" s="418"/>
      <c r="S90" s="418"/>
      <c r="T90" s="418"/>
    </row>
    <row r="91" spans="1:20" s="468" customFormat="1" ht="5.45" customHeight="1" thickBot="1">
      <c r="A91" s="466"/>
      <c r="B91" s="460"/>
      <c r="C91" s="460"/>
      <c r="D91" s="460"/>
      <c r="E91" s="460"/>
      <c r="F91" s="460"/>
      <c r="G91" s="460"/>
      <c r="H91" s="460"/>
      <c r="I91" s="460"/>
      <c r="J91" s="460"/>
      <c r="K91" s="415"/>
      <c r="L91" s="467"/>
      <c r="Q91" s="469"/>
      <c r="R91" s="469"/>
      <c r="S91" s="469"/>
      <c r="T91" s="469"/>
    </row>
    <row r="92" spans="1:20" s="405" customFormat="1" ht="12" thickBot="1">
      <c r="A92" s="1001" t="s">
        <v>2229</v>
      </c>
      <c r="B92" s="1002"/>
      <c r="C92" s="1002"/>
      <c r="D92" s="1002"/>
      <c r="E92" s="1002"/>
      <c r="F92" s="1002"/>
      <c r="G92" s="1002"/>
      <c r="H92" s="1002"/>
      <c r="I92" s="353">
        <f>I37+I86+I90</f>
        <v>817219476</v>
      </c>
      <c r="J92" s="353">
        <f>J37+J86+J90</f>
        <v>739369783</v>
      </c>
      <c r="K92" s="353">
        <f>+I92-J92</f>
        <v>77849693</v>
      </c>
      <c r="L92" s="470">
        <f t="shared" si="2"/>
        <v>0.1052919591657156</v>
      </c>
      <c r="Q92" s="418"/>
      <c r="R92" s="418"/>
      <c r="S92" s="418"/>
      <c r="T92" s="418"/>
    </row>
    <row r="93" spans="1:20" s="471" customFormat="1" ht="11.25">
      <c r="A93" s="443" t="s">
        <v>92</v>
      </c>
      <c r="B93" s="444" t="s">
        <v>2230</v>
      </c>
      <c r="C93" s="445"/>
      <c r="D93" s="445"/>
      <c r="E93" s="445"/>
      <c r="F93" s="400"/>
      <c r="G93" s="445"/>
      <c r="H93" s="464"/>
      <c r="I93" s="464"/>
      <c r="J93" s="464"/>
      <c r="K93" s="415"/>
      <c r="L93" s="467"/>
      <c r="Q93" s="472"/>
      <c r="R93" s="472"/>
      <c r="S93" s="472"/>
      <c r="T93" s="472"/>
    </row>
    <row r="94" spans="1:20" s="471" customFormat="1" ht="11.25">
      <c r="A94" s="443"/>
      <c r="B94" s="447" t="s">
        <v>2231</v>
      </c>
      <c r="C94" s="473" t="s">
        <v>2232</v>
      </c>
      <c r="D94" s="447"/>
      <c r="E94" s="447"/>
      <c r="F94" s="454"/>
      <c r="G94" s="445"/>
      <c r="H94" s="464"/>
      <c r="I94" s="415">
        <f>+ROUND('SP Min'!D207,0)</f>
        <v>0</v>
      </c>
      <c r="J94" s="415">
        <f>+ROUND('SP Min'!E207,0)</f>
        <v>0</v>
      </c>
      <c r="K94" s="346">
        <f>+I94-J94</f>
        <v>0</v>
      </c>
      <c r="L94" s="404" t="str">
        <f t="shared" si="2"/>
        <v xml:space="preserve">-    </v>
      </c>
      <c r="Q94" s="472"/>
      <c r="R94" s="472"/>
      <c r="S94" s="472"/>
      <c r="T94" s="472"/>
    </row>
    <row r="95" spans="1:20" s="471" customFormat="1" ht="11.25">
      <c r="A95" s="443"/>
      <c r="B95" s="447" t="s">
        <v>88</v>
      </c>
      <c r="C95" s="454" t="s">
        <v>2233</v>
      </c>
      <c r="D95" s="447"/>
      <c r="E95" s="447"/>
      <c r="F95" s="414"/>
      <c r="G95" s="445"/>
      <c r="H95" s="464"/>
      <c r="I95" s="415">
        <f>+ROUND('SP Min'!D208,0)</f>
        <v>539195</v>
      </c>
      <c r="J95" s="415">
        <f>+ROUND('SP Min'!E208,0)</f>
        <v>5237</v>
      </c>
      <c r="K95" s="346">
        <f t="shared" ref="K95:K98" si="5">+I95-J95</f>
        <v>533958</v>
      </c>
      <c r="L95" s="404">
        <f t="shared" si="2"/>
        <v>101.95875501241169</v>
      </c>
      <c r="Q95" s="472"/>
      <c r="R95" s="472"/>
      <c r="S95" s="472"/>
      <c r="T95" s="472"/>
    </row>
    <row r="96" spans="1:20" s="471" customFormat="1" ht="11.25">
      <c r="A96" s="443"/>
      <c r="B96" s="454" t="s">
        <v>116</v>
      </c>
      <c r="C96" s="447" t="s">
        <v>2234</v>
      </c>
      <c r="D96" s="447"/>
      <c r="E96" s="447"/>
      <c r="F96" s="414"/>
      <c r="G96" s="445"/>
      <c r="H96" s="464"/>
      <c r="I96" s="415">
        <f>+ROUND('SP Min'!D209,0)</f>
        <v>2715846</v>
      </c>
      <c r="J96" s="415">
        <f>+ROUND('SP Min'!E209,0)</f>
        <v>453687</v>
      </c>
      <c r="K96" s="346">
        <f t="shared" si="5"/>
        <v>2262159</v>
      </c>
      <c r="L96" s="404">
        <f t="shared" si="2"/>
        <v>4.9861666743812361</v>
      </c>
      <c r="Q96" s="472"/>
      <c r="R96" s="472"/>
      <c r="S96" s="472"/>
      <c r="T96" s="472"/>
    </row>
    <row r="97" spans="1:20" s="471" customFormat="1" ht="11.25">
      <c r="A97" s="443"/>
      <c r="B97" s="447" t="s">
        <v>2140</v>
      </c>
      <c r="C97" s="473" t="s">
        <v>2235</v>
      </c>
      <c r="D97" s="447"/>
      <c r="E97" s="447"/>
      <c r="F97" s="454"/>
      <c r="G97" s="465"/>
      <c r="H97" s="464"/>
      <c r="I97" s="415">
        <f>+ROUND('SP Min'!D210+'SP Min'!D211,0)</f>
        <v>34647845</v>
      </c>
      <c r="J97" s="415">
        <f>+ROUND('SP Min'!E210+'SP Min'!E211,0)</f>
        <v>25891060</v>
      </c>
      <c r="K97" s="346">
        <f t="shared" si="5"/>
        <v>8756785</v>
      </c>
      <c r="L97" s="404">
        <f t="shared" si="2"/>
        <v>0.33821655042319626</v>
      </c>
      <c r="Q97" s="472"/>
      <c r="R97" s="472"/>
      <c r="S97" s="472"/>
      <c r="T97" s="472"/>
    </row>
    <row r="98" spans="1:20" s="405" customFormat="1" ht="12" thickBot="1">
      <c r="A98" s="990" t="s">
        <v>2236</v>
      </c>
      <c r="B98" s="991"/>
      <c r="C98" s="991"/>
      <c r="D98" s="991"/>
      <c r="E98" s="991"/>
      <c r="F98" s="991"/>
      <c r="G98" s="992"/>
      <c r="H98" s="993"/>
      <c r="I98" s="474">
        <f>SUM(I94:I97)</f>
        <v>37902886</v>
      </c>
      <c r="J98" s="474">
        <f>SUM(J94:J97)</f>
        <v>26349984</v>
      </c>
      <c r="K98" s="474">
        <f t="shared" si="5"/>
        <v>11552902</v>
      </c>
      <c r="L98" s="475">
        <f t="shared" si="2"/>
        <v>0.43844056983108604</v>
      </c>
      <c r="Q98" s="418"/>
      <c r="R98" s="418"/>
      <c r="S98" s="418"/>
      <c r="T98" s="418"/>
    </row>
    <row r="99" spans="1:20" s="477" customFormat="1" ht="11.25">
      <c r="A99" s="440"/>
      <c r="B99" s="440"/>
      <c r="C99" s="440"/>
      <c r="D99" s="440"/>
      <c r="E99" s="440"/>
      <c r="F99" s="440"/>
      <c r="G99" s="440"/>
      <c r="H99" s="440"/>
      <c r="I99" s="440"/>
      <c r="J99" s="322"/>
      <c r="K99" s="322"/>
      <c r="L99" s="476"/>
      <c r="Q99" s="478"/>
      <c r="R99" s="478"/>
      <c r="S99" s="478"/>
      <c r="T99" s="478"/>
    </row>
    <row r="100" spans="1:20" s="480" customFormat="1" ht="12" thickBot="1">
      <c r="A100" s="386"/>
      <c r="B100" s="386"/>
      <c r="C100" s="386"/>
      <c r="D100" s="386"/>
      <c r="E100" s="386"/>
      <c r="F100" s="451"/>
      <c r="G100" s="385"/>
      <c r="H100" s="385"/>
      <c r="I100" s="385"/>
      <c r="J100" s="385"/>
      <c r="K100" s="385"/>
      <c r="L100" s="479"/>
      <c r="Q100" s="416"/>
      <c r="R100" s="416"/>
      <c r="S100" s="416"/>
      <c r="T100" s="416"/>
    </row>
    <row r="101" spans="1:20" ht="32.25" customHeight="1" thickBot="1">
      <c r="A101" s="1004" t="s">
        <v>2237</v>
      </c>
      <c r="B101" s="1005"/>
      <c r="C101" s="1005"/>
      <c r="D101" s="1005"/>
      <c r="E101" s="1005"/>
      <c r="F101" s="1005"/>
      <c r="G101" s="1005"/>
      <c r="H101" s="1005"/>
      <c r="I101" s="1005"/>
      <c r="J101" s="1005"/>
      <c r="K101" s="1006" t="s">
        <v>2238</v>
      </c>
      <c r="L101" s="1007"/>
    </row>
    <row r="102" spans="1:20" ht="13.5" thickBot="1">
      <c r="A102" s="481"/>
      <c r="B102" s="481"/>
      <c r="C102" s="481"/>
      <c r="D102" s="481"/>
      <c r="E102" s="481"/>
      <c r="F102" s="482"/>
      <c r="G102" s="385"/>
      <c r="H102" s="385"/>
      <c r="I102" s="385"/>
      <c r="J102" s="386"/>
      <c r="K102" s="387"/>
      <c r="L102" s="388"/>
    </row>
    <row r="103" spans="1:20" ht="13.15" customHeight="1">
      <c r="A103" s="1008" t="s">
        <v>2128</v>
      </c>
      <c r="B103" s="1009"/>
      <c r="C103" s="1009"/>
      <c r="D103" s="1009"/>
      <c r="E103" s="1009"/>
      <c r="F103" s="1009"/>
      <c r="G103" s="1009"/>
      <c r="H103" s="1009"/>
      <c r="I103" s="960" t="s">
        <v>3488</v>
      </c>
      <c r="J103" s="960" t="s">
        <v>3487</v>
      </c>
      <c r="K103" s="1013" t="s">
        <v>3476</v>
      </c>
      <c r="L103" s="1014"/>
    </row>
    <row r="104" spans="1:20" s="390" customFormat="1" ht="39.75" customHeight="1">
      <c r="A104" s="1010"/>
      <c r="B104" s="1011"/>
      <c r="C104" s="1011"/>
      <c r="D104" s="1011"/>
      <c r="E104" s="1011"/>
      <c r="F104" s="1011"/>
      <c r="G104" s="1012"/>
      <c r="H104" s="1011"/>
      <c r="I104" s="961"/>
      <c r="J104" s="961"/>
      <c r="K104" s="378" t="s">
        <v>2</v>
      </c>
      <c r="L104" s="389" t="s">
        <v>3</v>
      </c>
    </row>
    <row r="105" spans="1:20" s="412" customFormat="1" ht="11.25">
      <c r="A105" s="483"/>
      <c r="B105" s="484"/>
      <c r="C105" s="484"/>
      <c r="D105" s="484"/>
      <c r="E105" s="484"/>
      <c r="F105" s="485"/>
      <c r="G105" s="486"/>
      <c r="H105" s="487"/>
      <c r="I105" s="487"/>
      <c r="J105" s="488"/>
      <c r="K105" s="488"/>
      <c r="L105" s="489"/>
      <c r="Q105" s="416"/>
      <c r="R105" s="416"/>
      <c r="S105" s="416"/>
      <c r="T105" s="416"/>
    </row>
    <row r="106" spans="1:20" s="405" customFormat="1" ht="11.25">
      <c r="A106" s="398" t="s">
        <v>4</v>
      </c>
      <c r="B106" s="328" t="s">
        <v>2239</v>
      </c>
      <c r="C106" s="399"/>
      <c r="D106" s="399"/>
      <c r="E106" s="399"/>
      <c r="F106" s="400"/>
      <c r="G106" s="401"/>
      <c r="H106" s="341"/>
      <c r="I106" s="341"/>
      <c r="J106" s="346"/>
      <c r="K106" s="346"/>
      <c r="L106" s="490"/>
      <c r="Q106" s="418"/>
      <c r="R106" s="418"/>
      <c r="S106" s="418"/>
      <c r="T106" s="418"/>
    </row>
    <row r="107" spans="1:20" s="405" customFormat="1" ht="11.25">
      <c r="A107" s="398"/>
      <c r="B107" s="399"/>
      <c r="C107" s="399"/>
      <c r="D107" s="399"/>
      <c r="E107" s="399"/>
      <c r="F107" s="440"/>
      <c r="G107" s="401"/>
      <c r="H107" s="341"/>
      <c r="I107" s="341"/>
      <c r="J107" s="346"/>
      <c r="K107" s="346"/>
      <c r="L107" s="490"/>
      <c r="Q107" s="418"/>
      <c r="R107" s="418"/>
      <c r="S107" s="418"/>
      <c r="T107" s="418"/>
    </row>
    <row r="108" spans="1:20" s="405" customFormat="1" ht="11.25">
      <c r="A108" s="406"/>
      <c r="B108" s="399" t="s">
        <v>123</v>
      </c>
      <c r="C108" s="407" t="s">
        <v>2240</v>
      </c>
      <c r="D108" s="399"/>
      <c r="E108" s="399"/>
      <c r="F108" s="400"/>
      <c r="G108" s="401"/>
      <c r="H108" s="341"/>
      <c r="I108" s="346">
        <f>+ROUND('SP Min'!D213,0)</f>
        <v>704666</v>
      </c>
      <c r="J108" s="346">
        <f>+ROUND('SP Min'!E213,0)</f>
        <v>704666</v>
      </c>
      <c r="K108" s="415">
        <f>+I108-J108</f>
        <v>0</v>
      </c>
      <c r="L108" s="467">
        <f t="shared" ref="L108:L167" si="6">IF(J108=0,"-    ",K108/J108)</f>
        <v>0</v>
      </c>
      <c r="N108" s="491"/>
      <c r="Q108" s="418"/>
      <c r="R108" s="418"/>
      <c r="S108" s="418"/>
      <c r="T108" s="418"/>
    </row>
    <row r="109" spans="1:20" s="405" customFormat="1" ht="11.25">
      <c r="A109" s="406"/>
      <c r="B109" s="399" t="s">
        <v>124</v>
      </c>
      <c r="C109" s="492" t="s">
        <v>2241</v>
      </c>
      <c r="D109" s="399"/>
      <c r="E109" s="399"/>
      <c r="F109" s="407"/>
      <c r="G109" s="401"/>
      <c r="H109" s="341"/>
      <c r="I109" s="346">
        <f>I110+I111+SUM(I115:I117)</f>
        <v>455458031</v>
      </c>
      <c r="J109" s="346">
        <f>J110+J111+SUM(J115:J117)</f>
        <v>455516695</v>
      </c>
      <c r="K109" s="415">
        <f t="shared" ref="K109:K167" si="7">+I109-J109</f>
        <v>-58664</v>
      </c>
      <c r="L109" s="467">
        <f t="shared" si="6"/>
        <v>-1.2878562003089701E-4</v>
      </c>
      <c r="Q109" s="418"/>
      <c r="R109" s="418"/>
      <c r="S109" s="418"/>
      <c r="T109" s="418"/>
    </row>
    <row r="110" spans="1:20" s="412" customFormat="1" ht="11.25">
      <c r="A110" s="413"/>
      <c r="B110" s="399"/>
      <c r="C110" s="447" t="s">
        <v>86</v>
      </c>
      <c r="D110" s="447" t="s">
        <v>2242</v>
      </c>
      <c r="E110" s="445"/>
      <c r="F110" s="409"/>
      <c r="G110" s="410"/>
      <c r="H110" s="340"/>
      <c r="I110" s="415">
        <f>+ROUND('SP Min'!D215,0)</f>
        <v>124429047</v>
      </c>
      <c r="J110" s="415">
        <f>+ROUND('SP Min'!E215,0)</f>
        <v>158603980</v>
      </c>
      <c r="K110" s="415">
        <f t="shared" si="7"/>
        <v>-34174933</v>
      </c>
      <c r="L110" s="467">
        <f t="shared" si="6"/>
        <v>-0.21547336327877775</v>
      </c>
      <c r="Q110" s="416"/>
      <c r="R110" s="416"/>
      <c r="S110" s="416"/>
      <c r="T110" s="416"/>
    </row>
    <row r="111" spans="1:20" s="412" customFormat="1" ht="11.25">
      <c r="A111" s="413"/>
      <c r="B111" s="399"/>
      <c r="C111" s="447" t="s">
        <v>88</v>
      </c>
      <c r="D111" s="447" t="s">
        <v>2243</v>
      </c>
      <c r="E111" s="445"/>
      <c r="F111" s="409"/>
      <c r="G111" s="410"/>
      <c r="H111" s="340"/>
      <c r="I111" s="415">
        <f>SUM(I112:I114)</f>
        <v>0</v>
      </c>
      <c r="J111" s="415">
        <f>SUM(J112:J114)</f>
        <v>0</v>
      </c>
      <c r="K111" s="415">
        <f t="shared" si="7"/>
        <v>0</v>
      </c>
      <c r="L111" s="467" t="str">
        <f t="shared" si="6"/>
        <v xml:space="preserve">-    </v>
      </c>
      <c r="Q111" s="416"/>
      <c r="R111" s="416"/>
      <c r="S111" s="416"/>
      <c r="T111" s="416"/>
    </row>
    <row r="112" spans="1:20" s="412" customFormat="1" ht="11.25">
      <c r="A112" s="413"/>
      <c r="B112" s="445"/>
      <c r="C112" s="447"/>
      <c r="D112" s="453" t="s">
        <v>2244</v>
      </c>
      <c r="E112" s="453" t="s">
        <v>2245</v>
      </c>
      <c r="F112" s="454"/>
      <c r="G112" s="447"/>
      <c r="H112" s="447"/>
      <c r="I112" s="415">
        <f>+ROUND('SP Min'!D217,0)</f>
        <v>0</v>
      </c>
      <c r="J112" s="415">
        <f>+ROUND('SP Min'!E217,0)</f>
        <v>0</v>
      </c>
      <c r="K112" s="415">
        <f t="shared" si="7"/>
        <v>0</v>
      </c>
      <c r="L112" s="467" t="str">
        <f t="shared" si="6"/>
        <v xml:space="preserve">-    </v>
      </c>
      <c r="Q112" s="416"/>
      <c r="R112" s="416"/>
      <c r="S112" s="416"/>
      <c r="T112" s="416"/>
    </row>
    <row r="113" spans="1:20" s="412" customFormat="1" ht="11.25">
      <c r="A113" s="413"/>
      <c r="B113" s="445"/>
      <c r="C113" s="447"/>
      <c r="D113" s="453" t="s">
        <v>2148</v>
      </c>
      <c r="E113" s="453" t="s">
        <v>2246</v>
      </c>
      <c r="F113" s="454"/>
      <c r="G113" s="447"/>
      <c r="H113" s="447"/>
      <c r="I113" s="415">
        <f>+ROUND('SP Min'!D218,0)</f>
        <v>0</v>
      </c>
      <c r="J113" s="415">
        <f>+ROUND('SP Min'!E218,0)</f>
        <v>0</v>
      </c>
      <c r="K113" s="415">
        <f t="shared" si="7"/>
        <v>0</v>
      </c>
      <c r="L113" s="467" t="str">
        <f t="shared" si="6"/>
        <v xml:space="preserve">-    </v>
      </c>
      <c r="Q113" s="416"/>
      <c r="R113" s="416"/>
      <c r="S113" s="416"/>
      <c r="T113" s="416"/>
    </row>
    <row r="114" spans="1:20" s="412" customFormat="1" ht="11.25">
      <c r="A114" s="413"/>
      <c r="B114" s="445"/>
      <c r="C114" s="447"/>
      <c r="D114" s="453" t="s">
        <v>2247</v>
      </c>
      <c r="E114" s="453" t="s">
        <v>2248</v>
      </c>
      <c r="F114" s="454"/>
      <c r="G114" s="447"/>
      <c r="H114" s="447"/>
      <c r="I114" s="415">
        <f>+ROUND('SP Min'!D219,0)</f>
        <v>0</v>
      </c>
      <c r="J114" s="415">
        <f>+ROUND('SP Min'!E219,0)</f>
        <v>0</v>
      </c>
      <c r="K114" s="415">
        <f t="shared" si="7"/>
        <v>0</v>
      </c>
      <c r="L114" s="467" t="str">
        <f t="shared" si="6"/>
        <v xml:space="preserve">-    </v>
      </c>
      <c r="Q114" s="416"/>
      <c r="R114" s="416"/>
      <c r="S114" s="416"/>
      <c r="T114" s="416"/>
    </row>
    <row r="115" spans="1:20" s="412" customFormat="1" ht="11.25">
      <c r="A115" s="413"/>
      <c r="B115" s="445"/>
      <c r="C115" s="493" t="s">
        <v>116</v>
      </c>
      <c r="D115" s="493" t="s">
        <v>2249</v>
      </c>
      <c r="E115" s="447"/>
      <c r="F115" s="454"/>
      <c r="G115" s="447"/>
      <c r="H115" s="447"/>
      <c r="I115" s="415">
        <f>+ROUND('SP Min'!D220,0)</f>
        <v>322225684</v>
      </c>
      <c r="J115" s="415">
        <f>+ROUND('SP Min'!E220,0)</f>
        <v>285855713</v>
      </c>
      <c r="K115" s="415">
        <f t="shared" si="7"/>
        <v>36369971</v>
      </c>
      <c r="L115" s="467">
        <f t="shared" si="6"/>
        <v>0.12723191927250374</v>
      </c>
      <c r="Q115" s="416"/>
      <c r="R115" s="416"/>
      <c r="S115" s="416"/>
      <c r="T115" s="416"/>
    </row>
    <row r="116" spans="1:20" s="412" customFormat="1" ht="11.25">
      <c r="A116" s="413"/>
      <c r="B116" s="445"/>
      <c r="C116" s="493" t="s">
        <v>2140</v>
      </c>
      <c r="D116" s="493" t="s">
        <v>2250</v>
      </c>
      <c r="E116" s="447"/>
      <c r="F116" s="454"/>
      <c r="G116" s="447"/>
      <c r="H116" s="447"/>
      <c r="I116" s="415">
        <f>+ROUND('SP Min'!D221,0)</f>
        <v>8784474</v>
      </c>
      <c r="J116" s="415">
        <f>+ROUND('SP Min'!E221,0)</f>
        <v>11033907</v>
      </c>
      <c r="K116" s="415">
        <f t="shared" si="7"/>
        <v>-2249433</v>
      </c>
      <c r="L116" s="467">
        <f t="shared" si="6"/>
        <v>-0.20386550294469583</v>
      </c>
      <c r="Q116" s="416"/>
      <c r="R116" s="416"/>
      <c r="S116" s="416"/>
      <c r="T116" s="416"/>
    </row>
    <row r="117" spans="1:20" s="412" customFormat="1" ht="11.25">
      <c r="A117" s="413"/>
      <c r="B117" s="399"/>
      <c r="C117" s="493" t="s">
        <v>2142</v>
      </c>
      <c r="D117" s="493" t="s">
        <v>2251</v>
      </c>
      <c r="E117" s="399"/>
      <c r="F117" s="409"/>
      <c r="G117" s="410"/>
      <c r="H117" s="340"/>
      <c r="I117" s="415">
        <f>+ROUND('SP Min'!D222,0)</f>
        <v>18826</v>
      </c>
      <c r="J117" s="415">
        <f>+ROUND('SP Min'!E222,0)</f>
        <v>23095</v>
      </c>
      <c r="K117" s="415">
        <f t="shared" si="7"/>
        <v>-4269</v>
      </c>
      <c r="L117" s="467">
        <f t="shared" si="6"/>
        <v>-0.18484520458973805</v>
      </c>
      <c r="Q117" s="416"/>
      <c r="R117" s="416"/>
      <c r="S117" s="416"/>
      <c r="T117" s="416"/>
    </row>
    <row r="118" spans="1:20" s="405" customFormat="1" ht="11.25">
      <c r="A118" s="406"/>
      <c r="B118" s="492" t="s">
        <v>125</v>
      </c>
      <c r="C118" s="492" t="s">
        <v>2252</v>
      </c>
      <c r="D118" s="399"/>
      <c r="E118" s="399"/>
      <c r="F118" s="407"/>
      <c r="G118" s="401"/>
      <c r="H118" s="341"/>
      <c r="I118" s="346">
        <f>+ROUND('SP Min'!D223,0)</f>
        <v>17827103</v>
      </c>
      <c r="J118" s="346">
        <f>+ROUND('SP Min'!E223,0)</f>
        <v>14041901</v>
      </c>
      <c r="K118" s="415">
        <f t="shared" si="7"/>
        <v>3785202</v>
      </c>
      <c r="L118" s="467">
        <f t="shared" si="6"/>
        <v>0.26956478328682137</v>
      </c>
      <c r="Q118" s="418"/>
      <c r="R118" s="418"/>
      <c r="S118" s="418"/>
      <c r="T118" s="418"/>
    </row>
    <row r="119" spans="1:20" s="405" customFormat="1" ht="11.25">
      <c r="A119" s="406"/>
      <c r="B119" s="492" t="s">
        <v>126</v>
      </c>
      <c r="C119" s="440" t="s">
        <v>2253</v>
      </c>
      <c r="D119" s="399"/>
      <c r="E119" s="399"/>
      <c r="F119" s="407"/>
      <c r="G119" s="401"/>
      <c r="H119" s="341"/>
      <c r="I119" s="347">
        <f>+ROUND('SP Min'!D224,0)</f>
        <v>5522375</v>
      </c>
      <c r="J119" s="347">
        <f>+ROUND('SP Min'!E224,0)</f>
        <v>7208512</v>
      </c>
      <c r="K119" s="415">
        <f t="shared" si="7"/>
        <v>-1686137</v>
      </c>
      <c r="L119" s="467">
        <f t="shared" si="6"/>
        <v>-0.23390916183534133</v>
      </c>
      <c r="Q119" s="418"/>
      <c r="R119" s="418"/>
      <c r="S119" s="418"/>
      <c r="T119" s="418"/>
    </row>
    <row r="120" spans="1:20" s="405" customFormat="1" ht="11.25">
      <c r="A120" s="406"/>
      <c r="B120" s="492" t="s">
        <v>127</v>
      </c>
      <c r="C120" s="440" t="s">
        <v>2254</v>
      </c>
      <c r="D120" s="399"/>
      <c r="E120" s="399"/>
      <c r="F120" s="400"/>
      <c r="G120" s="401"/>
      <c r="H120" s="341"/>
      <c r="I120" s="346">
        <f>+ROUND('SP Min'!D230,0)</f>
        <v>0</v>
      </c>
      <c r="J120" s="346">
        <f>+ROUND('SP Min'!E230,0)</f>
        <v>0</v>
      </c>
      <c r="K120" s="415">
        <f t="shared" si="7"/>
        <v>0</v>
      </c>
      <c r="L120" s="467" t="str">
        <f t="shared" si="6"/>
        <v xml:space="preserve">-    </v>
      </c>
      <c r="Q120" s="418"/>
      <c r="R120" s="418"/>
      <c r="S120" s="418"/>
      <c r="T120" s="418"/>
    </row>
    <row r="121" spans="1:20" s="405" customFormat="1" ht="11.25">
      <c r="A121" s="406"/>
      <c r="B121" s="492" t="s">
        <v>128</v>
      </c>
      <c r="C121" s="440" t="s">
        <v>2255</v>
      </c>
      <c r="D121" s="399"/>
      <c r="E121" s="399"/>
      <c r="F121" s="407"/>
      <c r="G121" s="401"/>
      <c r="H121" s="341"/>
      <c r="I121" s="346">
        <f>+ROUND('SP Min'!D234,0)</f>
        <v>0</v>
      </c>
      <c r="J121" s="346">
        <f>+ROUND('SP Min'!E234,0)</f>
        <v>0</v>
      </c>
      <c r="K121" s="415">
        <f t="shared" si="7"/>
        <v>0</v>
      </c>
      <c r="L121" s="467" t="str">
        <f t="shared" si="6"/>
        <v xml:space="preserve">-    </v>
      </c>
      <c r="Q121" s="418"/>
      <c r="R121" s="418"/>
      <c r="S121" s="418"/>
      <c r="T121" s="418"/>
    </row>
    <row r="122" spans="1:20" s="405" customFormat="1" ht="11.25">
      <c r="A122" s="406"/>
      <c r="B122" s="492" t="s">
        <v>2256</v>
      </c>
      <c r="C122" s="440" t="s">
        <v>2257</v>
      </c>
      <c r="D122" s="399"/>
      <c r="E122" s="399"/>
      <c r="F122" s="407"/>
      <c r="G122" s="401"/>
      <c r="H122" s="341"/>
      <c r="I122" s="346">
        <f>+ROUND('SP Min'!D235,0)</f>
        <v>77845</v>
      </c>
      <c r="J122" s="346">
        <f>+ROUND('SP Min'!E235,0)</f>
        <v>400964</v>
      </c>
      <c r="K122" s="415">
        <f t="shared" si="7"/>
        <v>-323119</v>
      </c>
      <c r="L122" s="467">
        <f t="shared" si="6"/>
        <v>-0.80585538851368199</v>
      </c>
      <c r="Q122" s="418"/>
      <c r="R122" s="418"/>
      <c r="S122" s="418"/>
      <c r="T122" s="418"/>
    </row>
    <row r="123" spans="1:20" s="405" customFormat="1" ht="11.25">
      <c r="A123" s="1015" t="s">
        <v>2177</v>
      </c>
      <c r="B123" s="1016"/>
      <c r="C123" s="1016"/>
      <c r="D123" s="1016"/>
      <c r="E123" s="1016"/>
      <c r="F123" s="1016"/>
      <c r="G123" s="1017"/>
      <c r="H123" s="1016"/>
      <c r="I123" s="349">
        <f>I108+I109+SUM(I118:I122)</f>
        <v>479590020</v>
      </c>
      <c r="J123" s="349">
        <f>J108+J109+SUM(J118:J122)</f>
        <v>477872738</v>
      </c>
      <c r="K123" s="350">
        <f t="shared" si="7"/>
        <v>1717282</v>
      </c>
      <c r="L123" s="462">
        <f t="shared" si="6"/>
        <v>3.5935969211953666E-3</v>
      </c>
      <c r="Q123" s="418"/>
      <c r="R123" s="418"/>
      <c r="S123" s="418"/>
      <c r="T123" s="418"/>
    </row>
    <row r="124" spans="1:20" s="405" customFormat="1" ht="11.25">
      <c r="A124" s="494" t="s">
        <v>33</v>
      </c>
      <c r="B124" s="328" t="s">
        <v>2258</v>
      </c>
      <c r="C124" s="492"/>
      <c r="D124" s="399"/>
      <c r="E124" s="399"/>
      <c r="F124" s="400"/>
      <c r="G124" s="495"/>
      <c r="H124" s="341"/>
      <c r="I124" s="441"/>
      <c r="J124" s="441"/>
      <c r="K124" s="346">
        <f t="shared" si="7"/>
        <v>0</v>
      </c>
      <c r="L124" s="496" t="str">
        <f t="shared" si="6"/>
        <v xml:space="preserve">-    </v>
      </c>
      <c r="Q124" s="418"/>
      <c r="R124" s="418"/>
      <c r="S124" s="418"/>
      <c r="T124" s="418"/>
    </row>
    <row r="125" spans="1:20" s="405" customFormat="1" ht="11.25">
      <c r="A125" s="494"/>
      <c r="B125" s="492" t="s">
        <v>86</v>
      </c>
      <c r="C125" s="328" t="s">
        <v>2259</v>
      </c>
      <c r="D125" s="399"/>
      <c r="E125" s="399"/>
      <c r="F125" s="400"/>
      <c r="G125" s="401"/>
      <c r="H125" s="341"/>
      <c r="I125" s="346">
        <f>+ROUND('SP Min'!D237,0)</f>
        <v>318314</v>
      </c>
      <c r="J125" s="346">
        <f>+ROUND('SP Min'!E237,0)</f>
        <v>318314</v>
      </c>
      <c r="K125" s="415">
        <f t="shared" si="7"/>
        <v>0</v>
      </c>
      <c r="L125" s="467">
        <f t="shared" si="6"/>
        <v>0</v>
      </c>
      <c r="Q125" s="418"/>
      <c r="R125" s="418"/>
      <c r="S125" s="418"/>
      <c r="T125" s="418"/>
    </row>
    <row r="126" spans="1:20" s="405" customFormat="1" ht="11.25">
      <c r="A126" s="494"/>
      <c r="B126" s="492" t="s">
        <v>88</v>
      </c>
      <c r="C126" s="328" t="s">
        <v>2260</v>
      </c>
      <c r="D126" s="399"/>
      <c r="E126" s="399"/>
      <c r="F126" s="440"/>
      <c r="G126" s="401"/>
      <c r="H126" s="341"/>
      <c r="I126" s="346">
        <f>+ROUND('SP Min'!D238,0)</f>
        <v>9922011</v>
      </c>
      <c r="J126" s="346">
        <f>+ROUND('SP Min'!E238,0)</f>
        <v>6829975</v>
      </c>
      <c r="K126" s="415">
        <f t="shared" si="7"/>
        <v>3092036</v>
      </c>
      <c r="L126" s="467">
        <f t="shared" si="6"/>
        <v>0.45271556630880788</v>
      </c>
      <c r="Q126" s="418"/>
      <c r="R126" s="418"/>
      <c r="S126" s="418"/>
      <c r="T126" s="418"/>
    </row>
    <row r="127" spans="1:20" s="405" customFormat="1" ht="11.25">
      <c r="A127" s="494"/>
      <c r="B127" s="492" t="s">
        <v>116</v>
      </c>
      <c r="C127" s="328" t="s">
        <v>2261</v>
      </c>
      <c r="D127" s="399"/>
      <c r="E127" s="399"/>
      <c r="F127" s="400"/>
      <c r="G127" s="401"/>
      <c r="H127" s="341"/>
      <c r="I127" s="346">
        <f>+ROUND('SP Min'!D246,0)</f>
        <v>0</v>
      </c>
      <c r="J127" s="346">
        <f>+ROUND('SP Min'!E246,0)</f>
        <v>0</v>
      </c>
      <c r="K127" s="415">
        <f t="shared" si="7"/>
        <v>0</v>
      </c>
      <c r="L127" s="467" t="str">
        <f t="shared" si="6"/>
        <v xml:space="preserve">-    </v>
      </c>
      <c r="Q127" s="418"/>
      <c r="R127" s="418"/>
      <c r="S127" s="418"/>
      <c r="T127" s="418"/>
    </row>
    <row r="128" spans="1:20" s="405" customFormat="1" ht="11.25">
      <c r="A128" s="494"/>
      <c r="B128" s="492" t="s">
        <v>2140</v>
      </c>
      <c r="C128" s="492" t="s">
        <v>2262</v>
      </c>
      <c r="D128" s="399"/>
      <c r="E128" s="399"/>
      <c r="F128" s="440"/>
      <c r="G128" s="401"/>
      <c r="H128" s="341"/>
      <c r="I128" s="346">
        <f>+ROUND('SP Min'!D255,0)</f>
        <v>33403104</v>
      </c>
      <c r="J128" s="346">
        <f>+ROUND('SP Min'!E255,0)</f>
        <v>12549291</v>
      </c>
      <c r="K128" s="415">
        <f t="shared" si="7"/>
        <v>20853813</v>
      </c>
      <c r="L128" s="467">
        <f t="shared" si="6"/>
        <v>1.6617522854478393</v>
      </c>
      <c r="Q128" s="418"/>
      <c r="R128" s="418"/>
      <c r="S128" s="418"/>
      <c r="T128" s="418"/>
    </row>
    <row r="129" spans="1:20" s="405" customFormat="1" ht="11.25">
      <c r="A129" s="494"/>
      <c r="B129" s="492" t="s">
        <v>2142</v>
      </c>
      <c r="C129" s="492" t="s">
        <v>2263</v>
      </c>
      <c r="D129" s="399"/>
      <c r="E129" s="399"/>
      <c r="F129" s="440"/>
      <c r="G129" s="497"/>
      <c r="H129" s="341"/>
      <c r="I129" s="346">
        <f>+ROUND('SP Min'!D261,0)</f>
        <v>17896088</v>
      </c>
      <c r="J129" s="346">
        <f>+ROUND('SP Min'!E261,0)</f>
        <v>16119177</v>
      </c>
      <c r="K129" s="415">
        <f t="shared" si="7"/>
        <v>1776911</v>
      </c>
      <c r="L129" s="467">
        <f t="shared" si="6"/>
        <v>0.11023583896373866</v>
      </c>
      <c r="Q129" s="418"/>
      <c r="R129" s="418"/>
      <c r="S129" s="418"/>
      <c r="T129" s="418"/>
    </row>
    <row r="130" spans="1:20" s="405" customFormat="1" ht="11.25">
      <c r="A130" s="1018" t="s">
        <v>2224</v>
      </c>
      <c r="B130" s="1019"/>
      <c r="C130" s="1019"/>
      <c r="D130" s="1019"/>
      <c r="E130" s="1019"/>
      <c r="F130" s="1019"/>
      <c r="G130" s="1020"/>
      <c r="H130" s="1019"/>
      <c r="I130" s="349">
        <f>SUM(I125:I129)</f>
        <v>61539517</v>
      </c>
      <c r="J130" s="349">
        <f>SUM(J125:J129)</f>
        <v>35816757</v>
      </c>
      <c r="K130" s="350">
        <f t="shared" si="7"/>
        <v>25722760</v>
      </c>
      <c r="L130" s="462">
        <f t="shared" si="6"/>
        <v>0.71817669031286113</v>
      </c>
      <c r="Q130" s="418"/>
      <c r="R130" s="418"/>
      <c r="S130" s="418"/>
      <c r="T130" s="418"/>
    </row>
    <row r="131" spans="1:20" s="405" customFormat="1" ht="11.25">
      <c r="A131" s="494" t="s">
        <v>84</v>
      </c>
      <c r="B131" s="492" t="s">
        <v>2264</v>
      </c>
      <c r="C131" s="492"/>
      <c r="D131" s="399"/>
      <c r="E131" s="399"/>
      <c r="F131" s="440"/>
      <c r="G131" s="495"/>
      <c r="H131" s="341"/>
      <c r="I131" s="346"/>
      <c r="J131" s="346"/>
      <c r="K131" s="346">
        <f t="shared" si="7"/>
        <v>0</v>
      </c>
      <c r="L131" s="496" t="str">
        <f t="shared" si="6"/>
        <v xml:space="preserve">-    </v>
      </c>
      <c r="Q131" s="418"/>
      <c r="R131" s="418"/>
      <c r="S131" s="418"/>
      <c r="T131" s="418"/>
    </row>
    <row r="132" spans="1:20" s="405" customFormat="1" ht="11.25">
      <c r="A132" s="494"/>
      <c r="B132" s="492" t="s">
        <v>86</v>
      </c>
      <c r="C132" s="492" t="s">
        <v>2265</v>
      </c>
      <c r="D132" s="399"/>
      <c r="E132" s="399"/>
      <c r="F132" s="440"/>
      <c r="G132" s="401"/>
      <c r="H132" s="341"/>
      <c r="I132" s="346">
        <f>+ROUND('SP Min'!D270,0)</f>
        <v>3449494</v>
      </c>
      <c r="J132" s="346">
        <f>+ROUND('SP Min'!E270,0)</f>
        <v>3316528</v>
      </c>
      <c r="K132" s="415">
        <f t="shared" si="7"/>
        <v>132966</v>
      </c>
      <c r="L132" s="467">
        <f t="shared" si="6"/>
        <v>4.0091927461489846E-2</v>
      </c>
      <c r="Q132" s="418"/>
      <c r="R132" s="418"/>
      <c r="S132" s="418"/>
      <c r="T132" s="418"/>
    </row>
    <row r="133" spans="1:20" s="405" customFormat="1" ht="11.25">
      <c r="A133" s="494"/>
      <c r="B133" s="492" t="s">
        <v>88</v>
      </c>
      <c r="C133" s="492" t="s">
        <v>2266</v>
      </c>
      <c r="D133" s="399"/>
      <c r="E133" s="399"/>
      <c r="F133" s="440"/>
      <c r="G133" s="497"/>
      <c r="H133" s="341"/>
      <c r="I133" s="346">
        <f>+ROUND('SP Min'!D271+'SP Min'!D272,0)</f>
        <v>0</v>
      </c>
      <c r="J133" s="346">
        <f>+ROUND('SP Min'!E271+'SP Min'!E272,0)</f>
        <v>0</v>
      </c>
      <c r="K133" s="415">
        <f t="shared" si="7"/>
        <v>0</v>
      </c>
      <c r="L133" s="467" t="str">
        <f t="shared" si="6"/>
        <v xml:space="preserve">-    </v>
      </c>
      <c r="Q133" s="418"/>
      <c r="R133" s="418"/>
      <c r="S133" s="418"/>
      <c r="T133" s="418"/>
    </row>
    <row r="134" spans="1:20" s="405" customFormat="1" ht="11.25">
      <c r="A134" s="1018" t="s">
        <v>2228</v>
      </c>
      <c r="B134" s="1019"/>
      <c r="C134" s="1019"/>
      <c r="D134" s="1019"/>
      <c r="E134" s="1019"/>
      <c r="F134" s="1019"/>
      <c r="G134" s="1021"/>
      <c r="H134" s="1019"/>
      <c r="I134" s="349">
        <f>SUM(I132:I133)</f>
        <v>3449494</v>
      </c>
      <c r="J134" s="349">
        <f>SUM(J132:J133)</f>
        <v>3316528</v>
      </c>
      <c r="K134" s="350">
        <f t="shared" si="7"/>
        <v>132966</v>
      </c>
      <c r="L134" s="462">
        <f t="shared" si="6"/>
        <v>4.0091927461489846E-2</v>
      </c>
      <c r="Q134" s="418"/>
      <c r="R134" s="418"/>
      <c r="S134" s="418"/>
      <c r="T134" s="418"/>
    </row>
    <row r="135" spans="1:20" s="405" customFormat="1" ht="11.25">
      <c r="A135" s="498" t="s">
        <v>92</v>
      </c>
      <c r="B135" s="328" t="s">
        <v>2267</v>
      </c>
      <c r="C135" s="499"/>
      <c r="D135" s="499"/>
      <c r="E135" s="499"/>
      <c r="F135" s="400"/>
      <c r="G135" s="400"/>
      <c r="H135" s="400"/>
      <c r="I135" s="431"/>
      <c r="J135" s="431"/>
      <c r="K135" s="346">
        <f t="shared" si="7"/>
        <v>0</v>
      </c>
      <c r="L135" s="496" t="str">
        <f t="shared" si="6"/>
        <v xml:space="preserve">-    </v>
      </c>
      <c r="Q135" s="418"/>
      <c r="R135" s="418"/>
      <c r="S135" s="418"/>
      <c r="T135" s="418"/>
    </row>
    <row r="136" spans="1:20" s="405" customFormat="1" ht="11.25">
      <c r="A136" s="398"/>
      <c r="B136" s="399"/>
      <c r="C136" s="399"/>
      <c r="D136" s="399"/>
      <c r="E136" s="399"/>
      <c r="F136" s="328"/>
      <c r="G136" s="500" t="s">
        <v>2164</v>
      </c>
      <c r="H136" s="501" t="s">
        <v>2165</v>
      </c>
      <c r="I136" s="502"/>
      <c r="J136" s="502"/>
      <c r="K136" s="346">
        <f t="shared" si="7"/>
        <v>0</v>
      </c>
      <c r="L136" s="496" t="str">
        <f t="shared" si="6"/>
        <v xml:space="preserve">-    </v>
      </c>
      <c r="Q136" s="418"/>
      <c r="R136" s="418"/>
      <c r="S136" s="418"/>
      <c r="T136" s="418"/>
    </row>
    <row r="137" spans="1:20" s="405" customFormat="1" ht="11.25">
      <c r="A137" s="398"/>
      <c r="B137" s="492" t="s">
        <v>86</v>
      </c>
      <c r="C137" s="328" t="s">
        <v>2268</v>
      </c>
      <c r="D137" s="399"/>
      <c r="E137" s="399"/>
      <c r="F137" s="328"/>
      <c r="G137" s="346"/>
      <c r="H137" s="341"/>
      <c r="I137" s="346">
        <f>+ROUND('SP Min'!D274,0)</f>
        <v>0</v>
      </c>
      <c r="J137" s="346">
        <f>+ROUND('SP Min'!E274,0)</f>
        <v>0</v>
      </c>
      <c r="K137" s="415">
        <f t="shared" si="7"/>
        <v>0</v>
      </c>
      <c r="L137" s="467" t="str">
        <f t="shared" si="6"/>
        <v xml:space="preserve">-    </v>
      </c>
      <c r="Q137" s="418"/>
      <c r="R137" s="418"/>
      <c r="S137" s="418"/>
      <c r="T137" s="418"/>
    </row>
    <row r="138" spans="1:20" s="405" customFormat="1" ht="11.25">
      <c r="A138" s="398"/>
      <c r="B138" s="492" t="s">
        <v>88</v>
      </c>
      <c r="C138" s="503" t="s">
        <v>2269</v>
      </c>
      <c r="D138" s="399"/>
      <c r="E138" s="399"/>
      <c r="F138" s="400"/>
      <c r="G138" s="346"/>
      <c r="H138" s="346"/>
      <c r="I138" s="346">
        <f>+ROUND('SP Min'!D275,0)</f>
        <v>409</v>
      </c>
      <c r="J138" s="346">
        <f>+ROUND('SP Min'!E275,0)</f>
        <v>278</v>
      </c>
      <c r="K138" s="415">
        <f t="shared" si="7"/>
        <v>131</v>
      </c>
      <c r="L138" s="467">
        <f t="shared" si="6"/>
        <v>0.47122302158273383</v>
      </c>
      <c r="Q138" s="418"/>
      <c r="R138" s="418"/>
      <c r="S138" s="418"/>
      <c r="T138" s="418"/>
    </row>
    <row r="139" spans="1:20" s="405" customFormat="1" ht="11.25">
      <c r="A139" s="398"/>
      <c r="B139" s="492" t="s">
        <v>116</v>
      </c>
      <c r="C139" s="328" t="s">
        <v>2270</v>
      </c>
      <c r="D139" s="399"/>
      <c r="E139" s="399"/>
      <c r="F139" s="400"/>
      <c r="G139" s="346"/>
      <c r="H139" s="346"/>
      <c r="I139" s="346">
        <f>+ROUND('SP Min'!D281,0)</f>
        <v>37235569</v>
      </c>
      <c r="J139" s="346">
        <f>+ROUND('SP Min'!E281,0)</f>
        <v>23866072</v>
      </c>
      <c r="K139" s="415">
        <f t="shared" si="7"/>
        <v>13369497</v>
      </c>
      <c r="L139" s="467">
        <f t="shared" si="6"/>
        <v>0.56018841307442635</v>
      </c>
      <c r="Q139" s="418"/>
      <c r="R139" s="418"/>
      <c r="S139" s="418"/>
      <c r="T139" s="418"/>
    </row>
    <row r="140" spans="1:20" s="405" customFormat="1" ht="11.25">
      <c r="A140" s="398"/>
      <c r="B140" s="492" t="s">
        <v>2140</v>
      </c>
      <c r="C140" s="503" t="s">
        <v>2271</v>
      </c>
      <c r="D140" s="399"/>
      <c r="E140" s="399"/>
      <c r="F140" s="328"/>
      <c r="G140" s="346"/>
      <c r="H140" s="346"/>
      <c r="I140" s="346">
        <f>+ROUND('SP Min'!D292,0)</f>
        <v>3200745</v>
      </c>
      <c r="J140" s="346">
        <f>+ROUND('SP Min'!E292,0)</f>
        <v>5281048</v>
      </c>
      <c r="K140" s="415">
        <f t="shared" si="7"/>
        <v>-2080303</v>
      </c>
      <c r="L140" s="467">
        <f t="shared" si="6"/>
        <v>-0.39391859343069785</v>
      </c>
      <c r="Q140" s="418"/>
      <c r="R140" s="418"/>
      <c r="S140" s="418"/>
      <c r="T140" s="418"/>
    </row>
    <row r="141" spans="1:20" s="405" customFormat="1" ht="11.25">
      <c r="A141" s="398"/>
      <c r="B141" s="492" t="s">
        <v>2142</v>
      </c>
      <c r="C141" s="328" t="s">
        <v>2272</v>
      </c>
      <c r="D141" s="399"/>
      <c r="E141" s="399"/>
      <c r="F141" s="400"/>
      <c r="G141" s="346">
        <f>G142+G143+G144+G145+G146+G147</f>
        <v>0</v>
      </c>
      <c r="H141" s="461">
        <f>H142+H143+H144+H145+H146+H147</f>
        <v>0</v>
      </c>
      <c r="I141" s="341">
        <f>I142+I143+I144+I145+I146+I147</f>
        <v>70607191</v>
      </c>
      <c r="J141" s="341">
        <f>J142+J143+J144+J145+J146+J147</f>
        <v>68943140</v>
      </c>
      <c r="K141" s="415">
        <f t="shared" si="7"/>
        <v>1664051</v>
      </c>
      <c r="L141" s="467">
        <f t="shared" si="6"/>
        <v>2.413657109322262E-2</v>
      </c>
      <c r="Q141" s="418"/>
      <c r="R141" s="418"/>
      <c r="S141" s="418"/>
      <c r="T141" s="418"/>
    </row>
    <row r="142" spans="1:20" s="412" customFormat="1" ht="18" customHeight="1">
      <c r="A142" s="398"/>
      <c r="B142" s="399"/>
      <c r="C142" s="409" t="s">
        <v>2146</v>
      </c>
      <c r="D142" s="994" t="s">
        <v>2273</v>
      </c>
      <c r="E142" s="994"/>
      <c r="F142" s="995"/>
      <c r="G142" s="415"/>
      <c r="H142" s="504"/>
      <c r="I142" s="415">
        <f>+ROUND('SP Min'!D295+'SP Min'!D298+'SP Min'!D299+'SP Min'!D302+'SP Min'!D303,0)</f>
        <v>8738280</v>
      </c>
      <c r="J142" s="415">
        <f>+ROUND('SP Min'!E295+'SP Min'!E298+'SP Min'!E299+'SP Min'!E302+'SP Min'!E303,0)</f>
        <v>15361099</v>
      </c>
      <c r="K142" s="415">
        <f t="shared" si="7"/>
        <v>-6622819</v>
      </c>
      <c r="L142" s="467">
        <f t="shared" si="6"/>
        <v>-0.43114226397473254</v>
      </c>
      <c r="Q142" s="416"/>
      <c r="R142" s="416"/>
      <c r="S142" s="416"/>
      <c r="T142" s="416"/>
    </row>
    <row r="143" spans="1:20" s="412" customFormat="1" ht="22.5" customHeight="1">
      <c r="A143" s="398"/>
      <c r="B143" s="399"/>
      <c r="C143" s="409" t="s">
        <v>2148</v>
      </c>
      <c r="D143" s="994" t="s">
        <v>2274</v>
      </c>
      <c r="E143" s="994"/>
      <c r="F143" s="995"/>
      <c r="G143" s="415"/>
      <c r="H143" s="504"/>
      <c r="I143" s="415">
        <f>+ROUND('SP Min'!D296,0)</f>
        <v>0</v>
      </c>
      <c r="J143" s="415">
        <f>+ROUND('SP Min'!E296,0)</f>
        <v>0</v>
      </c>
      <c r="K143" s="415">
        <f t="shared" si="7"/>
        <v>0</v>
      </c>
      <c r="L143" s="467" t="str">
        <f t="shared" si="6"/>
        <v xml:space="preserve">-    </v>
      </c>
      <c r="Q143" s="416"/>
      <c r="R143" s="416"/>
      <c r="S143" s="416"/>
      <c r="T143" s="416"/>
    </row>
    <row r="144" spans="1:20" s="412" customFormat="1" ht="22.5" customHeight="1">
      <c r="A144" s="398"/>
      <c r="B144" s="399"/>
      <c r="C144" s="409" t="s">
        <v>2170</v>
      </c>
      <c r="D144" s="994" t="s">
        <v>2275</v>
      </c>
      <c r="E144" s="994"/>
      <c r="F144" s="995"/>
      <c r="G144" s="415"/>
      <c r="H144" s="504"/>
      <c r="I144" s="415">
        <f>+ROUND('SP Min'!D297,0)</f>
        <v>0</v>
      </c>
      <c r="J144" s="415">
        <f>+ROUND('SP Min'!E297,0)</f>
        <v>0</v>
      </c>
      <c r="K144" s="415">
        <f t="shared" si="7"/>
        <v>0</v>
      </c>
      <c r="L144" s="467" t="str">
        <f t="shared" si="6"/>
        <v xml:space="preserve">-    </v>
      </c>
      <c r="Q144" s="416"/>
      <c r="R144" s="416"/>
      <c r="S144" s="416"/>
      <c r="T144" s="416"/>
    </row>
    <row r="145" spans="1:20" s="412" customFormat="1" ht="11.25">
      <c r="A145" s="398"/>
      <c r="B145" s="399"/>
      <c r="C145" s="409" t="s">
        <v>2172</v>
      </c>
      <c r="D145" s="994" t="s">
        <v>2276</v>
      </c>
      <c r="E145" s="994"/>
      <c r="F145" s="995"/>
      <c r="G145" s="415"/>
      <c r="H145" s="504"/>
      <c r="I145" s="415">
        <f>+ROUND('SP Min'!D300+'SP Min'!D301,0)</f>
        <v>60511399</v>
      </c>
      <c r="J145" s="415">
        <f>+ROUND('SP Min'!E300+'SP Min'!E301,0)</f>
        <v>53137551</v>
      </c>
      <c r="K145" s="415">
        <f t="shared" si="7"/>
        <v>7373848</v>
      </c>
      <c r="L145" s="467">
        <f t="shared" si="6"/>
        <v>0.13876905994406855</v>
      </c>
      <c r="Q145" s="416"/>
      <c r="R145" s="416"/>
      <c r="S145" s="416"/>
      <c r="T145" s="416"/>
    </row>
    <row r="146" spans="1:20" s="412" customFormat="1" ht="21.6" customHeight="1">
      <c r="A146" s="398"/>
      <c r="B146" s="399"/>
      <c r="C146" s="409" t="s">
        <v>2277</v>
      </c>
      <c r="D146" s="994" t="s">
        <v>2278</v>
      </c>
      <c r="E146" s="994"/>
      <c r="F146" s="995"/>
      <c r="G146" s="415"/>
      <c r="H146" s="504"/>
      <c r="I146" s="415">
        <f>+ROUND('SP Min'!D305,0)</f>
        <v>0</v>
      </c>
      <c r="J146" s="415">
        <f>+ROUND('SP Min'!E305,0)</f>
        <v>0</v>
      </c>
      <c r="K146" s="415">
        <f t="shared" si="7"/>
        <v>0</v>
      </c>
      <c r="L146" s="467" t="str">
        <f t="shared" si="6"/>
        <v xml:space="preserve">-    </v>
      </c>
      <c r="Q146" s="416"/>
      <c r="R146" s="416"/>
      <c r="S146" s="416"/>
      <c r="T146" s="416"/>
    </row>
    <row r="147" spans="1:20" s="412" customFormat="1" ht="11.25">
      <c r="A147" s="398"/>
      <c r="B147" s="399"/>
      <c r="C147" s="409" t="s">
        <v>2279</v>
      </c>
      <c r="D147" s="994" t="s">
        <v>2280</v>
      </c>
      <c r="E147" s="994"/>
      <c r="F147" s="995"/>
      <c r="G147" s="415"/>
      <c r="H147" s="504"/>
      <c r="I147" s="415">
        <f>+ROUND('SP Min'!D304,0)</f>
        <v>1357512</v>
      </c>
      <c r="J147" s="415">
        <f>+ROUND('SP Min'!E304,0)</f>
        <v>444490</v>
      </c>
      <c r="K147" s="415">
        <f t="shared" si="7"/>
        <v>913022</v>
      </c>
      <c r="L147" s="467">
        <f t="shared" si="6"/>
        <v>2.0540889558820221</v>
      </c>
      <c r="Q147" s="416"/>
      <c r="R147" s="416"/>
      <c r="S147" s="416"/>
      <c r="T147" s="416"/>
    </row>
    <row r="148" spans="1:20" s="405" customFormat="1" ht="11.25">
      <c r="A148" s="398"/>
      <c r="B148" s="492" t="s">
        <v>2156</v>
      </c>
      <c r="C148" s="492" t="s">
        <v>2281</v>
      </c>
      <c r="D148" s="492"/>
      <c r="E148" s="399"/>
      <c r="F148" s="328"/>
      <c r="G148" s="346"/>
      <c r="H148" s="341"/>
      <c r="I148" s="346">
        <f>+ROUND('SP Min'!D311,0)</f>
        <v>1700</v>
      </c>
      <c r="J148" s="346">
        <f>+ROUND('SP Min'!E311,0)</f>
        <v>1700</v>
      </c>
      <c r="K148" s="346">
        <f t="shared" si="7"/>
        <v>0</v>
      </c>
      <c r="L148" s="404">
        <f t="shared" si="6"/>
        <v>0</v>
      </c>
      <c r="Q148" s="418"/>
      <c r="R148" s="418"/>
      <c r="S148" s="418"/>
      <c r="T148" s="418"/>
    </row>
    <row r="149" spans="1:20" s="405" customFormat="1" ht="11.25">
      <c r="A149" s="398"/>
      <c r="B149" s="492" t="s">
        <v>2158</v>
      </c>
      <c r="C149" s="328" t="s">
        <v>2282</v>
      </c>
      <c r="D149" s="492"/>
      <c r="E149" s="399"/>
      <c r="F149" s="328"/>
      <c r="G149" s="346"/>
      <c r="H149" s="341"/>
      <c r="I149" s="346">
        <f>+ROUND('SP Min'!D315,0)</f>
        <v>79218633</v>
      </c>
      <c r="J149" s="346">
        <f>+ROUND('SP Min'!E315,0)</f>
        <v>59164919</v>
      </c>
      <c r="K149" s="346">
        <f t="shared" si="7"/>
        <v>20053714</v>
      </c>
      <c r="L149" s="404">
        <f t="shared" si="6"/>
        <v>0.33894602306478272</v>
      </c>
      <c r="Q149" s="418"/>
      <c r="R149" s="418"/>
      <c r="S149" s="418"/>
      <c r="T149" s="418"/>
    </row>
    <row r="150" spans="1:20" s="405" customFormat="1" ht="11.25">
      <c r="A150" s="398"/>
      <c r="B150" s="492" t="s">
        <v>2160</v>
      </c>
      <c r="C150" s="328" t="s">
        <v>2283</v>
      </c>
      <c r="D150" s="492"/>
      <c r="E150" s="399"/>
      <c r="F150" s="328"/>
      <c r="G150" s="346"/>
      <c r="H150" s="341"/>
      <c r="I150" s="346">
        <f>+ROUND('SP Min'!D322,0)</f>
        <v>0</v>
      </c>
      <c r="J150" s="346">
        <f>+ROUND('SP Min'!E322,0)</f>
        <v>0</v>
      </c>
      <c r="K150" s="346">
        <f t="shared" si="7"/>
        <v>0</v>
      </c>
      <c r="L150" s="404" t="str">
        <f t="shared" si="6"/>
        <v xml:space="preserve">-    </v>
      </c>
      <c r="Q150" s="418"/>
      <c r="R150" s="418"/>
      <c r="S150" s="418"/>
      <c r="T150" s="418"/>
    </row>
    <row r="151" spans="1:20" s="405" customFormat="1" ht="11.25">
      <c r="A151" s="398"/>
      <c r="B151" s="492" t="s">
        <v>2162</v>
      </c>
      <c r="C151" s="328" t="s">
        <v>2284</v>
      </c>
      <c r="D151" s="492"/>
      <c r="E151" s="399"/>
      <c r="F151" s="505"/>
      <c r="G151" s="346"/>
      <c r="H151" s="341"/>
      <c r="I151" s="346">
        <f>+ROUND('SP Min'!D323,0)</f>
        <v>15786312</v>
      </c>
      <c r="J151" s="346">
        <f>+ROUND('SP Min'!E323,0)</f>
        <v>2828674</v>
      </c>
      <c r="K151" s="346">
        <f t="shared" si="7"/>
        <v>12957638</v>
      </c>
      <c r="L151" s="404">
        <f t="shared" si="6"/>
        <v>4.5808170188575987</v>
      </c>
      <c r="Q151" s="418"/>
      <c r="R151" s="418"/>
      <c r="S151" s="418"/>
      <c r="T151" s="418"/>
    </row>
    <row r="152" spans="1:20" s="405" customFormat="1" ht="11.25">
      <c r="A152" s="506"/>
      <c r="B152" s="507" t="s">
        <v>2285</v>
      </c>
      <c r="C152" s="328" t="s">
        <v>2286</v>
      </c>
      <c r="D152" s="507"/>
      <c r="E152" s="387"/>
      <c r="F152" s="505"/>
      <c r="G152" s="347"/>
      <c r="H152" s="337"/>
      <c r="I152" s="346">
        <f>+ROUND('SP Min'!D326,0)</f>
        <v>0</v>
      </c>
      <c r="J152" s="346">
        <f>+ROUND('SP Min'!E326,0)</f>
        <v>0</v>
      </c>
      <c r="K152" s="346">
        <f t="shared" si="7"/>
        <v>0</v>
      </c>
      <c r="L152" s="404" t="str">
        <f t="shared" si="6"/>
        <v xml:space="preserve">-    </v>
      </c>
      <c r="Q152" s="418"/>
      <c r="R152" s="418"/>
      <c r="S152" s="418"/>
      <c r="T152" s="418"/>
    </row>
    <row r="153" spans="1:20" s="405" customFormat="1" ht="11.25">
      <c r="A153" s="398"/>
      <c r="B153" s="492" t="s">
        <v>2287</v>
      </c>
      <c r="C153" s="328" t="s">
        <v>2288</v>
      </c>
      <c r="D153" s="492"/>
      <c r="E153" s="399"/>
      <c r="F153" s="328"/>
      <c r="G153" s="346"/>
      <c r="H153" s="341"/>
      <c r="I153" s="346">
        <f>+ROUND(+'SP Min'!D324,0)</f>
        <v>11388854</v>
      </c>
      <c r="J153" s="346">
        <f>+ROUND(+'SP Min'!E324,0)</f>
        <v>5364007</v>
      </c>
      <c r="K153" s="346">
        <f t="shared" si="7"/>
        <v>6024847</v>
      </c>
      <c r="L153" s="404">
        <f t="shared" si="6"/>
        <v>1.1231989443712509</v>
      </c>
      <c r="Q153" s="418"/>
      <c r="R153" s="418"/>
      <c r="S153" s="418"/>
      <c r="T153" s="418"/>
    </row>
    <row r="154" spans="1:20" s="405" customFormat="1" ht="11.25">
      <c r="A154" s="398"/>
      <c r="B154" s="492" t="s">
        <v>2289</v>
      </c>
      <c r="C154" s="328" t="s">
        <v>2290</v>
      </c>
      <c r="D154" s="492"/>
      <c r="E154" s="399"/>
      <c r="F154" s="400"/>
      <c r="G154" s="508"/>
      <c r="H154" s="508"/>
      <c r="I154" s="346">
        <f>+ROUND('SP Min'!D329+'SP Min'!D327+'SP Min'!D328,0)</f>
        <v>55201033</v>
      </c>
      <c r="J154" s="346">
        <f>+ROUND('SP Min'!E329+'SP Min'!E327+'SP Min'!E328,0)</f>
        <v>56905694</v>
      </c>
      <c r="K154" s="346">
        <f t="shared" si="7"/>
        <v>-1704661</v>
      </c>
      <c r="L154" s="404">
        <f t="shared" si="6"/>
        <v>-2.9955895099003624E-2</v>
      </c>
      <c r="Q154" s="418"/>
      <c r="R154" s="418"/>
      <c r="S154" s="418"/>
      <c r="T154" s="418"/>
    </row>
    <row r="155" spans="1:20" s="405" customFormat="1" ht="11.25">
      <c r="A155" s="996" t="s">
        <v>2236</v>
      </c>
      <c r="B155" s="997"/>
      <c r="C155" s="997"/>
      <c r="D155" s="997"/>
      <c r="E155" s="997"/>
      <c r="F155" s="997"/>
      <c r="G155" s="998"/>
      <c r="H155" s="999"/>
      <c r="I155" s="349">
        <f>SUM(I137:I141)+SUM(I148:I154)</f>
        <v>272640446</v>
      </c>
      <c r="J155" s="349">
        <f>SUM(J137:J141)+SUM(J148:J154)</f>
        <v>222355532</v>
      </c>
      <c r="K155" s="350">
        <f t="shared" si="7"/>
        <v>50284914</v>
      </c>
      <c r="L155" s="462">
        <f t="shared" si="6"/>
        <v>0.22614644910206236</v>
      </c>
      <c r="Q155" s="418"/>
      <c r="R155" s="418"/>
      <c r="S155" s="418"/>
      <c r="T155" s="418"/>
    </row>
    <row r="156" spans="1:20" s="405" customFormat="1" ht="11.25">
      <c r="A156" s="494" t="s">
        <v>97</v>
      </c>
      <c r="B156" s="328" t="s">
        <v>2291</v>
      </c>
      <c r="C156" s="492"/>
      <c r="D156" s="492"/>
      <c r="E156" s="399"/>
      <c r="F156" s="400"/>
      <c r="G156" s="495"/>
      <c r="H156" s="341"/>
      <c r="I156" s="341"/>
      <c r="J156" s="341"/>
      <c r="K156" s="346">
        <f t="shared" si="7"/>
        <v>0</v>
      </c>
      <c r="L156" s="496" t="str">
        <f t="shared" si="6"/>
        <v xml:space="preserve">-    </v>
      </c>
      <c r="Q156" s="418"/>
      <c r="R156" s="418"/>
      <c r="S156" s="418"/>
      <c r="T156" s="418"/>
    </row>
    <row r="157" spans="1:20" s="405" customFormat="1" ht="11.25">
      <c r="A157" s="494"/>
      <c r="B157" s="492" t="s">
        <v>86</v>
      </c>
      <c r="C157" s="328" t="s">
        <v>2292</v>
      </c>
      <c r="D157" s="492"/>
      <c r="E157" s="399"/>
      <c r="F157" s="440"/>
      <c r="G157" s="401"/>
      <c r="H157" s="341"/>
      <c r="I157" s="346">
        <f>+ROUND(+'SP Min'!D331,0)</f>
        <v>0</v>
      </c>
      <c r="J157" s="346">
        <f>+ROUND(+'SP Min'!E331,0)</f>
        <v>0</v>
      </c>
      <c r="K157" s="415">
        <f t="shared" si="7"/>
        <v>0</v>
      </c>
      <c r="L157" s="467" t="str">
        <f t="shared" si="6"/>
        <v xml:space="preserve">-    </v>
      </c>
      <c r="Q157" s="418"/>
      <c r="R157" s="418"/>
      <c r="S157" s="418"/>
      <c r="T157" s="418"/>
    </row>
    <row r="158" spans="1:20" s="405" customFormat="1" ht="11.25">
      <c r="A158" s="494"/>
      <c r="B158" s="492" t="s">
        <v>88</v>
      </c>
      <c r="C158" s="328" t="s">
        <v>2293</v>
      </c>
      <c r="D158" s="492"/>
      <c r="E158" s="399"/>
      <c r="F158" s="400"/>
      <c r="G158" s="497"/>
      <c r="H158" s="341"/>
      <c r="I158" s="346">
        <f>+ROUND(+'SP Min'!D334,0)</f>
        <v>0</v>
      </c>
      <c r="J158" s="346">
        <f>+ROUND(+'SP Min'!E334,0)</f>
        <v>8230</v>
      </c>
      <c r="K158" s="415">
        <f t="shared" si="7"/>
        <v>-8230</v>
      </c>
      <c r="L158" s="467">
        <f t="shared" si="6"/>
        <v>-1</v>
      </c>
      <c r="Q158" s="418"/>
      <c r="R158" s="418"/>
      <c r="S158" s="418"/>
      <c r="T158" s="418"/>
    </row>
    <row r="159" spans="1:20" s="405" customFormat="1" ht="11.25">
      <c r="A159" s="996" t="s">
        <v>2294</v>
      </c>
      <c r="B159" s="997"/>
      <c r="C159" s="997"/>
      <c r="D159" s="997"/>
      <c r="E159" s="997"/>
      <c r="F159" s="997"/>
      <c r="G159" s="1000"/>
      <c r="H159" s="999"/>
      <c r="I159" s="349">
        <f>SUM(I157:I158)</f>
        <v>0</v>
      </c>
      <c r="J159" s="349">
        <f>SUM(J157:J158)</f>
        <v>8230</v>
      </c>
      <c r="K159" s="350">
        <f t="shared" si="7"/>
        <v>-8230</v>
      </c>
      <c r="L159" s="462">
        <f t="shared" si="6"/>
        <v>-1</v>
      </c>
      <c r="Q159" s="418"/>
      <c r="R159" s="418"/>
      <c r="S159" s="418"/>
      <c r="T159" s="418"/>
    </row>
    <row r="160" spans="1:20" s="405" customFormat="1" ht="12" thickBot="1">
      <c r="A160" s="398"/>
      <c r="B160" s="399"/>
      <c r="C160" s="399"/>
      <c r="D160" s="399"/>
      <c r="E160" s="399"/>
      <c r="F160" s="440"/>
      <c r="G160" s="495"/>
      <c r="H160" s="341"/>
      <c r="I160" s="341"/>
      <c r="J160" s="341"/>
      <c r="K160" s="346">
        <f t="shared" si="7"/>
        <v>0</v>
      </c>
      <c r="L160" s="496" t="str">
        <f t="shared" si="6"/>
        <v xml:space="preserve">-    </v>
      </c>
      <c r="Q160" s="418"/>
      <c r="R160" s="418"/>
      <c r="S160" s="418"/>
      <c r="T160" s="418"/>
    </row>
    <row r="161" spans="1:20" s="405" customFormat="1" ht="12" thickBot="1">
      <c r="A161" s="1001" t="s">
        <v>2295</v>
      </c>
      <c r="B161" s="1002"/>
      <c r="C161" s="1002"/>
      <c r="D161" s="1002"/>
      <c r="E161" s="1002"/>
      <c r="F161" s="1002"/>
      <c r="G161" s="1002"/>
      <c r="H161" s="1003"/>
      <c r="I161" s="353">
        <f>I123+I130+I134+I155+I159</f>
        <v>817219477</v>
      </c>
      <c r="J161" s="353">
        <f>J123+J130+J134+J155+J159</f>
        <v>739369785</v>
      </c>
      <c r="K161" s="354">
        <f t="shared" si="7"/>
        <v>77849692</v>
      </c>
      <c r="L161" s="470">
        <f t="shared" si="6"/>
        <v>0.10529195752839697</v>
      </c>
      <c r="Q161" s="418"/>
      <c r="R161" s="418"/>
      <c r="S161" s="418"/>
      <c r="T161" s="418"/>
    </row>
    <row r="162" spans="1:20" s="471" customFormat="1" ht="11.25">
      <c r="A162" s="494" t="s">
        <v>2296</v>
      </c>
      <c r="B162" s="328" t="s">
        <v>2230</v>
      </c>
      <c r="C162" s="492"/>
      <c r="D162" s="492"/>
      <c r="E162" s="492"/>
      <c r="F162" s="507"/>
      <c r="G162" s="445"/>
      <c r="H162" s="464"/>
      <c r="I162" s="464"/>
      <c r="J162" s="464"/>
      <c r="K162" s="346">
        <f t="shared" si="7"/>
        <v>0</v>
      </c>
      <c r="L162" s="496" t="str">
        <f t="shared" si="6"/>
        <v xml:space="preserve">-    </v>
      </c>
      <c r="Q162" s="472"/>
      <c r="R162" s="472"/>
      <c r="S162" s="472"/>
      <c r="T162" s="472"/>
    </row>
    <row r="163" spans="1:20" s="471" customFormat="1" ht="11.25">
      <c r="A163" s="494"/>
      <c r="B163" s="492" t="s">
        <v>2231</v>
      </c>
      <c r="C163" s="328" t="s">
        <v>2232</v>
      </c>
      <c r="D163" s="492"/>
      <c r="E163" s="492"/>
      <c r="F163" s="440"/>
      <c r="G163" s="445"/>
      <c r="H163" s="464"/>
      <c r="I163" s="346">
        <f>+ROUND(+'SP Min'!D340,0)</f>
        <v>0</v>
      </c>
      <c r="J163" s="346">
        <f>+ROUND(+'SP Min'!E340,0)</f>
        <v>0</v>
      </c>
      <c r="K163" s="415">
        <f t="shared" si="7"/>
        <v>0</v>
      </c>
      <c r="L163" s="467" t="str">
        <f t="shared" si="6"/>
        <v xml:space="preserve">-    </v>
      </c>
      <c r="Q163" s="472"/>
      <c r="R163" s="472"/>
      <c r="S163" s="472"/>
      <c r="T163" s="472"/>
    </row>
    <row r="164" spans="1:20" s="471" customFormat="1" ht="11.25">
      <c r="A164" s="494"/>
      <c r="B164" s="492" t="s">
        <v>88</v>
      </c>
      <c r="C164" s="440" t="s">
        <v>2233</v>
      </c>
      <c r="D164" s="492"/>
      <c r="E164" s="492"/>
      <c r="F164" s="507"/>
      <c r="G164" s="445"/>
      <c r="H164" s="464"/>
      <c r="I164" s="346">
        <f>+ROUND(+'SP Min'!D341,0)</f>
        <v>539195</v>
      </c>
      <c r="J164" s="346">
        <f>+ROUND(+'SP Min'!E341,0)</f>
        <v>0</v>
      </c>
      <c r="K164" s="415">
        <f t="shared" si="7"/>
        <v>539195</v>
      </c>
      <c r="L164" s="467" t="str">
        <f t="shared" si="6"/>
        <v xml:space="preserve">-    </v>
      </c>
      <c r="Q164" s="472"/>
      <c r="R164" s="472"/>
      <c r="S164" s="472"/>
      <c r="T164" s="472"/>
    </row>
    <row r="165" spans="1:20" s="471" customFormat="1" ht="11.25">
      <c r="A165" s="494"/>
      <c r="B165" s="440" t="s">
        <v>116</v>
      </c>
      <c r="C165" s="492" t="s">
        <v>2234</v>
      </c>
      <c r="D165" s="492"/>
      <c r="E165" s="492"/>
      <c r="F165" s="507"/>
      <c r="G165" s="445"/>
      <c r="H165" s="464"/>
      <c r="I165" s="346">
        <f>+ROUND(+'SP Min'!D342,0)</f>
        <v>2715846</v>
      </c>
      <c r="J165" s="346">
        <f>+ROUND(+'SP Min'!E342,0)</f>
        <v>453687</v>
      </c>
      <c r="K165" s="415">
        <f t="shared" si="7"/>
        <v>2262159</v>
      </c>
      <c r="L165" s="467">
        <f t="shared" si="6"/>
        <v>4.9861666743812361</v>
      </c>
      <c r="Q165" s="472"/>
      <c r="R165" s="472"/>
      <c r="S165" s="472"/>
      <c r="T165" s="472"/>
    </row>
    <row r="166" spans="1:20" s="471" customFormat="1" ht="11.25">
      <c r="A166" s="494"/>
      <c r="B166" s="492" t="s">
        <v>2140</v>
      </c>
      <c r="C166" s="328" t="s">
        <v>2235</v>
      </c>
      <c r="D166" s="492"/>
      <c r="E166" s="492"/>
      <c r="F166" s="440"/>
      <c r="G166" s="465"/>
      <c r="H166" s="464"/>
      <c r="I166" s="346">
        <f>+ROUND(+'SP Min'!D343+'SP Min'!D344,0)</f>
        <v>34647845</v>
      </c>
      <c r="J166" s="346">
        <f>+ROUND(+'SP Min'!E343+'SP Min'!E344,0)</f>
        <v>25896298</v>
      </c>
      <c r="K166" s="415">
        <f t="shared" si="7"/>
        <v>8751547</v>
      </c>
      <c r="L166" s="467">
        <f t="shared" si="6"/>
        <v>0.33794587164543749</v>
      </c>
      <c r="Q166" s="472"/>
      <c r="R166" s="472"/>
      <c r="S166" s="472"/>
      <c r="T166" s="472"/>
    </row>
    <row r="167" spans="1:20" s="405" customFormat="1" ht="12" thickBot="1">
      <c r="A167" s="990" t="s">
        <v>2297</v>
      </c>
      <c r="B167" s="991"/>
      <c r="C167" s="991"/>
      <c r="D167" s="991"/>
      <c r="E167" s="991"/>
      <c r="F167" s="991"/>
      <c r="G167" s="992"/>
      <c r="H167" s="993"/>
      <c r="I167" s="474">
        <f>SUM(I163:I166)</f>
        <v>37902886</v>
      </c>
      <c r="J167" s="474">
        <f>SUM(J163:J166)</f>
        <v>26349985</v>
      </c>
      <c r="K167" s="474">
        <f t="shared" si="7"/>
        <v>11552901</v>
      </c>
      <c r="L167" s="475">
        <f t="shared" si="6"/>
        <v>0.43844051524128003</v>
      </c>
      <c r="Q167" s="418"/>
      <c r="R167" s="418"/>
      <c r="S167" s="418"/>
      <c r="T167" s="418"/>
    </row>
    <row r="168" spans="1:20" s="412" customFormat="1" ht="11.25">
      <c r="A168" s="509"/>
      <c r="B168" s="509"/>
      <c r="C168" s="509"/>
      <c r="D168" s="509"/>
      <c r="E168" s="509"/>
      <c r="F168" s="477"/>
      <c r="I168" s="510"/>
      <c r="J168" s="510"/>
      <c r="K168" s="510"/>
      <c r="L168" s="511"/>
    </row>
    <row r="169" spans="1:20" s="412" customFormat="1" ht="11.25">
      <c r="A169" s="509"/>
      <c r="B169" s="509"/>
      <c r="C169" s="509"/>
      <c r="D169" s="509"/>
      <c r="E169" s="509"/>
      <c r="F169" s="477"/>
      <c r="I169" s="510">
        <f>+I92-I161</f>
        <v>-1</v>
      </c>
      <c r="J169" s="510"/>
      <c r="K169" s="510"/>
      <c r="L169" s="511"/>
    </row>
    <row r="170" spans="1:20" s="412" customFormat="1" ht="11.25">
      <c r="A170" s="509"/>
      <c r="B170" s="509"/>
      <c r="C170" s="509"/>
      <c r="D170" s="509"/>
      <c r="E170" s="509"/>
      <c r="F170" s="477"/>
      <c r="I170" s="510"/>
      <c r="J170" s="510"/>
      <c r="K170" s="510"/>
      <c r="L170" s="511"/>
    </row>
    <row r="171" spans="1:20" s="412" customFormat="1" ht="11.25">
      <c r="A171" s="509"/>
      <c r="B171" s="509"/>
      <c r="C171" s="509"/>
      <c r="D171" s="509"/>
      <c r="E171" s="509"/>
      <c r="F171" s="477"/>
      <c r="I171" s="510"/>
      <c r="J171" s="510"/>
      <c r="K171" s="510"/>
      <c r="L171" s="511"/>
    </row>
    <row r="172" spans="1:20" s="412" customFormat="1" ht="11.25">
      <c r="A172" s="509"/>
      <c r="B172" s="509"/>
      <c r="C172" s="509"/>
      <c r="D172" s="509"/>
      <c r="E172" s="509"/>
      <c r="F172" s="477"/>
      <c r="I172" s="510"/>
      <c r="J172" s="510"/>
      <c r="K172" s="510"/>
      <c r="L172" s="511"/>
    </row>
    <row r="173" spans="1:20" s="412" customFormat="1" ht="11.25">
      <c r="A173" s="509"/>
      <c r="B173" s="509"/>
      <c r="C173" s="509"/>
      <c r="D173" s="509"/>
      <c r="E173" s="509"/>
      <c r="F173" s="477"/>
      <c r="I173" s="510"/>
      <c r="J173" s="510"/>
      <c r="K173" s="510"/>
      <c r="L173" s="511"/>
    </row>
    <row r="174" spans="1:20" s="412" customFormat="1" ht="11.25">
      <c r="A174" s="509"/>
      <c r="B174" s="509"/>
      <c r="C174" s="509"/>
      <c r="D174" s="509"/>
      <c r="E174" s="509"/>
      <c r="F174" s="477"/>
      <c r="I174" s="510"/>
      <c r="J174" s="510"/>
      <c r="K174" s="510"/>
      <c r="L174" s="511"/>
    </row>
    <row r="175" spans="1:20" s="412" customFormat="1" ht="11.25">
      <c r="A175" s="509"/>
      <c r="B175" s="509"/>
      <c r="C175" s="509"/>
      <c r="D175" s="509"/>
      <c r="E175" s="509"/>
      <c r="F175" s="477"/>
      <c r="I175" s="510"/>
      <c r="J175" s="510"/>
      <c r="K175" s="510"/>
      <c r="L175" s="511"/>
    </row>
    <row r="176" spans="1:20" s="412" customFormat="1" ht="11.25">
      <c r="A176" s="509"/>
      <c r="B176" s="509"/>
      <c r="C176" s="509"/>
      <c r="D176" s="509"/>
      <c r="E176" s="509"/>
      <c r="F176" s="477"/>
      <c r="I176" s="510"/>
      <c r="J176" s="510"/>
      <c r="K176" s="510"/>
      <c r="L176" s="511"/>
    </row>
    <row r="177" spans="1:12" s="412" customFormat="1" ht="11.25">
      <c r="A177" s="509"/>
      <c r="B177" s="509"/>
      <c r="C177" s="509"/>
      <c r="D177" s="509"/>
      <c r="E177" s="509"/>
      <c r="F177" s="477"/>
      <c r="I177" s="510"/>
      <c r="J177" s="510"/>
      <c r="K177" s="510"/>
      <c r="L177" s="511"/>
    </row>
    <row r="178" spans="1:12" s="412" customFormat="1" ht="11.25">
      <c r="A178" s="509"/>
      <c r="B178" s="509"/>
      <c r="C178" s="509"/>
      <c r="D178" s="509"/>
      <c r="E178" s="509"/>
      <c r="F178" s="477"/>
      <c r="I178" s="510"/>
      <c r="J178" s="510"/>
      <c r="K178" s="510"/>
      <c r="L178" s="511"/>
    </row>
    <row r="179" spans="1:12" s="412" customFormat="1" ht="11.25">
      <c r="A179" s="509"/>
      <c r="B179" s="509"/>
      <c r="C179" s="509"/>
      <c r="D179" s="509"/>
      <c r="E179" s="509"/>
      <c r="F179" s="477"/>
      <c r="I179" s="510"/>
      <c r="J179" s="510"/>
      <c r="K179" s="510"/>
      <c r="L179" s="511"/>
    </row>
    <row r="180" spans="1:12" s="412" customFormat="1" ht="11.25">
      <c r="A180" s="509"/>
      <c r="B180" s="509"/>
      <c r="C180" s="509"/>
      <c r="D180" s="509"/>
      <c r="E180" s="509"/>
      <c r="F180" s="477"/>
      <c r="I180" s="510"/>
      <c r="J180" s="510"/>
      <c r="K180" s="510"/>
      <c r="L180" s="511"/>
    </row>
    <row r="181" spans="1:12" s="412" customFormat="1" ht="11.25">
      <c r="A181" s="509"/>
      <c r="B181" s="509"/>
      <c r="C181" s="509"/>
      <c r="D181" s="509"/>
      <c r="E181" s="509"/>
      <c r="F181" s="477"/>
      <c r="I181" s="510"/>
      <c r="J181" s="510"/>
      <c r="K181" s="510"/>
      <c r="L181" s="511"/>
    </row>
    <row r="182" spans="1:12" s="412" customFormat="1" ht="11.25">
      <c r="A182" s="509"/>
      <c r="B182" s="509"/>
      <c r="C182" s="509"/>
      <c r="D182" s="509"/>
      <c r="E182" s="509"/>
      <c r="F182" s="477"/>
      <c r="I182" s="510"/>
      <c r="J182" s="510"/>
      <c r="K182" s="510"/>
      <c r="L182" s="511"/>
    </row>
    <row r="183" spans="1:12" s="412" customFormat="1" ht="11.25">
      <c r="A183" s="509"/>
      <c r="B183" s="509"/>
      <c r="C183" s="509"/>
      <c r="D183" s="509"/>
      <c r="E183" s="509"/>
      <c r="F183" s="477"/>
      <c r="I183" s="510"/>
      <c r="J183" s="510"/>
      <c r="K183" s="510"/>
      <c r="L183" s="511"/>
    </row>
    <row r="184" spans="1:12" s="412" customFormat="1" ht="11.25">
      <c r="A184" s="509"/>
      <c r="B184" s="509"/>
      <c r="C184" s="509"/>
      <c r="D184" s="509"/>
      <c r="E184" s="509"/>
      <c r="F184" s="477"/>
      <c r="I184" s="510"/>
      <c r="J184" s="510"/>
      <c r="K184" s="510"/>
      <c r="L184" s="511"/>
    </row>
    <row r="185" spans="1:12" s="412" customFormat="1" ht="11.25">
      <c r="A185" s="509"/>
      <c r="B185" s="509"/>
      <c r="C185" s="509"/>
      <c r="D185" s="509"/>
      <c r="E185" s="509"/>
      <c r="F185" s="477"/>
      <c r="I185" s="510"/>
      <c r="J185" s="510"/>
      <c r="K185" s="510"/>
      <c r="L185" s="511"/>
    </row>
    <row r="186" spans="1:12" s="412" customFormat="1" ht="11.25">
      <c r="A186" s="509"/>
      <c r="B186" s="509"/>
      <c r="C186" s="509"/>
      <c r="D186" s="509"/>
      <c r="E186" s="509"/>
      <c r="F186" s="477"/>
      <c r="I186" s="510"/>
      <c r="J186" s="510"/>
      <c r="K186" s="510"/>
      <c r="L186" s="511"/>
    </row>
    <row r="187" spans="1:12" s="412" customFormat="1" ht="11.25">
      <c r="A187" s="509"/>
      <c r="B187" s="509"/>
      <c r="C187" s="509"/>
      <c r="D187" s="509"/>
      <c r="E187" s="509"/>
      <c r="F187" s="477"/>
      <c r="I187" s="510"/>
      <c r="J187" s="510"/>
      <c r="K187" s="510"/>
      <c r="L187" s="511"/>
    </row>
    <row r="188" spans="1:12" s="412" customFormat="1" ht="11.25">
      <c r="A188" s="509"/>
      <c r="B188" s="509"/>
      <c r="C188" s="509"/>
      <c r="D188" s="509"/>
      <c r="E188" s="509"/>
      <c r="F188" s="477"/>
      <c r="I188" s="510"/>
      <c r="J188" s="510"/>
      <c r="K188" s="510"/>
      <c r="L188" s="511"/>
    </row>
    <row r="189" spans="1:12" s="412" customFormat="1" ht="11.25">
      <c r="A189" s="509"/>
      <c r="B189" s="509"/>
      <c r="C189" s="509"/>
      <c r="D189" s="509"/>
      <c r="E189" s="509"/>
      <c r="F189" s="477"/>
      <c r="I189" s="510"/>
      <c r="J189" s="510"/>
      <c r="K189" s="510"/>
      <c r="L189" s="511"/>
    </row>
    <row r="190" spans="1:12" s="412" customFormat="1" ht="11.25">
      <c r="A190" s="509"/>
      <c r="B190" s="509"/>
      <c r="C190" s="509"/>
      <c r="D190" s="509"/>
      <c r="E190" s="509"/>
      <c r="F190" s="477"/>
      <c r="I190" s="510"/>
      <c r="J190" s="510"/>
      <c r="K190" s="510"/>
      <c r="L190" s="511"/>
    </row>
    <row r="191" spans="1:12" s="412" customFormat="1" ht="11.25">
      <c r="A191" s="509"/>
      <c r="B191" s="509"/>
      <c r="C191" s="509"/>
      <c r="D191" s="509"/>
      <c r="E191" s="509"/>
      <c r="F191" s="477"/>
      <c r="I191" s="510"/>
      <c r="J191" s="510"/>
      <c r="K191" s="510"/>
      <c r="L191" s="511"/>
    </row>
    <row r="192" spans="1:12" s="412" customFormat="1" ht="11.25">
      <c r="A192" s="509"/>
      <c r="B192" s="509"/>
      <c r="C192" s="509"/>
      <c r="D192" s="509"/>
      <c r="E192" s="509"/>
      <c r="F192" s="477"/>
      <c r="I192" s="510"/>
      <c r="J192" s="510"/>
      <c r="K192" s="510"/>
      <c r="L192" s="511"/>
    </row>
    <row r="193" spans="1:12" s="412" customFormat="1" ht="11.25">
      <c r="A193" s="509"/>
      <c r="B193" s="509"/>
      <c r="C193" s="509"/>
      <c r="D193" s="509"/>
      <c r="E193" s="509"/>
      <c r="F193" s="477"/>
      <c r="I193" s="510"/>
      <c r="J193" s="510"/>
      <c r="K193" s="510"/>
      <c r="L193" s="511"/>
    </row>
    <row r="194" spans="1:12" s="412" customFormat="1" ht="11.25">
      <c r="A194" s="509"/>
      <c r="B194" s="509"/>
      <c r="C194" s="509"/>
      <c r="D194" s="509"/>
      <c r="E194" s="509"/>
      <c r="F194" s="477"/>
      <c r="I194" s="510"/>
      <c r="J194" s="510"/>
      <c r="K194" s="510"/>
      <c r="L194" s="511"/>
    </row>
    <row r="195" spans="1:12" s="412" customFormat="1" ht="11.25">
      <c r="A195" s="509"/>
      <c r="B195" s="509"/>
      <c r="C195" s="509"/>
      <c r="D195" s="509"/>
      <c r="E195" s="509"/>
      <c r="F195" s="477"/>
      <c r="I195" s="510"/>
      <c r="J195" s="510"/>
      <c r="K195" s="510"/>
      <c r="L195" s="511"/>
    </row>
    <row r="196" spans="1:12" s="412" customFormat="1" ht="11.25">
      <c r="A196" s="509"/>
      <c r="B196" s="509"/>
      <c r="C196" s="509"/>
      <c r="D196" s="509"/>
      <c r="E196" s="509"/>
      <c r="F196" s="477"/>
      <c r="I196" s="510"/>
      <c r="J196" s="510"/>
      <c r="K196" s="510"/>
      <c r="L196" s="511"/>
    </row>
    <row r="197" spans="1:12" s="412" customFormat="1" ht="11.25">
      <c r="A197" s="509"/>
      <c r="B197" s="509"/>
      <c r="C197" s="509"/>
      <c r="D197" s="509"/>
      <c r="E197" s="509"/>
      <c r="F197" s="477"/>
      <c r="I197" s="510"/>
      <c r="J197" s="510"/>
      <c r="K197" s="510"/>
      <c r="L197" s="511"/>
    </row>
    <row r="198" spans="1:12" s="412" customFormat="1" ht="11.25">
      <c r="A198" s="509"/>
      <c r="B198" s="509"/>
      <c r="C198" s="509"/>
      <c r="D198" s="509"/>
      <c r="E198" s="509"/>
      <c r="F198" s="477"/>
      <c r="I198" s="510"/>
      <c r="J198" s="510"/>
      <c r="K198" s="510"/>
      <c r="L198" s="511"/>
    </row>
    <row r="199" spans="1:12" s="412" customFormat="1" ht="11.25">
      <c r="A199" s="509"/>
      <c r="B199" s="509"/>
      <c r="C199" s="509"/>
      <c r="D199" s="509"/>
      <c r="E199" s="509"/>
      <c r="F199" s="477"/>
      <c r="I199" s="510"/>
      <c r="J199" s="510"/>
      <c r="K199" s="510"/>
      <c r="L199" s="511"/>
    </row>
    <row r="200" spans="1:12" s="412" customFormat="1" ht="11.25">
      <c r="A200" s="509"/>
      <c r="B200" s="509"/>
      <c r="C200" s="509"/>
      <c r="D200" s="509"/>
      <c r="E200" s="509"/>
      <c r="F200" s="477"/>
      <c r="I200" s="510"/>
      <c r="J200" s="510"/>
      <c r="K200" s="510"/>
      <c r="L200" s="511"/>
    </row>
    <row r="201" spans="1:12" s="412" customFormat="1" ht="11.25">
      <c r="A201" s="509"/>
      <c r="B201" s="509"/>
      <c r="C201" s="509"/>
      <c r="D201" s="509"/>
      <c r="E201" s="509"/>
      <c r="F201" s="477"/>
      <c r="I201" s="510"/>
      <c r="J201" s="510"/>
      <c r="K201" s="510"/>
      <c r="L201" s="511"/>
    </row>
    <row r="202" spans="1:12" s="412" customFormat="1" ht="11.25">
      <c r="A202" s="509"/>
      <c r="B202" s="509"/>
      <c r="C202" s="509"/>
      <c r="D202" s="509"/>
      <c r="E202" s="509"/>
      <c r="F202" s="477"/>
      <c r="I202" s="510"/>
      <c r="J202" s="510"/>
      <c r="K202" s="510"/>
      <c r="L202" s="511"/>
    </row>
    <row r="203" spans="1:12" s="412" customFormat="1" ht="11.25">
      <c r="A203" s="509"/>
      <c r="B203" s="509"/>
      <c r="C203" s="509"/>
      <c r="D203" s="509"/>
      <c r="E203" s="509"/>
      <c r="F203" s="477"/>
      <c r="I203" s="510"/>
      <c r="J203" s="510"/>
      <c r="K203" s="510"/>
      <c r="L203" s="511"/>
    </row>
    <row r="204" spans="1:12" s="412" customFormat="1" ht="11.25">
      <c r="A204" s="509"/>
      <c r="B204" s="509"/>
      <c r="C204" s="509"/>
      <c r="D204" s="509"/>
      <c r="E204" s="509"/>
      <c r="F204" s="477"/>
      <c r="I204" s="510"/>
      <c r="J204" s="510"/>
      <c r="K204" s="510"/>
      <c r="L204" s="511"/>
    </row>
    <row r="205" spans="1:12" s="412" customFormat="1" ht="11.25">
      <c r="A205" s="509"/>
      <c r="B205" s="509"/>
      <c r="C205" s="509"/>
      <c r="D205" s="509"/>
      <c r="E205" s="509"/>
      <c r="F205" s="477"/>
      <c r="I205" s="510"/>
      <c r="J205" s="510"/>
      <c r="K205" s="510"/>
      <c r="L205" s="511"/>
    </row>
    <row r="206" spans="1:12" s="412" customFormat="1" ht="11.25">
      <c r="A206" s="509"/>
      <c r="B206" s="509"/>
      <c r="C206" s="509"/>
      <c r="D206" s="509"/>
      <c r="E206" s="509"/>
      <c r="F206" s="477"/>
      <c r="I206" s="510"/>
      <c r="J206" s="510"/>
      <c r="K206" s="510"/>
      <c r="L206" s="511"/>
    </row>
    <row r="207" spans="1:12" s="412" customFormat="1" ht="11.25">
      <c r="A207" s="509"/>
      <c r="B207" s="509"/>
      <c r="C207" s="509"/>
      <c r="D207" s="509"/>
      <c r="E207" s="509"/>
      <c r="F207" s="477"/>
      <c r="I207" s="510"/>
      <c r="J207" s="510"/>
      <c r="K207" s="510"/>
      <c r="L207" s="511"/>
    </row>
    <row r="208" spans="1:12" s="412" customFormat="1" ht="11.25">
      <c r="A208" s="509"/>
      <c r="B208" s="509"/>
      <c r="C208" s="509"/>
      <c r="D208" s="509"/>
      <c r="E208" s="509"/>
      <c r="F208" s="477"/>
      <c r="I208" s="510"/>
      <c r="J208" s="510"/>
      <c r="K208" s="510"/>
      <c r="L208" s="511"/>
    </row>
    <row r="209" spans="1:12" s="412" customFormat="1" ht="11.25">
      <c r="A209" s="509"/>
      <c r="B209" s="509"/>
      <c r="C209" s="509"/>
      <c r="D209" s="509"/>
      <c r="E209" s="509"/>
      <c r="F209" s="477"/>
      <c r="I209" s="510"/>
      <c r="J209" s="510"/>
      <c r="K209" s="510"/>
      <c r="L209" s="511"/>
    </row>
    <row r="210" spans="1:12" s="412" customFormat="1" ht="11.25">
      <c r="A210" s="509"/>
      <c r="B210" s="509"/>
      <c r="C210" s="509"/>
      <c r="D210" s="509"/>
      <c r="E210" s="509"/>
      <c r="F210" s="477"/>
      <c r="I210" s="510"/>
      <c r="J210" s="510"/>
      <c r="K210" s="510"/>
      <c r="L210" s="511"/>
    </row>
    <row r="211" spans="1:12" s="412" customFormat="1" ht="11.25">
      <c r="A211" s="509"/>
      <c r="B211" s="509"/>
      <c r="C211" s="509"/>
      <c r="D211" s="509"/>
      <c r="E211" s="509"/>
      <c r="F211" s="477"/>
      <c r="I211" s="510"/>
      <c r="J211" s="510"/>
      <c r="K211" s="510"/>
      <c r="L211" s="511"/>
    </row>
    <row r="212" spans="1:12" s="412" customFormat="1" ht="11.25">
      <c r="A212" s="509"/>
      <c r="B212" s="509"/>
      <c r="C212" s="509"/>
      <c r="D212" s="509"/>
      <c r="E212" s="509"/>
      <c r="F212" s="477"/>
      <c r="I212" s="510"/>
      <c r="J212" s="510"/>
      <c r="K212" s="510"/>
      <c r="L212" s="511"/>
    </row>
    <row r="213" spans="1:12" s="412" customFormat="1" ht="11.25">
      <c r="A213" s="509"/>
      <c r="B213" s="509"/>
      <c r="C213" s="509"/>
      <c r="D213" s="509"/>
      <c r="E213" s="509"/>
      <c r="F213" s="477"/>
      <c r="I213" s="510"/>
      <c r="J213" s="510"/>
      <c r="K213" s="510"/>
      <c r="L213" s="511"/>
    </row>
    <row r="214" spans="1:12" s="412" customFormat="1" ht="11.25">
      <c r="A214" s="509"/>
      <c r="B214" s="509"/>
      <c r="C214" s="509"/>
      <c r="D214" s="509"/>
      <c r="E214" s="509"/>
      <c r="F214" s="477"/>
      <c r="I214" s="510"/>
      <c r="J214" s="510"/>
      <c r="K214" s="510"/>
      <c r="L214" s="511"/>
    </row>
    <row r="215" spans="1:12" s="412" customFormat="1" ht="11.25">
      <c r="A215" s="509"/>
      <c r="B215" s="509"/>
      <c r="C215" s="509"/>
      <c r="D215" s="509"/>
      <c r="E215" s="509"/>
      <c r="F215" s="477"/>
      <c r="I215" s="510"/>
      <c r="J215" s="510"/>
      <c r="K215" s="510"/>
      <c r="L215" s="511"/>
    </row>
    <row r="216" spans="1:12" s="412" customFormat="1" ht="11.25">
      <c r="A216" s="509"/>
      <c r="B216" s="509"/>
      <c r="C216" s="509"/>
      <c r="D216" s="509"/>
      <c r="E216" s="509"/>
      <c r="F216" s="477"/>
      <c r="I216" s="510"/>
      <c r="J216" s="510"/>
      <c r="K216" s="510"/>
      <c r="L216" s="511"/>
    </row>
    <row r="217" spans="1:12">
      <c r="F217" s="390"/>
    </row>
    <row r="218" spans="1:12">
      <c r="F218" s="390"/>
    </row>
    <row r="219" spans="1:12">
      <c r="F219" s="390"/>
    </row>
    <row r="220" spans="1:12">
      <c r="F220" s="390"/>
    </row>
    <row r="221" spans="1:12">
      <c r="F221" s="390"/>
    </row>
    <row r="222" spans="1:12">
      <c r="F222" s="390"/>
    </row>
    <row r="223" spans="1:12">
      <c r="F223" s="390"/>
    </row>
    <row r="224" spans="1:12" s="412" customFormat="1">
      <c r="A224" s="512"/>
      <c r="B224" s="512"/>
      <c r="C224" s="512"/>
      <c r="D224" s="512"/>
      <c r="E224" s="512"/>
      <c r="F224" s="390"/>
      <c r="I224" s="510"/>
      <c r="J224" s="510"/>
      <c r="K224" s="510"/>
      <c r="L224" s="511"/>
    </row>
    <row r="225" spans="1:12" s="412" customFormat="1">
      <c r="A225" s="512"/>
      <c r="B225" s="512"/>
      <c r="C225" s="512"/>
      <c r="D225" s="512"/>
      <c r="E225" s="512"/>
      <c r="F225" s="390"/>
      <c r="I225" s="510"/>
      <c r="J225" s="510"/>
      <c r="K225" s="510"/>
      <c r="L225" s="511"/>
    </row>
    <row r="226" spans="1:12" s="412" customFormat="1">
      <c r="A226" s="512"/>
      <c r="B226" s="512"/>
      <c r="C226" s="512"/>
      <c r="D226" s="512"/>
      <c r="E226" s="512"/>
      <c r="F226" s="390"/>
      <c r="I226" s="510"/>
      <c r="J226" s="510"/>
      <c r="K226" s="510"/>
      <c r="L226" s="511"/>
    </row>
    <row r="227" spans="1:12" s="412" customFormat="1">
      <c r="A227" s="512"/>
      <c r="B227" s="512"/>
      <c r="C227" s="512"/>
      <c r="D227" s="512"/>
      <c r="E227" s="512"/>
      <c r="F227" s="390"/>
      <c r="I227" s="510"/>
      <c r="J227" s="510"/>
      <c r="K227" s="510"/>
      <c r="L227" s="511"/>
    </row>
    <row r="228" spans="1:12" s="412" customFormat="1">
      <c r="A228" s="512"/>
      <c r="B228" s="512"/>
      <c r="C228" s="512"/>
      <c r="D228" s="512"/>
      <c r="E228" s="512"/>
      <c r="F228" s="390"/>
      <c r="I228" s="510"/>
      <c r="J228" s="510"/>
      <c r="K228" s="510"/>
      <c r="L228" s="511"/>
    </row>
    <row r="229" spans="1:12" s="412" customFormat="1">
      <c r="A229" s="512"/>
      <c r="B229" s="512"/>
      <c r="C229" s="512"/>
      <c r="D229" s="512"/>
      <c r="E229" s="512"/>
      <c r="F229" s="390"/>
      <c r="I229" s="510"/>
      <c r="J229" s="510"/>
      <c r="K229" s="510"/>
      <c r="L229" s="511"/>
    </row>
    <row r="230" spans="1:12" s="412" customFormat="1">
      <c r="A230" s="512"/>
      <c r="B230" s="512"/>
      <c r="C230" s="512"/>
      <c r="D230" s="512"/>
      <c r="E230" s="512"/>
      <c r="F230" s="390"/>
      <c r="I230" s="510"/>
      <c r="J230" s="510"/>
      <c r="K230" s="510"/>
      <c r="L230" s="511"/>
    </row>
    <row r="231" spans="1:12" s="412" customFormat="1">
      <c r="A231" s="512"/>
      <c r="B231" s="512"/>
      <c r="C231" s="512"/>
      <c r="D231" s="512"/>
      <c r="E231" s="512"/>
      <c r="F231" s="390"/>
      <c r="I231" s="510"/>
      <c r="J231" s="510"/>
      <c r="K231" s="510"/>
      <c r="L231" s="511"/>
    </row>
    <row r="232" spans="1:12" s="412" customFormat="1">
      <c r="A232" s="512"/>
      <c r="B232" s="512"/>
      <c r="C232" s="512"/>
      <c r="D232" s="512"/>
      <c r="E232" s="512"/>
      <c r="F232" s="390"/>
      <c r="I232" s="510"/>
      <c r="J232" s="510"/>
      <c r="K232" s="510"/>
      <c r="L232" s="511"/>
    </row>
    <row r="233" spans="1:12" s="412" customFormat="1">
      <c r="A233" s="512"/>
      <c r="B233" s="512"/>
      <c r="C233" s="512"/>
      <c r="D233" s="512"/>
      <c r="E233" s="512"/>
      <c r="F233" s="390"/>
      <c r="I233" s="510"/>
      <c r="J233" s="510"/>
      <c r="K233" s="510"/>
      <c r="L233" s="511"/>
    </row>
    <row r="234" spans="1:12" s="412" customFormat="1">
      <c r="A234" s="512"/>
      <c r="B234" s="512"/>
      <c r="C234" s="512"/>
      <c r="D234" s="512"/>
      <c r="E234" s="512"/>
      <c r="F234" s="390"/>
      <c r="I234" s="510"/>
      <c r="J234" s="510"/>
      <c r="K234" s="510"/>
      <c r="L234" s="511"/>
    </row>
    <row r="235" spans="1:12" s="412" customFormat="1">
      <c r="A235" s="512"/>
      <c r="B235" s="512"/>
      <c r="C235" s="512"/>
      <c r="D235" s="512"/>
      <c r="E235" s="512"/>
      <c r="F235" s="390"/>
      <c r="I235" s="510"/>
      <c r="J235" s="510"/>
      <c r="K235" s="510"/>
      <c r="L235" s="511"/>
    </row>
    <row r="236" spans="1:12" s="412" customFormat="1">
      <c r="A236" s="512"/>
      <c r="B236" s="512"/>
      <c r="C236" s="512"/>
      <c r="D236" s="512"/>
      <c r="E236" s="512"/>
      <c r="F236" s="390"/>
      <c r="I236" s="510"/>
      <c r="J236" s="510"/>
      <c r="K236" s="510"/>
      <c r="L236" s="511"/>
    </row>
    <row r="237" spans="1:12" s="412" customFormat="1">
      <c r="A237" s="512"/>
      <c r="B237" s="512"/>
      <c r="C237" s="512"/>
      <c r="D237" s="512"/>
      <c r="E237" s="512"/>
      <c r="F237" s="390"/>
      <c r="I237" s="510"/>
      <c r="J237" s="510"/>
      <c r="K237" s="510"/>
      <c r="L237" s="511"/>
    </row>
    <row r="238" spans="1:12" s="412" customFormat="1">
      <c r="A238" s="512"/>
      <c r="B238" s="512"/>
      <c r="C238" s="512"/>
      <c r="D238" s="512"/>
      <c r="E238" s="512"/>
      <c r="F238" s="390"/>
      <c r="I238" s="510"/>
      <c r="J238" s="510"/>
      <c r="K238" s="510"/>
      <c r="L238" s="511"/>
    </row>
    <row r="239" spans="1:12" s="412" customFormat="1">
      <c r="A239" s="512"/>
      <c r="B239" s="512"/>
      <c r="C239" s="512"/>
      <c r="D239" s="512"/>
      <c r="E239" s="512"/>
      <c r="F239" s="390"/>
      <c r="I239" s="510"/>
      <c r="J239" s="510"/>
      <c r="K239" s="510"/>
      <c r="L239" s="511"/>
    </row>
    <row r="240" spans="1:12" s="412" customFormat="1">
      <c r="A240" s="512"/>
      <c r="B240" s="512"/>
      <c r="C240" s="512"/>
      <c r="D240" s="512"/>
      <c r="E240" s="512"/>
      <c r="F240" s="390"/>
      <c r="I240" s="510"/>
      <c r="J240" s="510"/>
      <c r="K240" s="510"/>
      <c r="L240" s="511"/>
    </row>
    <row r="241" spans="1:12" s="412" customFormat="1">
      <c r="A241" s="512"/>
      <c r="B241" s="512"/>
      <c r="C241" s="512"/>
      <c r="D241" s="512"/>
      <c r="E241" s="512"/>
      <c r="F241" s="390"/>
      <c r="I241" s="510"/>
      <c r="J241" s="510"/>
      <c r="K241" s="510"/>
      <c r="L241" s="511"/>
    </row>
    <row r="242" spans="1:12" s="412" customFormat="1">
      <c r="A242" s="512"/>
      <c r="B242" s="512"/>
      <c r="C242" s="512"/>
      <c r="D242" s="512"/>
      <c r="E242" s="512"/>
      <c r="F242" s="390"/>
      <c r="I242" s="510"/>
      <c r="J242" s="510"/>
      <c r="K242" s="510"/>
      <c r="L242" s="511"/>
    </row>
    <row r="243" spans="1:12" s="412" customFormat="1">
      <c r="A243" s="512"/>
      <c r="B243" s="512"/>
      <c r="C243" s="512"/>
      <c r="D243" s="512"/>
      <c r="E243" s="512"/>
      <c r="F243" s="390"/>
      <c r="I243" s="510"/>
      <c r="J243" s="510"/>
      <c r="K243" s="510"/>
      <c r="L243" s="511"/>
    </row>
    <row r="244" spans="1:12" s="412" customFormat="1">
      <c r="A244" s="512"/>
      <c r="B244" s="512"/>
      <c r="C244" s="512"/>
      <c r="D244" s="512"/>
      <c r="E244" s="512"/>
      <c r="F244" s="390"/>
      <c r="I244" s="510"/>
      <c r="J244" s="510"/>
      <c r="K244" s="510"/>
      <c r="L244" s="511"/>
    </row>
    <row r="245" spans="1:12" s="412" customFormat="1">
      <c r="A245" s="512"/>
      <c r="B245" s="512"/>
      <c r="C245" s="512"/>
      <c r="D245" s="512"/>
      <c r="E245" s="512"/>
      <c r="F245" s="390"/>
      <c r="I245" s="510"/>
      <c r="J245" s="510"/>
      <c r="K245" s="510"/>
      <c r="L245" s="511"/>
    </row>
    <row r="246" spans="1:12" s="412" customFormat="1">
      <c r="A246" s="512"/>
      <c r="B246" s="512"/>
      <c r="C246" s="512"/>
      <c r="D246" s="512"/>
      <c r="E246" s="512"/>
      <c r="F246" s="390"/>
      <c r="I246" s="510"/>
      <c r="J246" s="510"/>
      <c r="K246" s="510"/>
      <c r="L246" s="511"/>
    </row>
    <row r="247" spans="1:12" s="412" customFormat="1">
      <c r="A247" s="512"/>
      <c r="B247" s="512"/>
      <c r="C247" s="512"/>
      <c r="D247" s="512"/>
      <c r="E247" s="512"/>
      <c r="F247" s="390"/>
      <c r="I247" s="510"/>
      <c r="J247" s="510"/>
      <c r="K247" s="510"/>
      <c r="L247" s="511"/>
    </row>
    <row r="248" spans="1:12" s="412" customFormat="1">
      <c r="A248" s="512"/>
      <c r="B248" s="512"/>
      <c r="C248" s="512"/>
      <c r="D248" s="512"/>
      <c r="E248" s="512"/>
      <c r="F248" s="390"/>
      <c r="I248" s="510"/>
      <c r="J248" s="510"/>
      <c r="K248" s="510"/>
      <c r="L248" s="511"/>
    </row>
    <row r="249" spans="1:12" s="412" customFormat="1">
      <c r="A249" s="512"/>
      <c r="B249" s="512"/>
      <c r="C249" s="512"/>
      <c r="D249" s="512"/>
      <c r="E249" s="512"/>
      <c r="F249" s="390"/>
      <c r="I249" s="510"/>
      <c r="J249" s="510"/>
      <c r="K249" s="510"/>
      <c r="L249" s="511"/>
    </row>
    <row r="250" spans="1:12" s="412" customFormat="1">
      <c r="A250" s="512"/>
      <c r="B250" s="512"/>
      <c r="C250" s="512"/>
      <c r="D250" s="512"/>
      <c r="E250" s="512"/>
      <c r="F250" s="390"/>
      <c r="I250" s="510"/>
      <c r="J250" s="510"/>
      <c r="K250" s="510"/>
      <c r="L250" s="511"/>
    </row>
    <row r="251" spans="1:12" s="412" customFormat="1">
      <c r="A251" s="512"/>
      <c r="B251" s="512"/>
      <c r="C251" s="512"/>
      <c r="D251" s="512"/>
      <c r="E251" s="512"/>
      <c r="F251" s="390"/>
      <c r="I251" s="510"/>
      <c r="J251" s="510"/>
      <c r="K251" s="510"/>
      <c r="L251" s="511"/>
    </row>
    <row r="252" spans="1:12" s="412" customFormat="1">
      <c r="A252" s="512"/>
      <c r="B252" s="512"/>
      <c r="C252" s="512"/>
      <c r="D252" s="512"/>
      <c r="E252" s="512"/>
      <c r="F252" s="390"/>
      <c r="I252" s="510"/>
      <c r="J252" s="510"/>
      <c r="K252" s="510"/>
      <c r="L252" s="511"/>
    </row>
    <row r="253" spans="1:12" s="412" customFormat="1">
      <c r="A253" s="512"/>
      <c r="B253" s="512"/>
      <c r="C253" s="512"/>
      <c r="D253" s="512"/>
      <c r="E253" s="512"/>
      <c r="F253" s="390"/>
      <c r="I253" s="510"/>
      <c r="J253" s="510"/>
      <c r="K253" s="510"/>
      <c r="L253" s="511"/>
    </row>
    <row r="254" spans="1:12" s="412" customFormat="1">
      <c r="A254" s="512"/>
      <c r="B254" s="512"/>
      <c r="C254" s="512"/>
      <c r="D254" s="512"/>
      <c r="E254" s="512"/>
      <c r="F254" s="390"/>
      <c r="I254" s="510"/>
      <c r="J254" s="510"/>
      <c r="K254" s="510"/>
      <c r="L254" s="511"/>
    </row>
    <row r="255" spans="1:12" s="412" customFormat="1">
      <c r="A255" s="512"/>
      <c r="B255" s="512"/>
      <c r="C255" s="512"/>
      <c r="D255" s="512"/>
      <c r="E255" s="512"/>
      <c r="F255" s="390"/>
      <c r="I255" s="510"/>
      <c r="J255" s="510"/>
      <c r="K255" s="510"/>
      <c r="L255" s="511"/>
    </row>
    <row r="256" spans="1:12" s="412" customFormat="1">
      <c r="A256" s="512"/>
      <c r="B256" s="512"/>
      <c r="C256" s="512"/>
      <c r="D256" s="512"/>
      <c r="E256" s="512"/>
      <c r="F256" s="390"/>
      <c r="I256" s="510"/>
      <c r="J256" s="510"/>
      <c r="K256" s="510"/>
      <c r="L256" s="511"/>
    </row>
    <row r="257" spans="1:12" s="412" customFormat="1">
      <c r="A257" s="512"/>
      <c r="B257" s="512"/>
      <c r="C257" s="512"/>
      <c r="D257" s="512"/>
      <c r="E257" s="512"/>
      <c r="F257" s="390"/>
      <c r="I257" s="510"/>
      <c r="J257" s="510"/>
      <c r="K257" s="510"/>
      <c r="L257" s="511"/>
    </row>
    <row r="258" spans="1:12" s="412" customFormat="1">
      <c r="A258" s="512"/>
      <c r="B258" s="512"/>
      <c r="C258" s="512"/>
      <c r="D258" s="512"/>
      <c r="E258" s="512"/>
      <c r="F258" s="390"/>
      <c r="I258" s="510"/>
      <c r="J258" s="510"/>
      <c r="K258" s="510"/>
      <c r="L258" s="511"/>
    </row>
    <row r="259" spans="1:12" s="412" customFormat="1">
      <c r="A259" s="512"/>
      <c r="B259" s="512"/>
      <c r="C259" s="512"/>
      <c r="D259" s="512"/>
      <c r="E259" s="512"/>
      <c r="F259" s="390"/>
      <c r="I259" s="510"/>
      <c r="J259" s="510"/>
      <c r="K259" s="510"/>
      <c r="L259" s="511"/>
    </row>
    <row r="260" spans="1:12" s="412" customFormat="1">
      <c r="A260" s="512"/>
      <c r="B260" s="512"/>
      <c r="C260" s="512"/>
      <c r="D260" s="512"/>
      <c r="E260" s="512"/>
      <c r="F260" s="390"/>
      <c r="I260" s="510"/>
      <c r="J260" s="510"/>
      <c r="K260" s="510"/>
      <c r="L260" s="511"/>
    </row>
    <row r="261" spans="1:12" s="412" customFormat="1">
      <c r="A261" s="512"/>
      <c r="B261" s="512"/>
      <c r="C261" s="512"/>
      <c r="D261" s="512"/>
      <c r="E261" s="512"/>
      <c r="F261" s="390"/>
      <c r="I261" s="510"/>
      <c r="J261" s="510"/>
      <c r="K261" s="510"/>
      <c r="L261" s="511"/>
    </row>
    <row r="262" spans="1:12" s="412" customFormat="1">
      <c r="A262" s="512"/>
      <c r="B262" s="512"/>
      <c r="C262" s="512"/>
      <c r="D262" s="512"/>
      <c r="E262" s="512"/>
      <c r="F262" s="390"/>
      <c r="I262" s="510"/>
      <c r="J262" s="510"/>
      <c r="K262" s="510"/>
      <c r="L262" s="511"/>
    </row>
    <row r="263" spans="1:12" s="412" customFormat="1">
      <c r="A263" s="512"/>
      <c r="B263" s="512"/>
      <c r="C263" s="512"/>
      <c r="D263" s="512"/>
      <c r="E263" s="512"/>
      <c r="F263" s="390"/>
      <c r="I263" s="510"/>
      <c r="J263" s="510"/>
      <c r="K263" s="510"/>
      <c r="L263" s="511"/>
    </row>
    <row r="264" spans="1:12" s="412" customFormat="1">
      <c r="A264" s="512"/>
      <c r="B264" s="512"/>
      <c r="C264" s="512"/>
      <c r="D264" s="512"/>
      <c r="E264" s="512"/>
      <c r="F264" s="390"/>
      <c r="I264" s="510"/>
      <c r="J264" s="510"/>
      <c r="K264" s="510"/>
      <c r="L264" s="511"/>
    </row>
    <row r="265" spans="1:12" s="412" customFormat="1">
      <c r="A265" s="512"/>
      <c r="B265" s="512"/>
      <c r="C265" s="512"/>
      <c r="D265" s="512"/>
      <c r="E265" s="512"/>
      <c r="F265" s="390"/>
      <c r="I265" s="510"/>
      <c r="J265" s="510"/>
      <c r="K265" s="510"/>
      <c r="L265" s="511"/>
    </row>
    <row r="266" spans="1:12" s="412" customFormat="1">
      <c r="A266" s="512"/>
      <c r="B266" s="512"/>
      <c r="C266" s="512"/>
      <c r="D266" s="512"/>
      <c r="E266" s="512"/>
      <c r="F266" s="390"/>
      <c r="I266" s="510"/>
      <c r="J266" s="510"/>
      <c r="K266" s="510"/>
      <c r="L266" s="511"/>
    </row>
    <row r="267" spans="1:12" s="412" customFormat="1">
      <c r="A267" s="512"/>
      <c r="B267" s="512"/>
      <c r="C267" s="512"/>
      <c r="D267" s="512"/>
      <c r="E267" s="512"/>
      <c r="F267" s="390"/>
      <c r="I267" s="510"/>
      <c r="J267" s="510"/>
      <c r="K267" s="510"/>
      <c r="L267" s="511"/>
    </row>
    <row r="268" spans="1:12" s="412" customFormat="1">
      <c r="A268" s="512"/>
      <c r="B268" s="512"/>
      <c r="C268" s="512"/>
      <c r="D268" s="512"/>
      <c r="E268" s="512"/>
      <c r="F268" s="390"/>
      <c r="I268" s="510"/>
      <c r="J268" s="510"/>
      <c r="K268" s="510"/>
      <c r="L268" s="511"/>
    </row>
    <row r="269" spans="1:12" s="412" customFormat="1">
      <c r="A269" s="512"/>
      <c r="B269" s="512"/>
      <c r="C269" s="512"/>
      <c r="D269" s="512"/>
      <c r="E269" s="512"/>
      <c r="F269" s="390"/>
      <c r="I269" s="510"/>
      <c r="J269" s="510"/>
      <c r="K269" s="510"/>
      <c r="L269" s="511"/>
    </row>
    <row r="270" spans="1:12" s="412" customFormat="1">
      <c r="A270" s="512"/>
      <c r="B270" s="512"/>
      <c r="C270" s="512"/>
      <c r="D270" s="512"/>
      <c r="E270" s="512"/>
      <c r="F270" s="390"/>
      <c r="I270" s="510"/>
      <c r="J270" s="510"/>
      <c r="K270" s="510"/>
      <c r="L270" s="511"/>
    </row>
    <row r="271" spans="1:12" s="412" customFormat="1">
      <c r="A271" s="512"/>
      <c r="B271" s="512"/>
      <c r="C271" s="512"/>
      <c r="D271" s="512"/>
      <c r="E271" s="512"/>
      <c r="F271" s="390"/>
      <c r="I271" s="510"/>
      <c r="J271" s="510"/>
      <c r="K271" s="510"/>
      <c r="L271" s="511"/>
    </row>
    <row r="272" spans="1:12" s="412" customFormat="1">
      <c r="A272" s="512"/>
      <c r="B272" s="512"/>
      <c r="C272" s="512"/>
      <c r="D272" s="512"/>
      <c r="E272" s="512"/>
      <c r="F272" s="390"/>
      <c r="I272" s="510"/>
      <c r="J272" s="510"/>
      <c r="K272" s="510"/>
      <c r="L272" s="511"/>
    </row>
    <row r="273" spans="1:12" s="412" customFormat="1">
      <c r="A273" s="512"/>
      <c r="B273" s="512"/>
      <c r="C273" s="512"/>
      <c r="D273" s="512"/>
      <c r="E273" s="512"/>
      <c r="F273" s="390"/>
      <c r="I273" s="510"/>
      <c r="J273" s="510"/>
      <c r="K273" s="510"/>
      <c r="L273" s="511"/>
    </row>
    <row r="274" spans="1:12" s="412" customFormat="1">
      <c r="A274" s="512"/>
      <c r="B274" s="512"/>
      <c r="C274" s="512"/>
      <c r="D274" s="512"/>
      <c r="E274" s="512"/>
      <c r="F274" s="390"/>
      <c r="I274" s="510"/>
      <c r="J274" s="510"/>
      <c r="K274" s="510"/>
      <c r="L274" s="511"/>
    </row>
    <row r="275" spans="1:12" s="412" customFormat="1">
      <c r="A275" s="512"/>
      <c r="B275" s="512"/>
      <c r="C275" s="512"/>
      <c r="D275" s="512"/>
      <c r="E275" s="512"/>
      <c r="F275" s="390"/>
      <c r="I275" s="510"/>
      <c r="J275" s="510"/>
      <c r="K275" s="510"/>
      <c r="L275" s="511"/>
    </row>
    <row r="276" spans="1:12" s="412" customFormat="1">
      <c r="A276" s="512"/>
      <c r="B276" s="512"/>
      <c r="C276" s="512"/>
      <c r="D276" s="512"/>
      <c r="E276" s="512"/>
      <c r="F276" s="390"/>
      <c r="I276" s="510"/>
      <c r="J276" s="510"/>
      <c r="K276" s="510"/>
      <c r="L276" s="511"/>
    </row>
    <row r="277" spans="1:12" s="412" customFormat="1">
      <c r="A277" s="512"/>
      <c r="B277" s="512"/>
      <c r="C277" s="512"/>
      <c r="D277" s="512"/>
      <c r="E277" s="512"/>
      <c r="F277" s="390"/>
      <c r="I277" s="510"/>
      <c r="J277" s="510"/>
      <c r="K277" s="510"/>
      <c r="L277" s="511"/>
    </row>
    <row r="278" spans="1:12" s="412" customFormat="1">
      <c r="A278" s="512"/>
      <c r="B278" s="512"/>
      <c r="C278" s="512"/>
      <c r="D278" s="512"/>
      <c r="E278" s="512"/>
      <c r="F278" s="390"/>
      <c r="I278" s="510"/>
      <c r="J278" s="510"/>
      <c r="K278" s="510"/>
      <c r="L278" s="511"/>
    </row>
    <row r="279" spans="1:12" s="412" customFormat="1">
      <c r="A279" s="512"/>
      <c r="B279" s="512"/>
      <c r="C279" s="512"/>
      <c r="D279" s="512"/>
      <c r="E279" s="512"/>
      <c r="F279" s="390"/>
      <c r="I279" s="510"/>
      <c r="J279" s="510"/>
      <c r="K279" s="510"/>
      <c r="L279" s="511"/>
    </row>
    <row r="280" spans="1:12" s="412" customFormat="1">
      <c r="A280" s="512"/>
      <c r="B280" s="512"/>
      <c r="C280" s="512"/>
      <c r="D280" s="512"/>
      <c r="E280" s="512"/>
      <c r="F280" s="390"/>
      <c r="I280" s="510"/>
      <c r="J280" s="510"/>
      <c r="K280" s="510"/>
      <c r="L280" s="511"/>
    </row>
  </sheetData>
  <mergeCells count="32">
    <mergeCell ref="A92:H92"/>
    <mergeCell ref="A1:J1"/>
    <mergeCell ref="K1:L1"/>
    <mergeCell ref="A3:H4"/>
    <mergeCell ref="I3:I4"/>
    <mergeCell ref="J3:J4"/>
    <mergeCell ref="K3:L3"/>
    <mergeCell ref="C28:F28"/>
    <mergeCell ref="A37:H37"/>
    <mergeCell ref="C46:F46"/>
    <mergeCell ref="A86:H86"/>
    <mergeCell ref="A90:H90"/>
    <mergeCell ref="D144:F144"/>
    <mergeCell ref="A98:H98"/>
    <mergeCell ref="A101:J101"/>
    <mergeCell ref="K101:L101"/>
    <mergeCell ref="A103:H104"/>
    <mergeCell ref="I103:I104"/>
    <mergeCell ref="J103:J104"/>
    <mergeCell ref="K103:L103"/>
    <mergeCell ref="A123:H123"/>
    <mergeCell ref="A130:H130"/>
    <mergeCell ref="A134:H134"/>
    <mergeCell ref="D142:F142"/>
    <mergeCell ref="D143:F143"/>
    <mergeCell ref="A167:H167"/>
    <mergeCell ref="D145:F145"/>
    <mergeCell ref="D146:F146"/>
    <mergeCell ref="D147:F147"/>
    <mergeCell ref="A155:H155"/>
    <mergeCell ref="A159:H159"/>
    <mergeCell ref="A161:H161"/>
  </mergeCells>
  <printOptions horizontalCentered="1"/>
  <pageMargins left="0" right="0" top="0.39370078740157483" bottom="0.39370078740157483" header="0.27559055118110237" footer="0.19685039370078741"/>
  <pageSetup paperSize="9" scale="75" fitToHeight="2" orientation="portrait" r:id="rId1"/>
  <headerFooter alignWithMargins="0"/>
  <rowBreaks count="1" manualBreakCount="1">
    <brk id="8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76"/>
  <sheetViews>
    <sheetView showGridLines="0" zoomScale="90" zoomScaleNormal="90" zoomScaleSheetLayoutView="70" workbookViewId="0">
      <selection activeCell="D344" sqref="D344"/>
    </sheetView>
  </sheetViews>
  <sheetFormatPr defaultColWidth="9.140625" defaultRowHeight="19.5"/>
  <cols>
    <col min="1" max="1" width="10.42578125" style="120" customWidth="1"/>
    <col min="2" max="2" width="12" style="120" customWidth="1"/>
    <col min="3" max="3" width="79.5703125" style="116" customWidth="1"/>
    <col min="4" max="4" width="30.85546875" style="514" bestFit="1" customWidth="1"/>
    <col min="5" max="5" width="22.7109375" style="116" bestFit="1" customWidth="1"/>
    <col min="6" max="6" width="3.28515625" style="546" customWidth="1"/>
    <col min="7" max="7" width="3.28515625" style="692" customWidth="1"/>
    <col min="8" max="9" width="3.28515625" style="116" customWidth="1"/>
    <col min="10" max="10" width="2.140625" style="116" customWidth="1"/>
    <col min="11" max="11" width="6.28515625" style="116" customWidth="1"/>
    <col min="12" max="14" width="3" style="116" customWidth="1"/>
    <col min="15" max="28" width="3.28515625" style="116" customWidth="1"/>
    <col min="29" max="29" width="9.140625" style="116" customWidth="1"/>
    <col min="30" max="198" width="9.140625" style="116"/>
    <col min="199" max="206" width="9.140625" style="116" customWidth="1"/>
    <col min="207" max="207" width="10.140625" style="116" customWidth="1"/>
    <col min="208" max="208" width="1" style="116" customWidth="1"/>
    <col min="209" max="211" width="3.28515625" style="116" customWidth="1"/>
    <col min="212" max="212" width="1.85546875" style="116" customWidth="1"/>
    <col min="213" max="213" width="17.85546875" style="116" customWidth="1"/>
    <col min="214" max="214" width="1.85546875" style="116" customWidth="1"/>
    <col min="215" max="217" width="3.28515625" style="116" customWidth="1"/>
    <col min="218" max="218" width="2.85546875" style="116" customWidth="1"/>
    <col min="219" max="219" width="1.85546875" style="116" customWidth="1"/>
    <col min="220" max="220" width="19.7109375" style="116" customWidth="1"/>
    <col min="221" max="221" width="1.85546875" style="116" customWidth="1"/>
    <col min="222" max="224" width="3" style="116" customWidth="1"/>
    <col min="225" max="225" width="4.42578125" style="116" customWidth="1"/>
    <col min="226" max="227" width="3" style="116" customWidth="1"/>
    <col min="228" max="233" width="3.28515625" style="116" customWidth="1"/>
    <col min="234" max="235" width="9.140625" style="116" customWidth="1"/>
    <col min="236" max="239" width="3.28515625" style="116" customWidth="1"/>
    <col min="240" max="240" width="4.140625" style="116" customWidth="1"/>
    <col min="241" max="241" width="1.7109375" style="116" customWidth="1"/>
    <col min="242" max="246" width="3.28515625" style="116" customWidth="1"/>
    <col min="247" max="247" width="1.7109375" style="116" customWidth="1"/>
    <col min="248" max="252" width="3.28515625" style="116" customWidth="1"/>
    <col min="253" max="258" width="9.140625" style="116" customWidth="1"/>
    <col min="259" max="259" width="1.7109375" style="116" customWidth="1"/>
    <col min="260" max="264" width="3.28515625" style="116" customWidth="1"/>
    <col min="265" max="265" width="1.7109375" style="116" customWidth="1"/>
    <col min="266" max="266" width="16.5703125" style="116" bestFit="1" customWidth="1"/>
    <col min="267" max="268" width="10.28515625" style="116" customWidth="1"/>
    <col min="269" max="269" width="18" style="116" bestFit="1" customWidth="1"/>
    <col min="270" max="454" width="9.140625" style="116"/>
    <col min="455" max="462" width="9.140625" style="116" customWidth="1"/>
    <col min="463" max="463" width="10.140625" style="116" customWidth="1"/>
    <col min="464" max="464" width="1" style="116" customWidth="1"/>
    <col min="465" max="467" width="3.28515625" style="116" customWidth="1"/>
    <col min="468" max="468" width="1.85546875" style="116" customWidth="1"/>
    <col min="469" max="469" width="17.85546875" style="116" customWidth="1"/>
    <col min="470" max="470" width="1.85546875" style="116" customWidth="1"/>
    <col min="471" max="473" width="3.28515625" style="116" customWidth="1"/>
    <col min="474" max="474" width="2.85546875" style="116" customWidth="1"/>
    <col min="475" max="475" width="1.85546875" style="116" customWidth="1"/>
    <col min="476" max="476" width="19.7109375" style="116" customWidth="1"/>
    <col min="477" max="477" width="1.85546875" style="116" customWidth="1"/>
    <col min="478" max="480" width="3" style="116" customWidth="1"/>
    <col min="481" max="481" width="4.42578125" style="116" customWidth="1"/>
    <col min="482" max="483" width="3" style="116" customWidth="1"/>
    <col min="484" max="489" width="3.28515625" style="116" customWidth="1"/>
    <col min="490" max="491" width="9.140625" style="116" customWidth="1"/>
    <col min="492" max="495" width="3.28515625" style="116" customWidth="1"/>
    <col min="496" max="496" width="4.140625" style="116" customWidth="1"/>
    <col min="497" max="497" width="1.7109375" style="116" customWidth="1"/>
    <col min="498" max="502" width="3.28515625" style="116" customWidth="1"/>
    <col min="503" max="503" width="1.7109375" style="116" customWidth="1"/>
    <col min="504" max="508" width="3.28515625" style="116" customWidth="1"/>
    <col min="509" max="514" width="9.140625" style="116" customWidth="1"/>
    <col min="515" max="515" width="1.7109375" style="116" customWidth="1"/>
    <col min="516" max="520" width="3.28515625" style="116" customWidth="1"/>
    <col min="521" max="521" width="1.7109375" style="116" customWidth="1"/>
    <col min="522" max="522" width="16.5703125" style="116" bestFit="1" customWidth="1"/>
    <col min="523" max="524" width="10.28515625" style="116" customWidth="1"/>
    <col min="525" max="525" width="18" style="116" bestFit="1" customWidth="1"/>
    <col min="526" max="710" width="9.140625" style="116"/>
    <col min="711" max="718" width="9.140625" style="116" customWidth="1"/>
    <col min="719" max="719" width="10.140625" style="116" customWidth="1"/>
    <col min="720" max="720" width="1" style="116" customWidth="1"/>
    <col min="721" max="723" width="3.28515625" style="116" customWidth="1"/>
    <col min="724" max="724" width="1.85546875" style="116" customWidth="1"/>
    <col min="725" max="725" width="17.85546875" style="116" customWidth="1"/>
    <col min="726" max="726" width="1.85546875" style="116" customWidth="1"/>
    <col min="727" max="729" width="3.28515625" style="116" customWidth="1"/>
    <col min="730" max="730" width="2.85546875" style="116" customWidth="1"/>
    <col min="731" max="731" width="1.85546875" style="116" customWidth="1"/>
    <col min="732" max="732" width="19.7109375" style="116" customWidth="1"/>
    <col min="733" max="733" width="1.85546875" style="116" customWidth="1"/>
    <col min="734" max="736" width="3" style="116" customWidth="1"/>
    <col min="737" max="737" width="4.42578125" style="116" customWidth="1"/>
    <col min="738" max="739" width="3" style="116" customWidth="1"/>
    <col min="740" max="745" width="3.28515625" style="116" customWidth="1"/>
    <col min="746" max="747" width="9.140625" style="116" customWidth="1"/>
    <col min="748" max="751" width="3.28515625" style="116" customWidth="1"/>
    <col min="752" max="752" width="4.140625" style="116" customWidth="1"/>
    <col min="753" max="753" width="1.7109375" style="116" customWidth="1"/>
    <col min="754" max="758" width="3.28515625" style="116" customWidth="1"/>
    <col min="759" max="759" width="1.7109375" style="116" customWidth="1"/>
    <col min="760" max="764" width="3.28515625" style="116" customWidth="1"/>
    <col min="765" max="770" width="9.140625" style="116" customWidth="1"/>
    <col min="771" max="771" width="1.7109375" style="116" customWidth="1"/>
    <col min="772" max="776" width="3.28515625" style="116" customWidth="1"/>
    <col min="777" max="777" width="1.7109375" style="116" customWidth="1"/>
    <col min="778" max="778" width="16.5703125" style="116" bestFit="1" customWidth="1"/>
    <col min="779" max="780" width="10.28515625" style="116" customWidth="1"/>
    <col min="781" max="781" width="18" style="116" bestFit="1" customWidth="1"/>
    <col min="782" max="966" width="9.140625" style="116"/>
    <col min="967" max="974" width="9.140625" style="116" customWidth="1"/>
    <col min="975" max="975" width="10.140625" style="116" customWidth="1"/>
    <col min="976" max="976" width="1" style="116" customWidth="1"/>
    <col min="977" max="979" width="3.28515625" style="116" customWidth="1"/>
    <col min="980" max="980" width="1.85546875" style="116" customWidth="1"/>
    <col min="981" max="981" width="17.85546875" style="116" customWidth="1"/>
    <col min="982" max="982" width="1.85546875" style="116" customWidth="1"/>
    <col min="983" max="985" width="3.28515625" style="116" customWidth="1"/>
    <col min="986" max="986" width="2.85546875" style="116" customWidth="1"/>
    <col min="987" max="987" width="1.85546875" style="116" customWidth="1"/>
    <col min="988" max="988" width="19.7109375" style="116" customWidth="1"/>
    <col min="989" max="989" width="1.85546875" style="116" customWidth="1"/>
    <col min="990" max="992" width="3" style="116" customWidth="1"/>
    <col min="993" max="993" width="4.42578125" style="116" customWidth="1"/>
    <col min="994" max="995" width="3" style="116" customWidth="1"/>
    <col min="996" max="1001" width="3.28515625" style="116" customWidth="1"/>
    <col min="1002" max="1003" width="9.140625" style="116" customWidth="1"/>
    <col min="1004" max="1007" width="3.28515625" style="116" customWidth="1"/>
    <col min="1008" max="1008" width="4.140625" style="116" customWidth="1"/>
    <col min="1009" max="1009" width="1.7109375" style="116" customWidth="1"/>
    <col min="1010" max="1014" width="3.28515625" style="116" customWidth="1"/>
    <col min="1015" max="1015" width="1.7109375" style="116" customWidth="1"/>
    <col min="1016" max="1020" width="3.28515625" style="116" customWidth="1"/>
    <col min="1021" max="1026" width="9.140625" style="116" customWidth="1"/>
    <col min="1027" max="1027" width="1.7109375" style="116" customWidth="1"/>
    <col min="1028" max="1032" width="3.28515625" style="116" customWidth="1"/>
    <col min="1033" max="1033" width="1.7109375" style="116" customWidth="1"/>
    <col min="1034" max="1034" width="16.5703125" style="116" bestFit="1" customWidth="1"/>
    <col min="1035" max="1036" width="10.28515625" style="116" customWidth="1"/>
    <col min="1037" max="1037" width="18" style="116" bestFit="1" customWidth="1"/>
    <col min="1038" max="1222" width="9.140625" style="116"/>
    <col min="1223" max="1230" width="9.140625" style="116" customWidth="1"/>
    <col min="1231" max="1231" width="10.140625" style="116" customWidth="1"/>
    <col min="1232" max="1232" width="1" style="116" customWidth="1"/>
    <col min="1233" max="1235" width="3.28515625" style="116" customWidth="1"/>
    <col min="1236" max="1236" width="1.85546875" style="116" customWidth="1"/>
    <col min="1237" max="1237" width="17.85546875" style="116" customWidth="1"/>
    <col min="1238" max="1238" width="1.85546875" style="116" customWidth="1"/>
    <col min="1239" max="1241" width="3.28515625" style="116" customWidth="1"/>
    <col min="1242" max="1242" width="2.85546875" style="116" customWidth="1"/>
    <col min="1243" max="1243" width="1.85546875" style="116" customWidth="1"/>
    <col min="1244" max="1244" width="19.7109375" style="116" customWidth="1"/>
    <col min="1245" max="1245" width="1.85546875" style="116" customWidth="1"/>
    <col min="1246" max="1248" width="3" style="116" customWidth="1"/>
    <col min="1249" max="1249" width="4.42578125" style="116" customWidth="1"/>
    <col min="1250" max="1251" width="3" style="116" customWidth="1"/>
    <col min="1252" max="1257" width="3.28515625" style="116" customWidth="1"/>
    <col min="1258" max="1259" width="9.140625" style="116" customWidth="1"/>
    <col min="1260" max="1263" width="3.28515625" style="116" customWidth="1"/>
    <col min="1264" max="1264" width="4.140625" style="116" customWidth="1"/>
    <col min="1265" max="1265" width="1.7109375" style="116" customWidth="1"/>
    <col min="1266" max="1270" width="3.28515625" style="116" customWidth="1"/>
    <col min="1271" max="1271" width="1.7109375" style="116" customWidth="1"/>
    <col min="1272" max="1276" width="3.28515625" style="116" customWidth="1"/>
    <col min="1277" max="1282" width="9.140625" style="116" customWidth="1"/>
    <col min="1283" max="1283" width="1.7109375" style="116" customWidth="1"/>
    <col min="1284" max="1288" width="3.28515625" style="116" customWidth="1"/>
    <col min="1289" max="1289" width="1.7109375" style="116" customWidth="1"/>
    <col min="1290" max="1290" width="16.5703125" style="116" bestFit="1" customWidth="1"/>
    <col min="1291" max="1292" width="10.28515625" style="116" customWidth="1"/>
    <col min="1293" max="1293" width="18" style="116" bestFit="1" customWidth="1"/>
    <col min="1294" max="1478" width="9.140625" style="116"/>
    <col min="1479" max="1486" width="9.140625" style="116" customWidth="1"/>
    <col min="1487" max="1487" width="10.140625" style="116" customWidth="1"/>
    <col min="1488" max="1488" width="1" style="116" customWidth="1"/>
    <col min="1489" max="1491" width="3.28515625" style="116" customWidth="1"/>
    <col min="1492" max="1492" width="1.85546875" style="116" customWidth="1"/>
    <col min="1493" max="1493" width="17.85546875" style="116" customWidth="1"/>
    <col min="1494" max="1494" width="1.85546875" style="116" customWidth="1"/>
    <col min="1495" max="1497" width="3.28515625" style="116" customWidth="1"/>
    <col min="1498" max="1498" width="2.85546875" style="116" customWidth="1"/>
    <col min="1499" max="1499" width="1.85546875" style="116" customWidth="1"/>
    <col min="1500" max="1500" width="19.7109375" style="116" customWidth="1"/>
    <col min="1501" max="1501" width="1.85546875" style="116" customWidth="1"/>
    <col min="1502" max="1504" width="3" style="116" customWidth="1"/>
    <col min="1505" max="1505" width="4.42578125" style="116" customWidth="1"/>
    <col min="1506" max="1507" width="3" style="116" customWidth="1"/>
    <col min="1508" max="1513" width="3.28515625" style="116" customWidth="1"/>
    <col min="1514" max="1515" width="9.140625" style="116" customWidth="1"/>
    <col min="1516" max="1519" width="3.28515625" style="116" customWidth="1"/>
    <col min="1520" max="1520" width="4.140625" style="116" customWidth="1"/>
    <col min="1521" max="1521" width="1.7109375" style="116" customWidth="1"/>
    <col min="1522" max="1526" width="3.28515625" style="116" customWidth="1"/>
    <col min="1527" max="1527" width="1.7109375" style="116" customWidth="1"/>
    <col min="1528" max="1532" width="3.28515625" style="116" customWidth="1"/>
    <col min="1533" max="1538" width="9.140625" style="116" customWidth="1"/>
    <col min="1539" max="1539" width="1.7109375" style="116" customWidth="1"/>
    <col min="1540" max="1544" width="3.28515625" style="116" customWidth="1"/>
    <col min="1545" max="1545" width="1.7109375" style="116" customWidth="1"/>
    <col min="1546" max="1546" width="16.5703125" style="116" bestFit="1" customWidth="1"/>
    <col min="1547" max="1548" width="10.28515625" style="116" customWidth="1"/>
    <col min="1549" max="1549" width="18" style="116" bestFit="1" customWidth="1"/>
    <col min="1550" max="1734" width="9.140625" style="116"/>
    <col min="1735" max="1742" width="9.140625" style="116" customWidth="1"/>
    <col min="1743" max="1743" width="10.140625" style="116" customWidth="1"/>
    <col min="1744" max="1744" width="1" style="116" customWidth="1"/>
    <col min="1745" max="1747" width="3.28515625" style="116" customWidth="1"/>
    <col min="1748" max="1748" width="1.85546875" style="116" customWidth="1"/>
    <col min="1749" max="1749" width="17.85546875" style="116" customWidth="1"/>
    <col min="1750" max="1750" width="1.85546875" style="116" customWidth="1"/>
    <col min="1751" max="1753" width="3.28515625" style="116" customWidth="1"/>
    <col min="1754" max="1754" width="2.85546875" style="116" customWidth="1"/>
    <col min="1755" max="1755" width="1.85546875" style="116" customWidth="1"/>
    <col min="1756" max="1756" width="19.7109375" style="116" customWidth="1"/>
    <col min="1757" max="1757" width="1.85546875" style="116" customWidth="1"/>
    <col min="1758" max="1760" width="3" style="116" customWidth="1"/>
    <col min="1761" max="1761" width="4.42578125" style="116" customWidth="1"/>
    <col min="1762" max="1763" width="3" style="116" customWidth="1"/>
    <col min="1764" max="1769" width="3.28515625" style="116" customWidth="1"/>
    <col min="1770" max="1771" width="9.140625" style="116" customWidth="1"/>
    <col min="1772" max="1775" width="3.28515625" style="116" customWidth="1"/>
    <col min="1776" max="1776" width="4.140625" style="116" customWidth="1"/>
    <col min="1777" max="1777" width="1.7109375" style="116" customWidth="1"/>
    <col min="1778" max="1782" width="3.28515625" style="116" customWidth="1"/>
    <col min="1783" max="1783" width="1.7109375" style="116" customWidth="1"/>
    <col min="1784" max="1788" width="3.28515625" style="116" customWidth="1"/>
    <col min="1789" max="1794" width="9.140625" style="116" customWidth="1"/>
    <col min="1795" max="1795" width="1.7109375" style="116" customWidth="1"/>
    <col min="1796" max="1800" width="3.28515625" style="116" customWidth="1"/>
    <col min="1801" max="1801" width="1.7109375" style="116" customWidth="1"/>
    <col min="1802" max="1802" width="16.5703125" style="116" bestFit="1" customWidth="1"/>
    <col min="1803" max="1804" width="10.28515625" style="116" customWidth="1"/>
    <col min="1805" max="1805" width="18" style="116" bestFit="1" customWidth="1"/>
    <col min="1806" max="1990" width="9.140625" style="116"/>
    <col min="1991" max="1998" width="9.140625" style="116" customWidth="1"/>
    <col min="1999" max="1999" width="10.140625" style="116" customWidth="1"/>
    <col min="2000" max="2000" width="1" style="116" customWidth="1"/>
    <col min="2001" max="2003" width="3.28515625" style="116" customWidth="1"/>
    <col min="2004" max="2004" width="1.85546875" style="116" customWidth="1"/>
    <col min="2005" max="2005" width="17.85546875" style="116" customWidth="1"/>
    <col min="2006" max="2006" width="1.85546875" style="116" customWidth="1"/>
    <col min="2007" max="2009" width="3.28515625" style="116" customWidth="1"/>
    <col min="2010" max="2010" width="2.85546875" style="116" customWidth="1"/>
    <col min="2011" max="2011" width="1.85546875" style="116" customWidth="1"/>
    <col min="2012" max="2012" width="19.7109375" style="116" customWidth="1"/>
    <col min="2013" max="2013" width="1.85546875" style="116" customWidth="1"/>
    <col min="2014" max="2016" width="3" style="116" customWidth="1"/>
    <col min="2017" max="2017" width="4.42578125" style="116" customWidth="1"/>
    <col min="2018" max="2019" width="3" style="116" customWidth="1"/>
    <col min="2020" max="2025" width="3.28515625" style="116" customWidth="1"/>
    <col min="2026" max="2027" width="9.140625" style="116" customWidth="1"/>
    <col min="2028" max="2031" width="3.28515625" style="116" customWidth="1"/>
    <col min="2032" max="2032" width="4.140625" style="116" customWidth="1"/>
    <col min="2033" max="2033" width="1.7109375" style="116" customWidth="1"/>
    <col min="2034" max="2038" width="3.28515625" style="116" customWidth="1"/>
    <col min="2039" max="2039" width="1.7109375" style="116" customWidth="1"/>
    <col min="2040" max="2044" width="3.28515625" style="116" customWidth="1"/>
    <col min="2045" max="2050" width="9.140625" style="116" customWidth="1"/>
    <col min="2051" max="2051" width="1.7109375" style="116" customWidth="1"/>
    <col min="2052" max="2056" width="3.28515625" style="116" customWidth="1"/>
    <col min="2057" max="2057" width="1.7109375" style="116" customWidth="1"/>
    <col min="2058" max="2058" width="16.5703125" style="116" bestFit="1" customWidth="1"/>
    <col min="2059" max="2060" width="10.28515625" style="116" customWidth="1"/>
    <col min="2061" max="2061" width="18" style="116" bestFit="1" customWidth="1"/>
    <col min="2062" max="2246" width="9.140625" style="116"/>
    <col min="2247" max="2254" width="9.140625" style="116" customWidth="1"/>
    <col min="2255" max="2255" width="10.140625" style="116" customWidth="1"/>
    <col min="2256" max="2256" width="1" style="116" customWidth="1"/>
    <col min="2257" max="2259" width="3.28515625" style="116" customWidth="1"/>
    <col min="2260" max="2260" width="1.85546875" style="116" customWidth="1"/>
    <col min="2261" max="2261" width="17.85546875" style="116" customWidth="1"/>
    <col min="2262" max="2262" width="1.85546875" style="116" customWidth="1"/>
    <col min="2263" max="2265" width="3.28515625" style="116" customWidth="1"/>
    <col min="2266" max="2266" width="2.85546875" style="116" customWidth="1"/>
    <col min="2267" max="2267" width="1.85546875" style="116" customWidth="1"/>
    <col min="2268" max="2268" width="19.7109375" style="116" customWidth="1"/>
    <col min="2269" max="2269" width="1.85546875" style="116" customWidth="1"/>
    <col min="2270" max="2272" width="3" style="116" customWidth="1"/>
    <col min="2273" max="2273" width="4.42578125" style="116" customWidth="1"/>
    <col min="2274" max="2275" width="3" style="116" customWidth="1"/>
    <col min="2276" max="2281" width="3.28515625" style="116" customWidth="1"/>
    <col min="2282" max="2283" width="9.140625" style="116" customWidth="1"/>
    <col min="2284" max="2287" width="3.28515625" style="116" customWidth="1"/>
    <col min="2288" max="2288" width="4.140625" style="116" customWidth="1"/>
    <col min="2289" max="2289" width="1.7109375" style="116" customWidth="1"/>
    <col min="2290" max="2294" width="3.28515625" style="116" customWidth="1"/>
    <col min="2295" max="2295" width="1.7109375" style="116" customWidth="1"/>
    <col min="2296" max="2300" width="3.28515625" style="116" customWidth="1"/>
    <col min="2301" max="2306" width="9.140625" style="116" customWidth="1"/>
    <col min="2307" max="2307" width="1.7109375" style="116" customWidth="1"/>
    <col min="2308" max="2312" width="3.28515625" style="116" customWidth="1"/>
    <col min="2313" max="2313" width="1.7109375" style="116" customWidth="1"/>
    <col min="2314" max="2314" width="16.5703125" style="116" bestFit="1" customWidth="1"/>
    <col min="2315" max="2316" width="10.28515625" style="116" customWidth="1"/>
    <col min="2317" max="2317" width="18" style="116" bestFit="1" customWidth="1"/>
    <col min="2318" max="2502" width="9.140625" style="116"/>
    <col min="2503" max="2510" width="9.140625" style="116" customWidth="1"/>
    <col min="2511" max="2511" width="10.140625" style="116" customWidth="1"/>
    <col min="2512" max="2512" width="1" style="116" customWidth="1"/>
    <col min="2513" max="2515" width="3.28515625" style="116" customWidth="1"/>
    <col min="2516" max="2516" width="1.85546875" style="116" customWidth="1"/>
    <col min="2517" max="2517" width="17.85546875" style="116" customWidth="1"/>
    <col min="2518" max="2518" width="1.85546875" style="116" customWidth="1"/>
    <col min="2519" max="2521" width="3.28515625" style="116" customWidth="1"/>
    <col min="2522" max="2522" width="2.85546875" style="116" customWidth="1"/>
    <col min="2523" max="2523" width="1.85546875" style="116" customWidth="1"/>
    <col min="2524" max="2524" width="19.7109375" style="116" customWidth="1"/>
    <col min="2525" max="2525" width="1.85546875" style="116" customWidth="1"/>
    <col min="2526" max="2528" width="3" style="116" customWidth="1"/>
    <col min="2529" max="2529" width="4.42578125" style="116" customWidth="1"/>
    <col min="2530" max="2531" width="3" style="116" customWidth="1"/>
    <col min="2532" max="2537" width="3.28515625" style="116" customWidth="1"/>
    <col min="2538" max="2539" width="9.140625" style="116" customWidth="1"/>
    <col min="2540" max="2543" width="3.28515625" style="116" customWidth="1"/>
    <col min="2544" max="2544" width="4.140625" style="116" customWidth="1"/>
    <col min="2545" max="2545" width="1.7109375" style="116" customWidth="1"/>
    <col min="2546" max="2550" width="3.28515625" style="116" customWidth="1"/>
    <col min="2551" max="2551" width="1.7109375" style="116" customWidth="1"/>
    <col min="2552" max="2556" width="3.28515625" style="116" customWidth="1"/>
    <col min="2557" max="2562" width="9.140625" style="116" customWidth="1"/>
    <col min="2563" max="2563" width="1.7109375" style="116" customWidth="1"/>
    <col min="2564" max="2568" width="3.28515625" style="116" customWidth="1"/>
    <col min="2569" max="2569" width="1.7109375" style="116" customWidth="1"/>
    <col min="2570" max="2570" width="16.5703125" style="116" bestFit="1" customWidth="1"/>
    <col min="2571" max="2572" width="10.28515625" style="116" customWidth="1"/>
    <col min="2573" max="2573" width="18" style="116" bestFit="1" customWidth="1"/>
    <col min="2574" max="2758" width="9.140625" style="116"/>
    <col min="2759" max="2766" width="9.140625" style="116" customWidth="1"/>
    <col min="2767" max="2767" width="10.140625" style="116" customWidth="1"/>
    <col min="2768" max="2768" width="1" style="116" customWidth="1"/>
    <col min="2769" max="2771" width="3.28515625" style="116" customWidth="1"/>
    <col min="2772" max="2772" width="1.85546875" style="116" customWidth="1"/>
    <col min="2773" max="2773" width="17.85546875" style="116" customWidth="1"/>
    <col min="2774" max="2774" width="1.85546875" style="116" customWidth="1"/>
    <col min="2775" max="2777" width="3.28515625" style="116" customWidth="1"/>
    <col min="2778" max="2778" width="2.85546875" style="116" customWidth="1"/>
    <col min="2779" max="2779" width="1.85546875" style="116" customWidth="1"/>
    <col min="2780" max="2780" width="19.7109375" style="116" customWidth="1"/>
    <col min="2781" max="2781" width="1.85546875" style="116" customWidth="1"/>
    <col min="2782" max="2784" width="3" style="116" customWidth="1"/>
    <col min="2785" max="2785" width="4.42578125" style="116" customWidth="1"/>
    <col min="2786" max="2787" width="3" style="116" customWidth="1"/>
    <col min="2788" max="2793" width="3.28515625" style="116" customWidth="1"/>
    <col min="2794" max="2795" width="9.140625" style="116" customWidth="1"/>
    <col min="2796" max="2799" width="3.28515625" style="116" customWidth="1"/>
    <col min="2800" max="2800" width="4.140625" style="116" customWidth="1"/>
    <col min="2801" max="2801" width="1.7109375" style="116" customWidth="1"/>
    <col min="2802" max="2806" width="3.28515625" style="116" customWidth="1"/>
    <col min="2807" max="2807" width="1.7109375" style="116" customWidth="1"/>
    <col min="2808" max="2812" width="3.28515625" style="116" customWidth="1"/>
    <col min="2813" max="2818" width="9.140625" style="116" customWidth="1"/>
    <col min="2819" max="2819" width="1.7109375" style="116" customWidth="1"/>
    <col min="2820" max="2824" width="3.28515625" style="116" customWidth="1"/>
    <col min="2825" max="2825" width="1.7109375" style="116" customWidth="1"/>
    <col min="2826" max="2826" width="16.5703125" style="116" bestFit="1" customWidth="1"/>
    <col min="2827" max="2828" width="10.28515625" style="116" customWidth="1"/>
    <col min="2829" max="2829" width="18" style="116" bestFit="1" customWidth="1"/>
    <col min="2830" max="3014" width="9.140625" style="116"/>
    <col min="3015" max="3022" width="9.140625" style="116" customWidth="1"/>
    <col min="3023" max="3023" width="10.140625" style="116" customWidth="1"/>
    <col min="3024" max="3024" width="1" style="116" customWidth="1"/>
    <col min="3025" max="3027" width="3.28515625" style="116" customWidth="1"/>
    <col min="3028" max="3028" width="1.85546875" style="116" customWidth="1"/>
    <col min="3029" max="3029" width="17.85546875" style="116" customWidth="1"/>
    <col min="3030" max="3030" width="1.85546875" style="116" customWidth="1"/>
    <col min="3031" max="3033" width="3.28515625" style="116" customWidth="1"/>
    <col min="3034" max="3034" width="2.85546875" style="116" customWidth="1"/>
    <col min="3035" max="3035" width="1.85546875" style="116" customWidth="1"/>
    <col min="3036" max="3036" width="19.7109375" style="116" customWidth="1"/>
    <col min="3037" max="3037" width="1.85546875" style="116" customWidth="1"/>
    <col min="3038" max="3040" width="3" style="116" customWidth="1"/>
    <col min="3041" max="3041" width="4.42578125" style="116" customWidth="1"/>
    <col min="3042" max="3043" width="3" style="116" customWidth="1"/>
    <col min="3044" max="3049" width="3.28515625" style="116" customWidth="1"/>
    <col min="3050" max="3051" width="9.140625" style="116" customWidth="1"/>
    <col min="3052" max="3055" width="3.28515625" style="116" customWidth="1"/>
    <col min="3056" max="3056" width="4.140625" style="116" customWidth="1"/>
    <col min="3057" max="3057" width="1.7109375" style="116" customWidth="1"/>
    <col min="3058" max="3062" width="3.28515625" style="116" customWidth="1"/>
    <col min="3063" max="3063" width="1.7109375" style="116" customWidth="1"/>
    <col min="3064" max="3068" width="3.28515625" style="116" customWidth="1"/>
    <col min="3069" max="3074" width="9.140625" style="116" customWidth="1"/>
    <col min="3075" max="3075" width="1.7109375" style="116" customWidth="1"/>
    <col min="3076" max="3080" width="3.28515625" style="116" customWidth="1"/>
    <col min="3081" max="3081" width="1.7109375" style="116" customWidth="1"/>
    <col min="3082" max="3082" width="16.5703125" style="116" bestFit="1" customWidth="1"/>
    <col min="3083" max="3084" width="10.28515625" style="116" customWidth="1"/>
    <col min="3085" max="3085" width="18" style="116" bestFit="1" customWidth="1"/>
    <col min="3086" max="3270" width="9.140625" style="116"/>
    <col min="3271" max="3278" width="9.140625" style="116" customWidth="1"/>
    <col min="3279" max="3279" width="10.140625" style="116" customWidth="1"/>
    <col min="3280" max="3280" width="1" style="116" customWidth="1"/>
    <col min="3281" max="3283" width="3.28515625" style="116" customWidth="1"/>
    <col min="3284" max="3284" width="1.85546875" style="116" customWidth="1"/>
    <col min="3285" max="3285" width="17.85546875" style="116" customWidth="1"/>
    <col min="3286" max="3286" width="1.85546875" style="116" customWidth="1"/>
    <col min="3287" max="3289" width="3.28515625" style="116" customWidth="1"/>
    <col min="3290" max="3290" width="2.85546875" style="116" customWidth="1"/>
    <col min="3291" max="3291" width="1.85546875" style="116" customWidth="1"/>
    <col min="3292" max="3292" width="19.7109375" style="116" customWidth="1"/>
    <col min="3293" max="3293" width="1.85546875" style="116" customWidth="1"/>
    <col min="3294" max="3296" width="3" style="116" customWidth="1"/>
    <col min="3297" max="3297" width="4.42578125" style="116" customWidth="1"/>
    <col min="3298" max="3299" width="3" style="116" customWidth="1"/>
    <col min="3300" max="3305" width="3.28515625" style="116" customWidth="1"/>
    <col min="3306" max="3307" width="9.140625" style="116" customWidth="1"/>
    <col min="3308" max="3311" width="3.28515625" style="116" customWidth="1"/>
    <col min="3312" max="3312" width="4.140625" style="116" customWidth="1"/>
    <col min="3313" max="3313" width="1.7109375" style="116" customWidth="1"/>
    <col min="3314" max="3318" width="3.28515625" style="116" customWidth="1"/>
    <col min="3319" max="3319" width="1.7109375" style="116" customWidth="1"/>
    <col min="3320" max="3324" width="3.28515625" style="116" customWidth="1"/>
    <col min="3325" max="3330" width="9.140625" style="116" customWidth="1"/>
    <col min="3331" max="3331" width="1.7109375" style="116" customWidth="1"/>
    <col min="3332" max="3336" width="3.28515625" style="116" customWidth="1"/>
    <col min="3337" max="3337" width="1.7109375" style="116" customWidth="1"/>
    <col min="3338" max="3338" width="16.5703125" style="116" bestFit="1" customWidth="1"/>
    <col min="3339" max="3340" width="10.28515625" style="116" customWidth="1"/>
    <col min="3341" max="3341" width="18" style="116" bestFit="1" customWidth="1"/>
    <col min="3342" max="3526" width="9.140625" style="116"/>
    <col min="3527" max="3534" width="9.140625" style="116" customWidth="1"/>
    <col min="3535" max="3535" width="10.140625" style="116" customWidth="1"/>
    <col min="3536" max="3536" width="1" style="116" customWidth="1"/>
    <col min="3537" max="3539" width="3.28515625" style="116" customWidth="1"/>
    <col min="3540" max="3540" width="1.85546875" style="116" customWidth="1"/>
    <col min="3541" max="3541" width="17.85546875" style="116" customWidth="1"/>
    <col min="3542" max="3542" width="1.85546875" style="116" customWidth="1"/>
    <col min="3543" max="3545" width="3.28515625" style="116" customWidth="1"/>
    <col min="3546" max="3546" width="2.85546875" style="116" customWidth="1"/>
    <col min="3547" max="3547" width="1.85546875" style="116" customWidth="1"/>
    <col min="3548" max="3548" width="19.7109375" style="116" customWidth="1"/>
    <col min="3549" max="3549" width="1.85546875" style="116" customWidth="1"/>
    <col min="3550" max="3552" width="3" style="116" customWidth="1"/>
    <col min="3553" max="3553" width="4.42578125" style="116" customWidth="1"/>
    <col min="3554" max="3555" width="3" style="116" customWidth="1"/>
    <col min="3556" max="3561" width="3.28515625" style="116" customWidth="1"/>
    <col min="3562" max="3563" width="9.140625" style="116" customWidth="1"/>
    <col min="3564" max="3567" width="3.28515625" style="116" customWidth="1"/>
    <col min="3568" max="3568" width="4.140625" style="116" customWidth="1"/>
    <col min="3569" max="3569" width="1.7109375" style="116" customWidth="1"/>
    <col min="3570" max="3574" width="3.28515625" style="116" customWidth="1"/>
    <col min="3575" max="3575" width="1.7109375" style="116" customWidth="1"/>
    <col min="3576" max="3580" width="3.28515625" style="116" customWidth="1"/>
    <col min="3581" max="3586" width="9.140625" style="116" customWidth="1"/>
    <col min="3587" max="3587" width="1.7109375" style="116" customWidth="1"/>
    <col min="3588" max="3592" width="3.28515625" style="116" customWidth="1"/>
    <col min="3593" max="3593" width="1.7109375" style="116" customWidth="1"/>
    <col min="3594" max="3594" width="16.5703125" style="116" bestFit="1" customWidth="1"/>
    <col min="3595" max="3596" width="10.28515625" style="116" customWidth="1"/>
    <col min="3597" max="3597" width="18" style="116" bestFit="1" customWidth="1"/>
    <col min="3598" max="3782" width="9.140625" style="116"/>
    <col min="3783" max="3790" width="9.140625" style="116" customWidth="1"/>
    <col min="3791" max="3791" width="10.140625" style="116" customWidth="1"/>
    <col min="3792" max="3792" width="1" style="116" customWidth="1"/>
    <col min="3793" max="3795" width="3.28515625" style="116" customWidth="1"/>
    <col min="3796" max="3796" width="1.85546875" style="116" customWidth="1"/>
    <col min="3797" max="3797" width="17.85546875" style="116" customWidth="1"/>
    <col min="3798" max="3798" width="1.85546875" style="116" customWidth="1"/>
    <col min="3799" max="3801" width="3.28515625" style="116" customWidth="1"/>
    <col min="3802" max="3802" width="2.85546875" style="116" customWidth="1"/>
    <col min="3803" max="3803" width="1.85546875" style="116" customWidth="1"/>
    <col min="3804" max="3804" width="19.7109375" style="116" customWidth="1"/>
    <col min="3805" max="3805" width="1.85546875" style="116" customWidth="1"/>
    <col min="3806" max="3808" width="3" style="116" customWidth="1"/>
    <col min="3809" max="3809" width="4.42578125" style="116" customWidth="1"/>
    <col min="3810" max="3811" width="3" style="116" customWidth="1"/>
    <col min="3812" max="3817" width="3.28515625" style="116" customWidth="1"/>
    <col min="3818" max="3819" width="9.140625" style="116" customWidth="1"/>
    <col min="3820" max="3823" width="3.28515625" style="116" customWidth="1"/>
    <col min="3824" max="3824" width="4.140625" style="116" customWidth="1"/>
    <col min="3825" max="3825" width="1.7109375" style="116" customWidth="1"/>
    <col min="3826" max="3830" width="3.28515625" style="116" customWidth="1"/>
    <col min="3831" max="3831" width="1.7109375" style="116" customWidth="1"/>
    <col min="3832" max="3836" width="3.28515625" style="116" customWidth="1"/>
    <col min="3837" max="3842" width="9.140625" style="116" customWidth="1"/>
    <col min="3843" max="3843" width="1.7109375" style="116" customWidth="1"/>
    <col min="3844" max="3848" width="3.28515625" style="116" customWidth="1"/>
    <col min="3849" max="3849" width="1.7109375" style="116" customWidth="1"/>
    <col min="3850" max="3850" width="16.5703125" style="116" bestFit="1" customWidth="1"/>
    <col min="3851" max="3852" width="10.28515625" style="116" customWidth="1"/>
    <col min="3853" max="3853" width="18" style="116" bestFit="1" customWidth="1"/>
    <col min="3854" max="4038" width="9.140625" style="116"/>
    <col min="4039" max="4046" width="9.140625" style="116" customWidth="1"/>
    <col min="4047" max="4047" width="10.140625" style="116" customWidth="1"/>
    <col min="4048" max="4048" width="1" style="116" customWidth="1"/>
    <col min="4049" max="4051" width="3.28515625" style="116" customWidth="1"/>
    <col min="4052" max="4052" width="1.85546875" style="116" customWidth="1"/>
    <col min="4053" max="4053" width="17.85546875" style="116" customWidth="1"/>
    <col min="4054" max="4054" width="1.85546875" style="116" customWidth="1"/>
    <col min="4055" max="4057" width="3.28515625" style="116" customWidth="1"/>
    <col min="4058" max="4058" width="2.85546875" style="116" customWidth="1"/>
    <col min="4059" max="4059" width="1.85546875" style="116" customWidth="1"/>
    <col min="4060" max="4060" width="19.7109375" style="116" customWidth="1"/>
    <col min="4061" max="4061" width="1.85546875" style="116" customWidth="1"/>
    <col min="4062" max="4064" width="3" style="116" customWidth="1"/>
    <col min="4065" max="4065" width="4.42578125" style="116" customWidth="1"/>
    <col min="4066" max="4067" width="3" style="116" customWidth="1"/>
    <col min="4068" max="4073" width="3.28515625" style="116" customWidth="1"/>
    <col min="4074" max="4075" width="9.140625" style="116" customWidth="1"/>
    <col min="4076" max="4079" width="3.28515625" style="116" customWidth="1"/>
    <col min="4080" max="4080" width="4.140625" style="116" customWidth="1"/>
    <col min="4081" max="4081" width="1.7109375" style="116" customWidth="1"/>
    <col min="4082" max="4086" width="3.28515625" style="116" customWidth="1"/>
    <col min="4087" max="4087" width="1.7109375" style="116" customWidth="1"/>
    <col min="4088" max="4092" width="3.28515625" style="116" customWidth="1"/>
    <col min="4093" max="4098" width="9.140625" style="116" customWidth="1"/>
    <col min="4099" max="4099" width="1.7109375" style="116" customWidth="1"/>
    <col min="4100" max="4104" width="3.28515625" style="116" customWidth="1"/>
    <col min="4105" max="4105" width="1.7109375" style="116" customWidth="1"/>
    <col min="4106" max="4106" width="16.5703125" style="116" bestFit="1" customWidth="1"/>
    <col min="4107" max="4108" width="10.28515625" style="116" customWidth="1"/>
    <col min="4109" max="4109" width="18" style="116" bestFit="1" customWidth="1"/>
    <col min="4110" max="4294" width="9.140625" style="116"/>
    <col min="4295" max="4302" width="9.140625" style="116" customWidth="1"/>
    <col min="4303" max="4303" width="10.140625" style="116" customWidth="1"/>
    <col min="4304" max="4304" width="1" style="116" customWidth="1"/>
    <col min="4305" max="4307" width="3.28515625" style="116" customWidth="1"/>
    <col min="4308" max="4308" width="1.85546875" style="116" customWidth="1"/>
    <col min="4309" max="4309" width="17.85546875" style="116" customWidth="1"/>
    <col min="4310" max="4310" width="1.85546875" style="116" customWidth="1"/>
    <col min="4311" max="4313" width="3.28515625" style="116" customWidth="1"/>
    <col min="4314" max="4314" width="2.85546875" style="116" customWidth="1"/>
    <col min="4315" max="4315" width="1.85546875" style="116" customWidth="1"/>
    <col min="4316" max="4316" width="19.7109375" style="116" customWidth="1"/>
    <col min="4317" max="4317" width="1.85546875" style="116" customWidth="1"/>
    <col min="4318" max="4320" width="3" style="116" customWidth="1"/>
    <col min="4321" max="4321" width="4.42578125" style="116" customWidth="1"/>
    <col min="4322" max="4323" width="3" style="116" customWidth="1"/>
    <col min="4324" max="4329" width="3.28515625" style="116" customWidth="1"/>
    <col min="4330" max="4331" width="9.140625" style="116" customWidth="1"/>
    <col min="4332" max="4335" width="3.28515625" style="116" customWidth="1"/>
    <col min="4336" max="4336" width="4.140625" style="116" customWidth="1"/>
    <col min="4337" max="4337" width="1.7109375" style="116" customWidth="1"/>
    <col min="4338" max="4342" width="3.28515625" style="116" customWidth="1"/>
    <col min="4343" max="4343" width="1.7109375" style="116" customWidth="1"/>
    <col min="4344" max="4348" width="3.28515625" style="116" customWidth="1"/>
    <col min="4349" max="4354" width="9.140625" style="116" customWidth="1"/>
    <col min="4355" max="4355" width="1.7109375" style="116" customWidth="1"/>
    <col min="4356" max="4360" width="3.28515625" style="116" customWidth="1"/>
    <col min="4361" max="4361" width="1.7109375" style="116" customWidth="1"/>
    <col min="4362" max="4362" width="16.5703125" style="116" bestFit="1" customWidth="1"/>
    <col min="4363" max="4364" width="10.28515625" style="116" customWidth="1"/>
    <col min="4365" max="4365" width="18" style="116" bestFit="1" customWidth="1"/>
    <col min="4366" max="4550" width="9.140625" style="116"/>
    <col min="4551" max="4558" width="9.140625" style="116" customWidth="1"/>
    <col min="4559" max="4559" width="10.140625" style="116" customWidth="1"/>
    <col min="4560" max="4560" width="1" style="116" customWidth="1"/>
    <col min="4561" max="4563" width="3.28515625" style="116" customWidth="1"/>
    <col min="4564" max="4564" width="1.85546875" style="116" customWidth="1"/>
    <col min="4565" max="4565" width="17.85546875" style="116" customWidth="1"/>
    <col min="4566" max="4566" width="1.85546875" style="116" customWidth="1"/>
    <col min="4567" max="4569" width="3.28515625" style="116" customWidth="1"/>
    <col min="4570" max="4570" width="2.85546875" style="116" customWidth="1"/>
    <col min="4571" max="4571" width="1.85546875" style="116" customWidth="1"/>
    <col min="4572" max="4572" width="19.7109375" style="116" customWidth="1"/>
    <col min="4573" max="4573" width="1.85546875" style="116" customWidth="1"/>
    <col min="4574" max="4576" width="3" style="116" customWidth="1"/>
    <col min="4577" max="4577" width="4.42578125" style="116" customWidth="1"/>
    <col min="4578" max="4579" width="3" style="116" customWidth="1"/>
    <col min="4580" max="4585" width="3.28515625" style="116" customWidth="1"/>
    <col min="4586" max="4587" width="9.140625" style="116" customWidth="1"/>
    <col min="4588" max="4591" width="3.28515625" style="116" customWidth="1"/>
    <col min="4592" max="4592" width="4.140625" style="116" customWidth="1"/>
    <col min="4593" max="4593" width="1.7109375" style="116" customWidth="1"/>
    <col min="4594" max="4598" width="3.28515625" style="116" customWidth="1"/>
    <col min="4599" max="4599" width="1.7109375" style="116" customWidth="1"/>
    <col min="4600" max="4604" width="3.28515625" style="116" customWidth="1"/>
    <col min="4605" max="4610" width="9.140625" style="116" customWidth="1"/>
    <col min="4611" max="4611" width="1.7109375" style="116" customWidth="1"/>
    <col min="4612" max="4616" width="3.28515625" style="116" customWidth="1"/>
    <col min="4617" max="4617" width="1.7109375" style="116" customWidth="1"/>
    <col min="4618" max="4618" width="16.5703125" style="116" bestFit="1" customWidth="1"/>
    <col min="4619" max="4620" width="10.28515625" style="116" customWidth="1"/>
    <col min="4621" max="4621" width="18" style="116" bestFit="1" customWidth="1"/>
    <col min="4622" max="4806" width="9.140625" style="116"/>
    <col min="4807" max="4814" width="9.140625" style="116" customWidth="1"/>
    <col min="4815" max="4815" width="10.140625" style="116" customWidth="1"/>
    <col min="4816" max="4816" width="1" style="116" customWidth="1"/>
    <col min="4817" max="4819" width="3.28515625" style="116" customWidth="1"/>
    <col min="4820" max="4820" width="1.85546875" style="116" customWidth="1"/>
    <col min="4821" max="4821" width="17.85546875" style="116" customWidth="1"/>
    <col min="4822" max="4822" width="1.85546875" style="116" customWidth="1"/>
    <col min="4823" max="4825" width="3.28515625" style="116" customWidth="1"/>
    <col min="4826" max="4826" width="2.85546875" style="116" customWidth="1"/>
    <col min="4827" max="4827" width="1.85546875" style="116" customWidth="1"/>
    <col min="4828" max="4828" width="19.7109375" style="116" customWidth="1"/>
    <col min="4829" max="4829" width="1.85546875" style="116" customWidth="1"/>
    <col min="4830" max="4832" width="3" style="116" customWidth="1"/>
    <col min="4833" max="4833" width="4.42578125" style="116" customWidth="1"/>
    <col min="4834" max="4835" width="3" style="116" customWidth="1"/>
    <col min="4836" max="4841" width="3.28515625" style="116" customWidth="1"/>
    <col min="4842" max="4843" width="9.140625" style="116" customWidth="1"/>
    <col min="4844" max="4847" width="3.28515625" style="116" customWidth="1"/>
    <col min="4848" max="4848" width="4.140625" style="116" customWidth="1"/>
    <col min="4849" max="4849" width="1.7109375" style="116" customWidth="1"/>
    <col min="4850" max="4854" width="3.28515625" style="116" customWidth="1"/>
    <col min="4855" max="4855" width="1.7109375" style="116" customWidth="1"/>
    <col min="4856" max="4860" width="3.28515625" style="116" customWidth="1"/>
    <col min="4861" max="4866" width="9.140625" style="116" customWidth="1"/>
    <col min="4867" max="4867" width="1.7109375" style="116" customWidth="1"/>
    <col min="4868" max="4872" width="3.28515625" style="116" customWidth="1"/>
    <col min="4873" max="4873" width="1.7109375" style="116" customWidth="1"/>
    <col min="4874" max="4874" width="16.5703125" style="116" bestFit="1" customWidth="1"/>
    <col min="4875" max="4876" width="10.28515625" style="116" customWidth="1"/>
    <col min="4877" max="4877" width="18" style="116" bestFit="1" customWidth="1"/>
    <col min="4878" max="5062" width="9.140625" style="116"/>
    <col min="5063" max="5070" width="9.140625" style="116" customWidth="1"/>
    <col min="5071" max="5071" width="10.140625" style="116" customWidth="1"/>
    <col min="5072" max="5072" width="1" style="116" customWidth="1"/>
    <col min="5073" max="5075" width="3.28515625" style="116" customWidth="1"/>
    <col min="5076" max="5076" width="1.85546875" style="116" customWidth="1"/>
    <col min="5077" max="5077" width="17.85546875" style="116" customWidth="1"/>
    <col min="5078" max="5078" width="1.85546875" style="116" customWidth="1"/>
    <col min="5079" max="5081" width="3.28515625" style="116" customWidth="1"/>
    <col min="5082" max="5082" width="2.85546875" style="116" customWidth="1"/>
    <col min="5083" max="5083" width="1.85546875" style="116" customWidth="1"/>
    <col min="5084" max="5084" width="19.7109375" style="116" customWidth="1"/>
    <col min="5085" max="5085" width="1.85546875" style="116" customWidth="1"/>
    <col min="5086" max="5088" width="3" style="116" customWidth="1"/>
    <col min="5089" max="5089" width="4.42578125" style="116" customWidth="1"/>
    <col min="5090" max="5091" width="3" style="116" customWidth="1"/>
    <col min="5092" max="5097" width="3.28515625" style="116" customWidth="1"/>
    <col min="5098" max="5099" width="9.140625" style="116" customWidth="1"/>
    <col min="5100" max="5103" width="3.28515625" style="116" customWidth="1"/>
    <col min="5104" max="5104" width="4.140625" style="116" customWidth="1"/>
    <col min="5105" max="5105" width="1.7109375" style="116" customWidth="1"/>
    <col min="5106" max="5110" width="3.28515625" style="116" customWidth="1"/>
    <col min="5111" max="5111" width="1.7109375" style="116" customWidth="1"/>
    <col min="5112" max="5116" width="3.28515625" style="116" customWidth="1"/>
    <col min="5117" max="5122" width="9.140625" style="116" customWidth="1"/>
    <col min="5123" max="5123" width="1.7109375" style="116" customWidth="1"/>
    <col min="5124" max="5128" width="3.28515625" style="116" customWidth="1"/>
    <col min="5129" max="5129" width="1.7109375" style="116" customWidth="1"/>
    <col min="5130" max="5130" width="16.5703125" style="116" bestFit="1" customWidth="1"/>
    <col min="5131" max="5132" width="10.28515625" style="116" customWidth="1"/>
    <col min="5133" max="5133" width="18" style="116" bestFit="1" customWidth="1"/>
    <col min="5134" max="5318" width="9.140625" style="116"/>
    <col min="5319" max="5326" width="9.140625" style="116" customWidth="1"/>
    <col min="5327" max="5327" width="10.140625" style="116" customWidth="1"/>
    <col min="5328" max="5328" width="1" style="116" customWidth="1"/>
    <col min="5329" max="5331" width="3.28515625" style="116" customWidth="1"/>
    <col min="5332" max="5332" width="1.85546875" style="116" customWidth="1"/>
    <col min="5333" max="5333" width="17.85546875" style="116" customWidth="1"/>
    <col min="5334" max="5334" width="1.85546875" style="116" customWidth="1"/>
    <col min="5335" max="5337" width="3.28515625" style="116" customWidth="1"/>
    <col min="5338" max="5338" width="2.85546875" style="116" customWidth="1"/>
    <col min="5339" max="5339" width="1.85546875" style="116" customWidth="1"/>
    <col min="5340" max="5340" width="19.7109375" style="116" customWidth="1"/>
    <col min="5341" max="5341" width="1.85546875" style="116" customWidth="1"/>
    <col min="5342" max="5344" width="3" style="116" customWidth="1"/>
    <col min="5345" max="5345" width="4.42578125" style="116" customWidth="1"/>
    <col min="5346" max="5347" width="3" style="116" customWidth="1"/>
    <col min="5348" max="5353" width="3.28515625" style="116" customWidth="1"/>
    <col min="5354" max="5355" width="9.140625" style="116" customWidth="1"/>
    <col min="5356" max="5359" width="3.28515625" style="116" customWidth="1"/>
    <col min="5360" max="5360" width="4.140625" style="116" customWidth="1"/>
    <col min="5361" max="5361" width="1.7109375" style="116" customWidth="1"/>
    <col min="5362" max="5366" width="3.28515625" style="116" customWidth="1"/>
    <col min="5367" max="5367" width="1.7109375" style="116" customWidth="1"/>
    <col min="5368" max="5372" width="3.28515625" style="116" customWidth="1"/>
    <col min="5373" max="5378" width="9.140625" style="116" customWidth="1"/>
    <col min="5379" max="5379" width="1.7109375" style="116" customWidth="1"/>
    <col min="5380" max="5384" width="3.28515625" style="116" customWidth="1"/>
    <col min="5385" max="5385" width="1.7109375" style="116" customWidth="1"/>
    <col min="5386" max="5386" width="16.5703125" style="116" bestFit="1" customWidth="1"/>
    <col min="5387" max="5388" width="10.28515625" style="116" customWidth="1"/>
    <col min="5389" max="5389" width="18" style="116" bestFit="1" customWidth="1"/>
    <col min="5390" max="5574" width="9.140625" style="116"/>
    <col min="5575" max="5582" width="9.140625" style="116" customWidth="1"/>
    <col min="5583" max="5583" width="10.140625" style="116" customWidth="1"/>
    <col min="5584" max="5584" width="1" style="116" customWidth="1"/>
    <col min="5585" max="5587" width="3.28515625" style="116" customWidth="1"/>
    <col min="5588" max="5588" width="1.85546875" style="116" customWidth="1"/>
    <col min="5589" max="5589" width="17.85546875" style="116" customWidth="1"/>
    <col min="5590" max="5590" width="1.85546875" style="116" customWidth="1"/>
    <col min="5591" max="5593" width="3.28515625" style="116" customWidth="1"/>
    <col min="5594" max="5594" width="2.85546875" style="116" customWidth="1"/>
    <col min="5595" max="5595" width="1.85546875" style="116" customWidth="1"/>
    <col min="5596" max="5596" width="19.7109375" style="116" customWidth="1"/>
    <col min="5597" max="5597" width="1.85546875" style="116" customWidth="1"/>
    <col min="5598" max="5600" width="3" style="116" customWidth="1"/>
    <col min="5601" max="5601" width="4.42578125" style="116" customWidth="1"/>
    <col min="5602" max="5603" width="3" style="116" customWidth="1"/>
    <col min="5604" max="5609" width="3.28515625" style="116" customWidth="1"/>
    <col min="5610" max="5611" width="9.140625" style="116" customWidth="1"/>
    <col min="5612" max="5615" width="3.28515625" style="116" customWidth="1"/>
    <col min="5616" max="5616" width="4.140625" style="116" customWidth="1"/>
    <col min="5617" max="5617" width="1.7109375" style="116" customWidth="1"/>
    <col min="5618" max="5622" width="3.28515625" style="116" customWidth="1"/>
    <col min="5623" max="5623" width="1.7109375" style="116" customWidth="1"/>
    <col min="5624" max="5628" width="3.28515625" style="116" customWidth="1"/>
    <col min="5629" max="5634" width="9.140625" style="116" customWidth="1"/>
    <col min="5635" max="5635" width="1.7109375" style="116" customWidth="1"/>
    <col min="5636" max="5640" width="3.28515625" style="116" customWidth="1"/>
    <col min="5641" max="5641" width="1.7109375" style="116" customWidth="1"/>
    <col min="5642" max="5642" width="16.5703125" style="116" bestFit="1" customWidth="1"/>
    <col min="5643" max="5644" width="10.28515625" style="116" customWidth="1"/>
    <col min="5645" max="5645" width="18" style="116" bestFit="1" customWidth="1"/>
    <col min="5646" max="5830" width="9.140625" style="116"/>
    <col min="5831" max="5838" width="9.140625" style="116" customWidth="1"/>
    <col min="5839" max="5839" width="10.140625" style="116" customWidth="1"/>
    <col min="5840" max="5840" width="1" style="116" customWidth="1"/>
    <col min="5841" max="5843" width="3.28515625" style="116" customWidth="1"/>
    <col min="5844" max="5844" width="1.85546875" style="116" customWidth="1"/>
    <col min="5845" max="5845" width="17.85546875" style="116" customWidth="1"/>
    <col min="5846" max="5846" width="1.85546875" style="116" customWidth="1"/>
    <col min="5847" max="5849" width="3.28515625" style="116" customWidth="1"/>
    <col min="5850" max="5850" width="2.85546875" style="116" customWidth="1"/>
    <col min="5851" max="5851" width="1.85546875" style="116" customWidth="1"/>
    <col min="5852" max="5852" width="19.7109375" style="116" customWidth="1"/>
    <col min="5853" max="5853" width="1.85546875" style="116" customWidth="1"/>
    <col min="5854" max="5856" width="3" style="116" customWidth="1"/>
    <col min="5857" max="5857" width="4.42578125" style="116" customWidth="1"/>
    <col min="5858" max="5859" width="3" style="116" customWidth="1"/>
    <col min="5860" max="5865" width="3.28515625" style="116" customWidth="1"/>
    <col min="5866" max="5867" width="9.140625" style="116" customWidth="1"/>
    <col min="5868" max="5871" width="3.28515625" style="116" customWidth="1"/>
    <col min="5872" max="5872" width="4.140625" style="116" customWidth="1"/>
    <col min="5873" max="5873" width="1.7109375" style="116" customWidth="1"/>
    <col min="5874" max="5878" width="3.28515625" style="116" customWidth="1"/>
    <col min="5879" max="5879" width="1.7109375" style="116" customWidth="1"/>
    <col min="5880" max="5884" width="3.28515625" style="116" customWidth="1"/>
    <col min="5885" max="5890" width="9.140625" style="116" customWidth="1"/>
    <col min="5891" max="5891" width="1.7109375" style="116" customWidth="1"/>
    <col min="5892" max="5896" width="3.28515625" style="116" customWidth="1"/>
    <col min="5897" max="5897" width="1.7109375" style="116" customWidth="1"/>
    <col min="5898" max="5898" width="16.5703125" style="116" bestFit="1" customWidth="1"/>
    <col min="5899" max="5900" width="10.28515625" style="116" customWidth="1"/>
    <col min="5901" max="5901" width="18" style="116" bestFit="1" customWidth="1"/>
    <col min="5902" max="6086" width="9.140625" style="116"/>
    <col min="6087" max="6094" width="9.140625" style="116" customWidth="1"/>
    <col min="6095" max="6095" width="10.140625" style="116" customWidth="1"/>
    <col min="6096" max="6096" width="1" style="116" customWidth="1"/>
    <col min="6097" max="6099" width="3.28515625" style="116" customWidth="1"/>
    <col min="6100" max="6100" width="1.85546875" style="116" customWidth="1"/>
    <col min="6101" max="6101" width="17.85546875" style="116" customWidth="1"/>
    <col min="6102" max="6102" width="1.85546875" style="116" customWidth="1"/>
    <col min="6103" max="6105" width="3.28515625" style="116" customWidth="1"/>
    <col min="6106" max="6106" width="2.85546875" style="116" customWidth="1"/>
    <col min="6107" max="6107" width="1.85546875" style="116" customWidth="1"/>
    <col min="6108" max="6108" width="19.7109375" style="116" customWidth="1"/>
    <col min="6109" max="6109" width="1.85546875" style="116" customWidth="1"/>
    <col min="6110" max="6112" width="3" style="116" customWidth="1"/>
    <col min="6113" max="6113" width="4.42578125" style="116" customWidth="1"/>
    <col min="6114" max="6115" width="3" style="116" customWidth="1"/>
    <col min="6116" max="6121" width="3.28515625" style="116" customWidth="1"/>
    <col min="6122" max="6123" width="9.140625" style="116" customWidth="1"/>
    <col min="6124" max="6127" width="3.28515625" style="116" customWidth="1"/>
    <col min="6128" max="6128" width="4.140625" style="116" customWidth="1"/>
    <col min="6129" max="6129" width="1.7109375" style="116" customWidth="1"/>
    <col min="6130" max="6134" width="3.28515625" style="116" customWidth="1"/>
    <col min="6135" max="6135" width="1.7109375" style="116" customWidth="1"/>
    <col min="6136" max="6140" width="3.28515625" style="116" customWidth="1"/>
    <col min="6141" max="6146" width="9.140625" style="116" customWidth="1"/>
    <col min="6147" max="6147" width="1.7109375" style="116" customWidth="1"/>
    <col min="6148" max="6152" width="3.28515625" style="116" customWidth="1"/>
    <col min="6153" max="6153" width="1.7109375" style="116" customWidth="1"/>
    <col min="6154" max="6154" width="16.5703125" style="116" bestFit="1" customWidth="1"/>
    <col min="6155" max="6156" width="10.28515625" style="116" customWidth="1"/>
    <col min="6157" max="6157" width="18" style="116" bestFit="1" customWidth="1"/>
    <col min="6158" max="6342" width="9.140625" style="116"/>
    <col min="6343" max="6350" width="9.140625" style="116" customWidth="1"/>
    <col min="6351" max="6351" width="10.140625" style="116" customWidth="1"/>
    <col min="6352" max="6352" width="1" style="116" customWidth="1"/>
    <col min="6353" max="6355" width="3.28515625" style="116" customWidth="1"/>
    <col min="6356" max="6356" width="1.85546875" style="116" customWidth="1"/>
    <col min="6357" max="6357" width="17.85546875" style="116" customWidth="1"/>
    <col min="6358" max="6358" width="1.85546875" style="116" customWidth="1"/>
    <col min="6359" max="6361" width="3.28515625" style="116" customWidth="1"/>
    <col min="6362" max="6362" width="2.85546875" style="116" customWidth="1"/>
    <col min="6363" max="6363" width="1.85546875" style="116" customWidth="1"/>
    <col min="6364" max="6364" width="19.7109375" style="116" customWidth="1"/>
    <col min="6365" max="6365" width="1.85546875" style="116" customWidth="1"/>
    <col min="6366" max="6368" width="3" style="116" customWidth="1"/>
    <col min="6369" max="6369" width="4.42578125" style="116" customWidth="1"/>
    <col min="6370" max="6371" width="3" style="116" customWidth="1"/>
    <col min="6372" max="6377" width="3.28515625" style="116" customWidth="1"/>
    <col min="6378" max="6379" width="9.140625" style="116" customWidth="1"/>
    <col min="6380" max="6383" width="3.28515625" style="116" customWidth="1"/>
    <col min="6384" max="6384" width="4.140625" style="116" customWidth="1"/>
    <col min="6385" max="6385" width="1.7109375" style="116" customWidth="1"/>
    <col min="6386" max="6390" width="3.28515625" style="116" customWidth="1"/>
    <col min="6391" max="6391" width="1.7109375" style="116" customWidth="1"/>
    <col min="6392" max="6396" width="3.28515625" style="116" customWidth="1"/>
    <col min="6397" max="6402" width="9.140625" style="116" customWidth="1"/>
    <col min="6403" max="6403" width="1.7109375" style="116" customWidth="1"/>
    <col min="6404" max="6408" width="3.28515625" style="116" customWidth="1"/>
    <col min="6409" max="6409" width="1.7109375" style="116" customWidth="1"/>
    <col min="6410" max="6410" width="16.5703125" style="116" bestFit="1" customWidth="1"/>
    <col min="6411" max="6412" width="10.28515625" style="116" customWidth="1"/>
    <col min="6413" max="6413" width="18" style="116" bestFit="1" customWidth="1"/>
    <col min="6414" max="6598" width="9.140625" style="116"/>
    <col min="6599" max="6606" width="9.140625" style="116" customWidth="1"/>
    <col min="6607" max="6607" width="10.140625" style="116" customWidth="1"/>
    <col min="6608" max="6608" width="1" style="116" customWidth="1"/>
    <col min="6609" max="6611" width="3.28515625" style="116" customWidth="1"/>
    <col min="6612" max="6612" width="1.85546875" style="116" customWidth="1"/>
    <col min="6613" max="6613" width="17.85546875" style="116" customWidth="1"/>
    <col min="6614" max="6614" width="1.85546875" style="116" customWidth="1"/>
    <col min="6615" max="6617" width="3.28515625" style="116" customWidth="1"/>
    <col min="6618" max="6618" width="2.85546875" style="116" customWidth="1"/>
    <col min="6619" max="6619" width="1.85546875" style="116" customWidth="1"/>
    <col min="6620" max="6620" width="19.7109375" style="116" customWidth="1"/>
    <col min="6621" max="6621" width="1.85546875" style="116" customWidth="1"/>
    <col min="6622" max="6624" width="3" style="116" customWidth="1"/>
    <col min="6625" max="6625" width="4.42578125" style="116" customWidth="1"/>
    <col min="6626" max="6627" width="3" style="116" customWidth="1"/>
    <col min="6628" max="6633" width="3.28515625" style="116" customWidth="1"/>
    <col min="6634" max="6635" width="9.140625" style="116" customWidth="1"/>
    <col min="6636" max="6639" width="3.28515625" style="116" customWidth="1"/>
    <col min="6640" max="6640" width="4.140625" style="116" customWidth="1"/>
    <col min="6641" max="6641" width="1.7109375" style="116" customWidth="1"/>
    <col min="6642" max="6646" width="3.28515625" style="116" customWidth="1"/>
    <col min="6647" max="6647" width="1.7109375" style="116" customWidth="1"/>
    <col min="6648" max="6652" width="3.28515625" style="116" customWidth="1"/>
    <col min="6653" max="6658" width="9.140625" style="116" customWidth="1"/>
    <col min="6659" max="6659" width="1.7109375" style="116" customWidth="1"/>
    <col min="6660" max="6664" width="3.28515625" style="116" customWidth="1"/>
    <col min="6665" max="6665" width="1.7109375" style="116" customWidth="1"/>
    <col min="6666" max="6666" width="16.5703125" style="116" bestFit="1" customWidth="1"/>
    <col min="6667" max="6668" width="10.28515625" style="116" customWidth="1"/>
    <col min="6669" max="6669" width="18" style="116" bestFit="1" customWidth="1"/>
    <col min="6670" max="6854" width="9.140625" style="116"/>
    <col min="6855" max="6862" width="9.140625" style="116" customWidth="1"/>
    <col min="6863" max="6863" width="10.140625" style="116" customWidth="1"/>
    <col min="6864" max="6864" width="1" style="116" customWidth="1"/>
    <col min="6865" max="6867" width="3.28515625" style="116" customWidth="1"/>
    <col min="6868" max="6868" width="1.85546875" style="116" customWidth="1"/>
    <col min="6869" max="6869" width="17.85546875" style="116" customWidth="1"/>
    <col min="6870" max="6870" width="1.85546875" style="116" customWidth="1"/>
    <col min="6871" max="6873" width="3.28515625" style="116" customWidth="1"/>
    <col min="6874" max="6874" width="2.85546875" style="116" customWidth="1"/>
    <col min="6875" max="6875" width="1.85546875" style="116" customWidth="1"/>
    <col min="6876" max="6876" width="19.7109375" style="116" customWidth="1"/>
    <col min="6877" max="6877" width="1.85546875" style="116" customWidth="1"/>
    <col min="6878" max="6880" width="3" style="116" customWidth="1"/>
    <col min="6881" max="6881" width="4.42578125" style="116" customWidth="1"/>
    <col min="6882" max="6883" width="3" style="116" customWidth="1"/>
    <col min="6884" max="6889" width="3.28515625" style="116" customWidth="1"/>
    <col min="6890" max="6891" width="9.140625" style="116" customWidth="1"/>
    <col min="6892" max="6895" width="3.28515625" style="116" customWidth="1"/>
    <col min="6896" max="6896" width="4.140625" style="116" customWidth="1"/>
    <col min="6897" max="6897" width="1.7109375" style="116" customWidth="1"/>
    <col min="6898" max="6902" width="3.28515625" style="116" customWidth="1"/>
    <col min="6903" max="6903" width="1.7109375" style="116" customWidth="1"/>
    <col min="6904" max="6908" width="3.28515625" style="116" customWidth="1"/>
    <col min="6909" max="6914" width="9.140625" style="116" customWidth="1"/>
    <col min="6915" max="6915" width="1.7109375" style="116" customWidth="1"/>
    <col min="6916" max="6920" width="3.28515625" style="116" customWidth="1"/>
    <col min="6921" max="6921" width="1.7109375" style="116" customWidth="1"/>
    <col min="6922" max="6922" width="16.5703125" style="116" bestFit="1" customWidth="1"/>
    <col min="6923" max="6924" width="10.28515625" style="116" customWidth="1"/>
    <col min="6925" max="6925" width="18" style="116" bestFit="1" customWidth="1"/>
    <col min="6926" max="7110" width="9.140625" style="116"/>
    <col min="7111" max="7118" width="9.140625" style="116" customWidth="1"/>
    <col min="7119" max="7119" width="10.140625" style="116" customWidth="1"/>
    <col min="7120" max="7120" width="1" style="116" customWidth="1"/>
    <col min="7121" max="7123" width="3.28515625" style="116" customWidth="1"/>
    <col min="7124" max="7124" width="1.85546875" style="116" customWidth="1"/>
    <col min="7125" max="7125" width="17.85546875" style="116" customWidth="1"/>
    <col min="7126" max="7126" width="1.85546875" style="116" customWidth="1"/>
    <col min="7127" max="7129" width="3.28515625" style="116" customWidth="1"/>
    <col min="7130" max="7130" width="2.85546875" style="116" customWidth="1"/>
    <col min="7131" max="7131" width="1.85546875" style="116" customWidth="1"/>
    <col min="7132" max="7132" width="19.7109375" style="116" customWidth="1"/>
    <col min="7133" max="7133" width="1.85546875" style="116" customWidth="1"/>
    <col min="7134" max="7136" width="3" style="116" customWidth="1"/>
    <col min="7137" max="7137" width="4.42578125" style="116" customWidth="1"/>
    <col min="7138" max="7139" width="3" style="116" customWidth="1"/>
    <col min="7140" max="7145" width="3.28515625" style="116" customWidth="1"/>
    <col min="7146" max="7147" width="9.140625" style="116" customWidth="1"/>
    <col min="7148" max="7151" width="3.28515625" style="116" customWidth="1"/>
    <col min="7152" max="7152" width="4.140625" style="116" customWidth="1"/>
    <col min="7153" max="7153" width="1.7109375" style="116" customWidth="1"/>
    <col min="7154" max="7158" width="3.28515625" style="116" customWidth="1"/>
    <col min="7159" max="7159" width="1.7109375" style="116" customWidth="1"/>
    <col min="7160" max="7164" width="3.28515625" style="116" customWidth="1"/>
    <col min="7165" max="7170" width="9.140625" style="116" customWidth="1"/>
    <col min="7171" max="7171" width="1.7109375" style="116" customWidth="1"/>
    <col min="7172" max="7176" width="3.28515625" style="116" customWidth="1"/>
    <col min="7177" max="7177" width="1.7109375" style="116" customWidth="1"/>
    <col min="7178" max="7178" width="16.5703125" style="116" bestFit="1" customWidth="1"/>
    <col min="7179" max="7180" width="10.28515625" style="116" customWidth="1"/>
    <col min="7181" max="7181" width="18" style="116" bestFit="1" customWidth="1"/>
    <col min="7182" max="7366" width="9.140625" style="116"/>
    <col min="7367" max="7374" width="9.140625" style="116" customWidth="1"/>
    <col min="7375" max="7375" width="10.140625" style="116" customWidth="1"/>
    <col min="7376" max="7376" width="1" style="116" customWidth="1"/>
    <col min="7377" max="7379" width="3.28515625" style="116" customWidth="1"/>
    <col min="7380" max="7380" width="1.85546875" style="116" customWidth="1"/>
    <col min="7381" max="7381" width="17.85546875" style="116" customWidth="1"/>
    <col min="7382" max="7382" width="1.85546875" style="116" customWidth="1"/>
    <col min="7383" max="7385" width="3.28515625" style="116" customWidth="1"/>
    <col min="7386" max="7386" width="2.85546875" style="116" customWidth="1"/>
    <col min="7387" max="7387" width="1.85546875" style="116" customWidth="1"/>
    <col min="7388" max="7388" width="19.7109375" style="116" customWidth="1"/>
    <col min="7389" max="7389" width="1.85546875" style="116" customWidth="1"/>
    <col min="7390" max="7392" width="3" style="116" customWidth="1"/>
    <col min="7393" max="7393" width="4.42578125" style="116" customWidth="1"/>
    <col min="7394" max="7395" width="3" style="116" customWidth="1"/>
    <col min="7396" max="7401" width="3.28515625" style="116" customWidth="1"/>
    <col min="7402" max="7403" width="9.140625" style="116" customWidth="1"/>
    <col min="7404" max="7407" width="3.28515625" style="116" customWidth="1"/>
    <col min="7408" max="7408" width="4.140625" style="116" customWidth="1"/>
    <col min="7409" max="7409" width="1.7109375" style="116" customWidth="1"/>
    <col min="7410" max="7414" width="3.28515625" style="116" customWidth="1"/>
    <col min="7415" max="7415" width="1.7109375" style="116" customWidth="1"/>
    <col min="7416" max="7420" width="3.28515625" style="116" customWidth="1"/>
    <col min="7421" max="7426" width="9.140625" style="116" customWidth="1"/>
    <col min="7427" max="7427" width="1.7109375" style="116" customWidth="1"/>
    <col min="7428" max="7432" width="3.28515625" style="116" customWidth="1"/>
    <col min="7433" max="7433" width="1.7109375" style="116" customWidth="1"/>
    <col min="7434" max="7434" width="16.5703125" style="116" bestFit="1" customWidth="1"/>
    <col min="7435" max="7436" width="10.28515625" style="116" customWidth="1"/>
    <col min="7437" max="7437" width="18" style="116" bestFit="1" customWidth="1"/>
    <col min="7438" max="7622" width="9.140625" style="116"/>
    <col min="7623" max="7630" width="9.140625" style="116" customWidth="1"/>
    <col min="7631" max="7631" width="10.140625" style="116" customWidth="1"/>
    <col min="7632" max="7632" width="1" style="116" customWidth="1"/>
    <col min="7633" max="7635" width="3.28515625" style="116" customWidth="1"/>
    <col min="7636" max="7636" width="1.85546875" style="116" customWidth="1"/>
    <col min="7637" max="7637" width="17.85546875" style="116" customWidth="1"/>
    <col min="7638" max="7638" width="1.85546875" style="116" customWidth="1"/>
    <col min="7639" max="7641" width="3.28515625" style="116" customWidth="1"/>
    <col min="7642" max="7642" width="2.85546875" style="116" customWidth="1"/>
    <col min="7643" max="7643" width="1.85546875" style="116" customWidth="1"/>
    <col min="7644" max="7644" width="19.7109375" style="116" customWidth="1"/>
    <col min="7645" max="7645" width="1.85546875" style="116" customWidth="1"/>
    <col min="7646" max="7648" width="3" style="116" customWidth="1"/>
    <col min="7649" max="7649" width="4.42578125" style="116" customWidth="1"/>
    <col min="7650" max="7651" width="3" style="116" customWidth="1"/>
    <col min="7652" max="7657" width="3.28515625" style="116" customWidth="1"/>
    <col min="7658" max="7659" width="9.140625" style="116" customWidth="1"/>
    <col min="7660" max="7663" width="3.28515625" style="116" customWidth="1"/>
    <col min="7664" max="7664" width="4.140625" style="116" customWidth="1"/>
    <col min="7665" max="7665" width="1.7109375" style="116" customWidth="1"/>
    <col min="7666" max="7670" width="3.28515625" style="116" customWidth="1"/>
    <col min="7671" max="7671" width="1.7109375" style="116" customWidth="1"/>
    <col min="7672" max="7676" width="3.28515625" style="116" customWidth="1"/>
    <col min="7677" max="7682" width="9.140625" style="116" customWidth="1"/>
    <col min="7683" max="7683" width="1.7109375" style="116" customWidth="1"/>
    <col min="7684" max="7688" width="3.28515625" style="116" customWidth="1"/>
    <col min="7689" max="7689" width="1.7109375" style="116" customWidth="1"/>
    <col min="7690" max="7690" width="16.5703125" style="116" bestFit="1" customWidth="1"/>
    <col min="7691" max="7692" width="10.28515625" style="116" customWidth="1"/>
    <col min="7693" max="7693" width="18" style="116" bestFit="1" customWidth="1"/>
    <col min="7694" max="7878" width="9.140625" style="116"/>
    <col min="7879" max="7886" width="9.140625" style="116" customWidth="1"/>
    <col min="7887" max="7887" width="10.140625" style="116" customWidth="1"/>
    <col min="7888" max="7888" width="1" style="116" customWidth="1"/>
    <col min="7889" max="7891" width="3.28515625" style="116" customWidth="1"/>
    <col min="7892" max="7892" width="1.85546875" style="116" customWidth="1"/>
    <col min="7893" max="7893" width="17.85546875" style="116" customWidth="1"/>
    <col min="7894" max="7894" width="1.85546875" style="116" customWidth="1"/>
    <col min="7895" max="7897" width="3.28515625" style="116" customWidth="1"/>
    <col min="7898" max="7898" width="2.85546875" style="116" customWidth="1"/>
    <col min="7899" max="7899" width="1.85546875" style="116" customWidth="1"/>
    <col min="7900" max="7900" width="19.7109375" style="116" customWidth="1"/>
    <col min="7901" max="7901" width="1.85546875" style="116" customWidth="1"/>
    <col min="7902" max="7904" width="3" style="116" customWidth="1"/>
    <col min="7905" max="7905" width="4.42578125" style="116" customWidth="1"/>
    <col min="7906" max="7907" width="3" style="116" customWidth="1"/>
    <col min="7908" max="7913" width="3.28515625" style="116" customWidth="1"/>
    <col min="7914" max="7915" width="9.140625" style="116" customWidth="1"/>
    <col min="7916" max="7919" width="3.28515625" style="116" customWidth="1"/>
    <col min="7920" max="7920" width="4.140625" style="116" customWidth="1"/>
    <col min="7921" max="7921" width="1.7109375" style="116" customWidth="1"/>
    <col min="7922" max="7926" width="3.28515625" style="116" customWidth="1"/>
    <col min="7927" max="7927" width="1.7109375" style="116" customWidth="1"/>
    <col min="7928" max="7932" width="3.28515625" style="116" customWidth="1"/>
    <col min="7933" max="7938" width="9.140625" style="116" customWidth="1"/>
    <col min="7939" max="7939" width="1.7109375" style="116" customWidth="1"/>
    <col min="7940" max="7944" width="3.28515625" style="116" customWidth="1"/>
    <col min="7945" max="7945" width="1.7109375" style="116" customWidth="1"/>
    <col min="7946" max="7946" width="16.5703125" style="116" bestFit="1" customWidth="1"/>
    <col min="7947" max="7948" width="10.28515625" style="116" customWidth="1"/>
    <col min="7949" max="7949" width="18" style="116" bestFit="1" customWidth="1"/>
    <col min="7950" max="8134" width="9.140625" style="116"/>
    <col min="8135" max="8142" width="9.140625" style="116" customWidth="1"/>
    <col min="8143" max="8143" width="10.140625" style="116" customWidth="1"/>
    <col min="8144" max="8144" width="1" style="116" customWidth="1"/>
    <col min="8145" max="8147" width="3.28515625" style="116" customWidth="1"/>
    <col min="8148" max="8148" width="1.85546875" style="116" customWidth="1"/>
    <col min="8149" max="8149" width="17.85546875" style="116" customWidth="1"/>
    <col min="8150" max="8150" width="1.85546875" style="116" customWidth="1"/>
    <col min="8151" max="8153" width="3.28515625" style="116" customWidth="1"/>
    <col min="8154" max="8154" width="2.85546875" style="116" customWidth="1"/>
    <col min="8155" max="8155" width="1.85546875" style="116" customWidth="1"/>
    <col min="8156" max="8156" width="19.7109375" style="116" customWidth="1"/>
    <col min="8157" max="8157" width="1.85546875" style="116" customWidth="1"/>
    <col min="8158" max="8160" width="3" style="116" customWidth="1"/>
    <col min="8161" max="8161" width="4.42578125" style="116" customWidth="1"/>
    <col min="8162" max="8163" width="3" style="116" customWidth="1"/>
    <col min="8164" max="8169" width="3.28515625" style="116" customWidth="1"/>
    <col min="8170" max="8171" width="9.140625" style="116" customWidth="1"/>
    <col min="8172" max="8175" width="3.28515625" style="116" customWidth="1"/>
    <col min="8176" max="8176" width="4.140625" style="116" customWidth="1"/>
    <col min="8177" max="8177" width="1.7109375" style="116" customWidth="1"/>
    <col min="8178" max="8182" width="3.28515625" style="116" customWidth="1"/>
    <col min="8183" max="8183" width="1.7109375" style="116" customWidth="1"/>
    <col min="8184" max="8188" width="3.28515625" style="116" customWidth="1"/>
    <col min="8189" max="8194" width="9.140625" style="116" customWidth="1"/>
    <col min="8195" max="8195" width="1.7109375" style="116" customWidth="1"/>
    <col min="8196" max="8200" width="3.28515625" style="116" customWidth="1"/>
    <col min="8201" max="8201" width="1.7109375" style="116" customWidth="1"/>
    <col min="8202" max="8202" width="16.5703125" style="116" bestFit="1" customWidth="1"/>
    <col min="8203" max="8204" width="10.28515625" style="116" customWidth="1"/>
    <col min="8205" max="8205" width="18" style="116" bestFit="1" customWidth="1"/>
    <col min="8206" max="8390" width="9.140625" style="116"/>
    <col min="8391" max="8398" width="9.140625" style="116" customWidth="1"/>
    <col min="8399" max="8399" width="10.140625" style="116" customWidth="1"/>
    <col min="8400" max="8400" width="1" style="116" customWidth="1"/>
    <col min="8401" max="8403" width="3.28515625" style="116" customWidth="1"/>
    <col min="8404" max="8404" width="1.85546875" style="116" customWidth="1"/>
    <col min="8405" max="8405" width="17.85546875" style="116" customWidth="1"/>
    <col min="8406" max="8406" width="1.85546875" style="116" customWidth="1"/>
    <col min="8407" max="8409" width="3.28515625" style="116" customWidth="1"/>
    <col min="8410" max="8410" width="2.85546875" style="116" customWidth="1"/>
    <col min="8411" max="8411" width="1.85546875" style="116" customWidth="1"/>
    <col min="8412" max="8412" width="19.7109375" style="116" customWidth="1"/>
    <col min="8413" max="8413" width="1.85546875" style="116" customWidth="1"/>
    <col min="8414" max="8416" width="3" style="116" customWidth="1"/>
    <col min="8417" max="8417" width="4.42578125" style="116" customWidth="1"/>
    <col min="8418" max="8419" width="3" style="116" customWidth="1"/>
    <col min="8420" max="8425" width="3.28515625" style="116" customWidth="1"/>
    <col min="8426" max="8427" width="9.140625" style="116" customWidth="1"/>
    <col min="8428" max="8431" width="3.28515625" style="116" customWidth="1"/>
    <col min="8432" max="8432" width="4.140625" style="116" customWidth="1"/>
    <col min="8433" max="8433" width="1.7109375" style="116" customWidth="1"/>
    <col min="8434" max="8438" width="3.28515625" style="116" customWidth="1"/>
    <col min="8439" max="8439" width="1.7109375" style="116" customWidth="1"/>
    <col min="8440" max="8444" width="3.28515625" style="116" customWidth="1"/>
    <col min="8445" max="8450" width="9.140625" style="116" customWidth="1"/>
    <col min="8451" max="8451" width="1.7109375" style="116" customWidth="1"/>
    <col min="8452" max="8456" width="3.28515625" style="116" customWidth="1"/>
    <col min="8457" max="8457" width="1.7109375" style="116" customWidth="1"/>
    <col min="8458" max="8458" width="16.5703125" style="116" bestFit="1" customWidth="1"/>
    <col min="8459" max="8460" width="10.28515625" style="116" customWidth="1"/>
    <col min="8461" max="8461" width="18" style="116" bestFit="1" customWidth="1"/>
    <col min="8462" max="8646" width="9.140625" style="116"/>
    <col min="8647" max="8654" width="9.140625" style="116" customWidth="1"/>
    <col min="8655" max="8655" width="10.140625" style="116" customWidth="1"/>
    <col min="8656" max="8656" width="1" style="116" customWidth="1"/>
    <col min="8657" max="8659" width="3.28515625" style="116" customWidth="1"/>
    <col min="8660" max="8660" width="1.85546875" style="116" customWidth="1"/>
    <col min="8661" max="8661" width="17.85546875" style="116" customWidth="1"/>
    <col min="8662" max="8662" width="1.85546875" style="116" customWidth="1"/>
    <col min="8663" max="8665" width="3.28515625" style="116" customWidth="1"/>
    <col min="8666" max="8666" width="2.85546875" style="116" customWidth="1"/>
    <col min="8667" max="8667" width="1.85546875" style="116" customWidth="1"/>
    <col min="8668" max="8668" width="19.7109375" style="116" customWidth="1"/>
    <col min="8669" max="8669" width="1.85546875" style="116" customWidth="1"/>
    <col min="8670" max="8672" width="3" style="116" customWidth="1"/>
    <col min="8673" max="8673" width="4.42578125" style="116" customWidth="1"/>
    <col min="8674" max="8675" width="3" style="116" customWidth="1"/>
    <col min="8676" max="8681" width="3.28515625" style="116" customWidth="1"/>
    <col min="8682" max="8683" width="9.140625" style="116" customWidth="1"/>
    <col min="8684" max="8687" width="3.28515625" style="116" customWidth="1"/>
    <col min="8688" max="8688" width="4.140625" style="116" customWidth="1"/>
    <col min="8689" max="8689" width="1.7109375" style="116" customWidth="1"/>
    <col min="8690" max="8694" width="3.28515625" style="116" customWidth="1"/>
    <col min="8695" max="8695" width="1.7109375" style="116" customWidth="1"/>
    <col min="8696" max="8700" width="3.28515625" style="116" customWidth="1"/>
    <col min="8701" max="8706" width="9.140625" style="116" customWidth="1"/>
    <col min="8707" max="8707" width="1.7109375" style="116" customWidth="1"/>
    <col min="8708" max="8712" width="3.28515625" style="116" customWidth="1"/>
    <col min="8713" max="8713" width="1.7109375" style="116" customWidth="1"/>
    <col min="8714" max="8714" width="16.5703125" style="116" bestFit="1" customWidth="1"/>
    <col min="8715" max="8716" width="10.28515625" style="116" customWidth="1"/>
    <col min="8717" max="8717" width="18" style="116" bestFit="1" customWidth="1"/>
    <col min="8718" max="8902" width="9.140625" style="116"/>
    <col min="8903" max="8910" width="9.140625" style="116" customWidth="1"/>
    <col min="8911" max="8911" width="10.140625" style="116" customWidth="1"/>
    <col min="8912" max="8912" width="1" style="116" customWidth="1"/>
    <col min="8913" max="8915" width="3.28515625" style="116" customWidth="1"/>
    <col min="8916" max="8916" width="1.85546875" style="116" customWidth="1"/>
    <col min="8917" max="8917" width="17.85546875" style="116" customWidth="1"/>
    <col min="8918" max="8918" width="1.85546875" style="116" customWidth="1"/>
    <col min="8919" max="8921" width="3.28515625" style="116" customWidth="1"/>
    <col min="8922" max="8922" width="2.85546875" style="116" customWidth="1"/>
    <col min="8923" max="8923" width="1.85546875" style="116" customWidth="1"/>
    <col min="8924" max="8924" width="19.7109375" style="116" customWidth="1"/>
    <col min="8925" max="8925" width="1.85546875" style="116" customWidth="1"/>
    <col min="8926" max="8928" width="3" style="116" customWidth="1"/>
    <col min="8929" max="8929" width="4.42578125" style="116" customWidth="1"/>
    <col min="8930" max="8931" width="3" style="116" customWidth="1"/>
    <col min="8932" max="8937" width="3.28515625" style="116" customWidth="1"/>
    <col min="8938" max="8939" width="9.140625" style="116" customWidth="1"/>
    <col min="8940" max="8943" width="3.28515625" style="116" customWidth="1"/>
    <col min="8944" max="8944" width="4.140625" style="116" customWidth="1"/>
    <col min="8945" max="8945" width="1.7109375" style="116" customWidth="1"/>
    <col min="8946" max="8950" width="3.28515625" style="116" customWidth="1"/>
    <col min="8951" max="8951" width="1.7109375" style="116" customWidth="1"/>
    <col min="8952" max="8956" width="3.28515625" style="116" customWidth="1"/>
    <col min="8957" max="8962" width="9.140625" style="116" customWidth="1"/>
    <col min="8963" max="8963" width="1.7109375" style="116" customWidth="1"/>
    <col min="8964" max="8968" width="3.28515625" style="116" customWidth="1"/>
    <col min="8969" max="8969" width="1.7109375" style="116" customWidth="1"/>
    <col min="8970" max="8970" width="16.5703125" style="116" bestFit="1" customWidth="1"/>
    <col min="8971" max="8972" width="10.28515625" style="116" customWidth="1"/>
    <col min="8973" max="8973" width="18" style="116" bestFit="1" customWidth="1"/>
    <col min="8974" max="9158" width="9.140625" style="116"/>
    <col min="9159" max="9166" width="9.140625" style="116" customWidth="1"/>
    <col min="9167" max="9167" width="10.140625" style="116" customWidth="1"/>
    <col min="9168" max="9168" width="1" style="116" customWidth="1"/>
    <col min="9169" max="9171" width="3.28515625" style="116" customWidth="1"/>
    <col min="9172" max="9172" width="1.85546875" style="116" customWidth="1"/>
    <col min="9173" max="9173" width="17.85546875" style="116" customWidth="1"/>
    <col min="9174" max="9174" width="1.85546875" style="116" customWidth="1"/>
    <col min="9175" max="9177" width="3.28515625" style="116" customWidth="1"/>
    <col min="9178" max="9178" width="2.85546875" style="116" customWidth="1"/>
    <col min="9179" max="9179" width="1.85546875" style="116" customWidth="1"/>
    <col min="9180" max="9180" width="19.7109375" style="116" customWidth="1"/>
    <col min="9181" max="9181" width="1.85546875" style="116" customWidth="1"/>
    <col min="9182" max="9184" width="3" style="116" customWidth="1"/>
    <col min="9185" max="9185" width="4.42578125" style="116" customWidth="1"/>
    <col min="9186" max="9187" width="3" style="116" customWidth="1"/>
    <col min="9188" max="9193" width="3.28515625" style="116" customWidth="1"/>
    <col min="9194" max="9195" width="9.140625" style="116" customWidth="1"/>
    <col min="9196" max="9199" width="3.28515625" style="116" customWidth="1"/>
    <col min="9200" max="9200" width="4.140625" style="116" customWidth="1"/>
    <col min="9201" max="9201" width="1.7109375" style="116" customWidth="1"/>
    <col min="9202" max="9206" width="3.28515625" style="116" customWidth="1"/>
    <col min="9207" max="9207" width="1.7109375" style="116" customWidth="1"/>
    <col min="9208" max="9212" width="3.28515625" style="116" customWidth="1"/>
    <col min="9213" max="9218" width="9.140625" style="116" customWidth="1"/>
    <col min="9219" max="9219" width="1.7109375" style="116" customWidth="1"/>
    <col min="9220" max="9224" width="3.28515625" style="116" customWidth="1"/>
    <col min="9225" max="9225" width="1.7109375" style="116" customWidth="1"/>
    <col min="9226" max="9226" width="16.5703125" style="116" bestFit="1" customWidth="1"/>
    <col min="9227" max="9228" width="10.28515625" style="116" customWidth="1"/>
    <col min="9229" max="9229" width="18" style="116" bestFit="1" customWidth="1"/>
    <col min="9230" max="9414" width="9.140625" style="116"/>
    <col min="9415" max="9422" width="9.140625" style="116" customWidth="1"/>
    <col min="9423" max="9423" width="10.140625" style="116" customWidth="1"/>
    <col min="9424" max="9424" width="1" style="116" customWidth="1"/>
    <col min="9425" max="9427" width="3.28515625" style="116" customWidth="1"/>
    <col min="9428" max="9428" width="1.85546875" style="116" customWidth="1"/>
    <col min="9429" max="9429" width="17.85546875" style="116" customWidth="1"/>
    <col min="9430" max="9430" width="1.85546875" style="116" customWidth="1"/>
    <col min="9431" max="9433" width="3.28515625" style="116" customWidth="1"/>
    <col min="9434" max="9434" width="2.85546875" style="116" customWidth="1"/>
    <col min="9435" max="9435" width="1.85546875" style="116" customWidth="1"/>
    <col min="9436" max="9436" width="19.7109375" style="116" customWidth="1"/>
    <col min="9437" max="9437" width="1.85546875" style="116" customWidth="1"/>
    <col min="9438" max="9440" width="3" style="116" customWidth="1"/>
    <col min="9441" max="9441" width="4.42578125" style="116" customWidth="1"/>
    <col min="9442" max="9443" width="3" style="116" customWidth="1"/>
    <col min="9444" max="9449" width="3.28515625" style="116" customWidth="1"/>
    <col min="9450" max="9451" width="9.140625" style="116" customWidth="1"/>
    <col min="9452" max="9455" width="3.28515625" style="116" customWidth="1"/>
    <col min="9456" max="9456" width="4.140625" style="116" customWidth="1"/>
    <col min="9457" max="9457" width="1.7109375" style="116" customWidth="1"/>
    <col min="9458" max="9462" width="3.28515625" style="116" customWidth="1"/>
    <col min="9463" max="9463" width="1.7109375" style="116" customWidth="1"/>
    <col min="9464" max="9468" width="3.28515625" style="116" customWidth="1"/>
    <col min="9469" max="9474" width="9.140625" style="116" customWidth="1"/>
    <col min="9475" max="9475" width="1.7109375" style="116" customWidth="1"/>
    <col min="9476" max="9480" width="3.28515625" style="116" customWidth="1"/>
    <col min="9481" max="9481" width="1.7109375" style="116" customWidth="1"/>
    <col min="9482" max="9482" width="16.5703125" style="116" bestFit="1" customWidth="1"/>
    <col min="9483" max="9484" width="10.28515625" style="116" customWidth="1"/>
    <col min="9485" max="9485" width="18" style="116" bestFit="1" customWidth="1"/>
    <col min="9486" max="9670" width="9.140625" style="116"/>
    <col min="9671" max="9678" width="9.140625" style="116" customWidth="1"/>
    <col min="9679" max="9679" width="10.140625" style="116" customWidth="1"/>
    <col min="9680" max="9680" width="1" style="116" customWidth="1"/>
    <col min="9681" max="9683" width="3.28515625" style="116" customWidth="1"/>
    <col min="9684" max="9684" width="1.85546875" style="116" customWidth="1"/>
    <col min="9685" max="9685" width="17.85546875" style="116" customWidth="1"/>
    <col min="9686" max="9686" width="1.85546875" style="116" customWidth="1"/>
    <col min="9687" max="9689" width="3.28515625" style="116" customWidth="1"/>
    <col min="9690" max="9690" width="2.85546875" style="116" customWidth="1"/>
    <col min="9691" max="9691" width="1.85546875" style="116" customWidth="1"/>
    <col min="9692" max="9692" width="19.7109375" style="116" customWidth="1"/>
    <col min="9693" max="9693" width="1.85546875" style="116" customWidth="1"/>
    <col min="9694" max="9696" width="3" style="116" customWidth="1"/>
    <col min="9697" max="9697" width="4.42578125" style="116" customWidth="1"/>
    <col min="9698" max="9699" width="3" style="116" customWidth="1"/>
    <col min="9700" max="9705" width="3.28515625" style="116" customWidth="1"/>
    <col min="9706" max="9707" width="9.140625" style="116" customWidth="1"/>
    <col min="9708" max="9711" width="3.28515625" style="116" customWidth="1"/>
    <col min="9712" max="9712" width="4.140625" style="116" customWidth="1"/>
    <col min="9713" max="9713" width="1.7109375" style="116" customWidth="1"/>
    <col min="9714" max="9718" width="3.28515625" style="116" customWidth="1"/>
    <col min="9719" max="9719" width="1.7109375" style="116" customWidth="1"/>
    <col min="9720" max="9724" width="3.28515625" style="116" customWidth="1"/>
    <col min="9725" max="9730" width="9.140625" style="116" customWidth="1"/>
    <col min="9731" max="9731" width="1.7109375" style="116" customWidth="1"/>
    <col min="9732" max="9736" width="3.28515625" style="116" customWidth="1"/>
    <col min="9737" max="9737" width="1.7109375" style="116" customWidth="1"/>
    <col min="9738" max="9738" width="16.5703125" style="116" bestFit="1" customWidth="1"/>
    <col min="9739" max="9740" width="10.28515625" style="116" customWidth="1"/>
    <col min="9741" max="9741" width="18" style="116" bestFit="1" customWidth="1"/>
    <col min="9742" max="9926" width="9.140625" style="116"/>
    <col min="9927" max="9934" width="9.140625" style="116" customWidth="1"/>
    <col min="9935" max="9935" width="10.140625" style="116" customWidth="1"/>
    <col min="9936" max="9936" width="1" style="116" customWidth="1"/>
    <col min="9937" max="9939" width="3.28515625" style="116" customWidth="1"/>
    <col min="9940" max="9940" width="1.85546875" style="116" customWidth="1"/>
    <col min="9941" max="9941" width="17.85546875" style="116" customWidth="1"/>
    <col min="9942" max="9942" width="1.85546875" style="116" customWidth="1"/>
    <col min="9943" max="9945" width="3.28515625" style="116" customWidth="1"/>
    <col min="9946" max="9946" width="2.85546875" style="116" customWidth="1"/>
    <col min="9947" max="9947" width="1.85546875" style="116" customWidth="1"/>
    <col min="9948" max="9948" width="19.7109375" style="116" customWidth="1"/>
    <col min="9949" max="9949" width="1.85546875" style="116" customWidth="1"/>
    <col min="9950" max="9952" width="3" style="116" customWidth="1"/>
    <col min="9953" max="9953" width="4.42578125" style="116" customWidth="1"/>
    <col min="9954" max="9955" width="3" style="116" customWidth="1"/>
    <col min="9956" max="9961" width="3.28515625" style="116" customWidth="1"/>
    <col min="9962" max="9963" width="9.140625" style="116" customWidth="1"/>
    <col min="9964" max="9967" width="3.28515625" style="116" customWidth="1"/>
    <col min="9968" max="9968" width="4.140625" style="116" customWidth="1"/>
    <col min="9969" max="9969" width="1.7109375" style="116" customWidth="1"/>
    <col min="9970" max="9974" width="3.28515625" style="116" customWidth="1"/>
    <col min="9975" max="9975" width="1.7109375" style="116" customWidth="1"/>
    <col min="9976" max="9980" width="3.28515625" style="116" customWidth="1"/>
    <col min="9981" max="9986" width="9.140625" style="116" customWidth="1"/>
    <col min="9987" max="9987" width="1.7109375" style="116" customWidth="1"/>
    <col min="9988" max="9992" width="3.28515625" style="116" customWidth="1"/>
    <col min="9993" max="9993" width="1.7109375" style="116" customWidth="1"/>
    <col min="9994" max="9994" width="16.5703125" style="116" bestFit="1" customWidth="1"/>
    <col min="9995" max="9996" width="10.28515625" style="116" customWidth="1"/>
    <col min="9997" max="9997" width="18" style="116" bestFit="1" customWidth="1"/>
    <col min="9998" max="10182" width="9.140625" style="116"/>
    <col min="10183" max="10190" width="9.140625" style="116" customWidth="1"/>
    <col min="10191" max="10191" width="10.140625" style="116" customWidth="1"/>
    <col min="10192" max="10192" width="1" style="116" customWidth="1"/>
    <col min="10193" max="10195" width="3.28515625" style="116" customWidth="1"/>
    <col min="10196" max="10196" width="1.85546875" style="116" customWidth="1"/>
    <col min="10197" max="10197" width="17.85546875" style="116" customWidth="1"/>
    <col min="10198" max="10198" width="1.85546875" style="116" customWidth="1"/>
    <col min="10199" max="10201" width="3.28515625" style="116" customWidth="1"/>
    <col min="10202" max="10202" width="2.85546875" style="116" customWidth="1"/>
    <col min="10203" max="10203" width="1.85546875" style="116" customWidth="1"/>
    <col min="10204" max="10204" width="19.7109375" style="116" customWidth="1"/>
    <col min="10205" max="10205" width="1.85546875" style="116" customWidth="1"/>
    <col min="10206" max="10208" width="3" style="116" customWidth="1"/>
    <col min="10209" max="10209" width="4.42578125" style="116" customWidth="1"/>
    <col min="10210" max="10211" width="3" style="116" customWidth="1"/>
    <col min="10212" max="10217" width="3.28515625" style="116" customWidth="1"/>
    <col min="10218" max="10219" width="9.140625" style="116" customWidth="1"/>
    <col min="10220" max="10223" width="3.28515625" style="116" customWidth="1"/>
    <col min="10224" max="10224" width="4.140625" style="116" customWidth="1"/>
    <col min="10225" max="10225" width="1.7109375" style="116" customWidth="1"/>
    <col min="10226" max="10230" width="3.28515625" style="116" customWidth="1"/>
    <col min="10231" max="10231" width="1.7109375" style="116" customWidth="1"/>
    <col min="10232" max="10236" width="3.28515625" style="116" customWidth="1"/>
    <col min="10237" max="10242" width="9.140625" style="116" customWidth="1"/>
    <col min="10243" max="10243" width="1.7109375" style="116" customWidth="1"/>
    <col min="10244" max="10248" width="3.28515625" style="116" customWidth="1"/>
    <col min="10249" max="10249" width="1.7109375" style="116" customWidth="1"/>
    <col min="10250" max="10250" width="16.5703125" style="116" bestFit="1" customWidth="1"/>
    <col min="10251" max="10252" width="10.28515625" style="116" customWidth="1"/>
    <col min="10253" max="10253" width="18" style="116" bestFit="1" customWidth="1"/>
    <col min="10254" max="10438" width="9.140625" style="116"/>
    <col min="10439" max="10446" width="9.140625" style="116" customWidth="1"/>
    <col min="10447" max="10447" width="10.140625" style="116" customWidth="1"/>
    <col min="10448" max="10448" width="1" style="116" customWidth="1"/>
    <col min="10449" max="10451" width="3.28515625" style="116" customWidth="1"/>
    <col min="10452" max="10452" width="1.85546875" style="116" customWidth="1"/>
    <col min="10453" max="10453" width="17.85546875" style="116" customWidth="1"/>
    <col min="10454" max="10454" width="1.85546875" style="116" customWidth="1"/>
    <col min="10455" max="10457" width="3.28515625" style="116" customWidth="1"/>
    <col min="10458" max="10458" width="2.85546875" style="116" customWidth="1"/>
    <col min="10459" max="10459" width="1.85546875" style="116" customWidth="1"/>
    <col min="10460" max="10460" width="19.7109375" style="116" customWidth="1"/>
    <col min="10461" max="10461" width="1.85546875" style="116" customWidth="1"/>
    <col min="10462" max="10464" width="3" style="116" customWidth="1"/>
    <col min="10465" max="10465" width="4.42578125" style="116" customWidth="1"/>
    <col min="10466" max="10467" width="3" style="116" customWidth="1"/>
    <col min="10468" max="10473" width="3.28515625" style="116" customWidth="1"/>
    <col min="10474" max="10475" width="9.140625" style="116" customWidth="1"/>
    <col min="10476" max="10479" width="3.28515625" style="116" customWidth="1"/>
    <col min="10480" max="10480" width="4.140625" style="116" customWidth="1"/>
    <col min="10481" max="10481" width="1.7109375" style="116" customWidth="1"/>
    <col min="10482" max="10486" width="3.28515625" style="116" customWidth="1"/>
    <col min="10487" max="10487" width="1.7109375" style="116" customWidth="1"/>
    <col min="10488" max="10492" width="3.28515625" style="116" customWidth="1"/>
    <col min="10493" max="10498" width="9.140625" style="116" customWidth="1"/>
    <col min="10499" max="10499" width="1.7109375" style="116" customWidth="1"/>
    <col min="10500" max="10504" width="3.28515625" style="116" customWidth="1"/>
    <col min="10505" max="10505" width="1.7109375" style="116" customWidth="1"/>
    <col min="10506" max="10506" width="16.5703125" style="116" bestFit="1" customWidth="1"/>
    <col min="10507" max="10508" width="10.28515625" style="116" customWidth="1"/>
    <col min="10509" max="10509" width="18" style="116" bestFit="1" customWidth="1"/>
    <col min="10510" max="10694" width="9.140625" style="116"/>
    <col min="10695" max="10702" width="9.140625" style="116" customWidth="1"/>
    <col min="10703" max="10703" width="10.140625" style="116" customWidth="1"/>
    <col min="10704" max="10704" width="1" style="116" customWidth="1"/>
    <col min="10705" max="10707" width="3.28515625" style="116" customWidth="1"/>
    <col min="10708" max="10708" width="1.85546875" style="116" customWidth="1"/>
    <col min="10709" max="10709" width="17.85546875" style="116" customWidth="1"/>
    <col min="10710" max="10710" width="1.85546875" style="116" customWidth="1"/>
    <col min="10711" max="10713" width="3.28515625" style="116" customWidth="1"/>
    <col min="10714" max="10714" width="2.85546875" style="116" customWidth="1"/>
    <col min="10715" max="10715" width="1.85546875" style="116" customWidth="1"/>
    <col min="10716" max="10716" width="19.7109375" style="116" customWidth="1"/>
    <col min="10717" max="10717" width="1.85546875" style="116" customWidth="1"/>
    <col min="10718" max="10720" width="3" style="116" customWidth="1"/>
    <col min="10721" max="10721" width="4.42578125" style="116" customWidth="1"/>
    <col min="10722" max="10723" width="3" style="116" customWidth="1"/>
    <col min="10724" max="10729" width="3.28515625" style="116" customWidth="1"/>
    <col min="10730" max="10731" width="9.140625" style="116" customWidth="1"/>
    <col min="10732" max="10735" width="3.28515625" style="116" customWidth="1"/>
    <col min="10736" max="10736" width="4.140625" style="116" customWidth="1"/>
    <col min="10737" max="10737" width="1.7109375" style="116" customWidth="1"/>
    <col min="10738" max="10742" width="3.28515625" style="116" customWidth="1"/>
    <col min="10743" max="10743" width="1.7109375" style="116" customWidth="1"/>
    <col min="10744" max="10748" width="3.28515625" style="116" customWidth="1"/>
    <col min="10749" max="10754" width="9.140625" style="116" customWidth="1"/>
    <col min="10755" max="10755" width="1.7109375" style="116" customWidth="1"/>
    <col min="10756" max="10760" width="3.28515625" style="116" customWidth="1"/>
    <col min="10761" max="10761" width="1.7109375" style="116" customWidth="1"/>
    <col min="10762" max="10762" width="16.5703125" style="116" bestFit="1" customWidth="1"/>
    <col min="10763" max="10764" width="10.28515625" style="116" customWidth="1"/>
    <col min="10765" max="10765" width="18" style="116" bestFit="1" customWidth="1"/>
    <col min="10766" max="10950" width="9.140625" style="116"/>
    <col min="10951" max="10958" width="9.140625" style="116" customWidth="1"/>
    <col min="10959" max="10959" width="10.140625" style="116" customWidth="1"/>
    <col min="10960" max="10960" width="1" style="116" customWidth="1"/>
    <col min="10961" max="10963" width="3.28515625" style="116" customWidth="1"/>
    <col min="10964" max="10964" width="1.85546875" style="116" customWidth="1"/>
    <col min="10965" max="10965" width="17.85546875" style="116" customWidth="1"/>
    <col min="10966" max="10966" width="1.85546875" style="116" customWidth="1"/>
    <col min="10967" max="10969" width="3.28515625" style="116" customWidth="1"/>
    <col min="10970" max="10970" width="2.85546875" style="116" customWidth="1"/>
    <col min="10971" max="10971" width="1.85546875" style="116" customWidth="1"/>
    <col min="10972" max="10972" width="19.7109375" style="116" customWidth="1"/>
    <col min="10973" max="10973" width="1.85546875" style="116" customWidth="1"/>
    <col min="10974" max="10976" width="3" style="116" customWidth="1"/>
    <col min="10977" max="10977" width="4.42578125" style="116" customWidth="1"/>
    <col min="10978" max="10979" width="3" style="116" customWidth="1"/>
    <col min="10980" max="10985" width="3.28515625" style="116" customWidth="1"/>
    <col min="10986" max="10987" width="9.140625" style="116" customWidth="1"/>
    <col min="10988" max="10991" width="3.28515625" style="116" customWidth="1"/>
    <col min="10992" max="10992" width="4.140625" style="116" customWidth="1"/>
    <col min="10993" max="10993" width="1.7109375" style="116" customWidth="1"/>
    <col min="10994" max="10998" width="3.28515625" style="116" customWidth="1"/>
    <col min="10999" max="10999" width="1.7109375" style="116" customWidth="1"/>
    <col min="11000" max="11004" width="3.28515625" style="116" customWidth="1"/>
    <col min="11005" max="11010" width="9.140625" style="116" customWidth="1"/>
    <col min="11011" max="11011" width="1.7109375" style="116" customWidth="1"/>
    <col min="11012" max="11016" width="3.28515625" style="116" customWidth="1"/>
    <col min="11017" max="11017" width="1.7109375" style="116" customWidth="1"/>
    <col min="11018" max="11018" width="16.5703125" style="116" bestFit="1" customWidth="1"/>
    <col min="11019" max="11020" width="10.28515625" style="116" customWidth="1"/>
    <col min="11021" max="11021" width="18" style="116" bestFit="1" customWidth="1"/>
    <col min="11022" max="11206" width="9.140625" style="116"/>
    <col min="11207" max="11214" width="9.140625" style="116" customWidth="1"/>
    <col min="11215" max="11215" width="10.140625" style="116" customWidth="1"/>
    <col min="11216" max="11216" width="1" style="116" customWidth="1"/>
    <col min="11217" max="11219" width="3.28515625" style="116" customWidth="1"/>
    <col min="11220" max="11220" width="1.85546875" style="116" customWidth="1"/>
    <col min="11221" max="11221" width="17.85546875" style="116" customWidth="1"/>
    <col min="11222" max="11222" width="1.85546875" style="116" customWidth="1"/>
    <col min="11223" max="11225" width="3.28515625" style="116" customWidth="1"/>
    <col min="11226" max="11226" width="2.85546875" style="116" customWidth="1"/>
    <col min="11227" max="11227" width="1.85546875" style="116" customWidth="1"/>
    <col min="11228" max="11228" width="19.7109375" style="116" customWidth="1"/>
    <col min="11229" max="11229" width="1.85546875" style="116" customWidth="1"/>
    <col min="11230" max="11232" width="3" style="116" customWidth="1"/>
    <col min="11233" max="11233" width="4.42578125" style="116" customWidth="1"/>
    <col min="11234" max="11235" width="3" style="116" customWidth="1"/>
    <col min="11236" max="11241" width="3.28515625" style="116" customWidth="1"/>
    <col min="11242" max="11243" width="9.140625" style="116" customWidth="1"/>
    <col min="11244" max="11247" width="3.28515625" style="116" customWidth="1"/>
    <col min="11248" max="11248" width="4.140625" style="116" customWidth="1"/>
    <col min="11249" max="11249" width="1.7109375" style="116" customWidth="1"/>
    <col min="11250" max="11254" width="3.28515625" style="116" customWidth="1"/>
    <col min="11255" max="11255" width="1.7109375" style="116" customWidth="1"/>
    <col min="11256" max="11260" width="3.28515625" style="116" customWidth="1"/>
    <col min="11261" max="11266" width="9.140625" style="116" customWidth="1"/>
    <col min="11267" max="11267" width="1.7109375" style="116" customWidth="1"/>
    <col min="11268" max="11272" width="3.28515625" style="116" customWidth="1"/>
    <col min="11273" max="11273" width="1.7109375" style="116" customWidth="1"/>
    <col min="11274" max="11274" width="16.5703125" style="116" bestFit="1" customWidth="1"/>
    <col min="11275" max="11276" width="10.28515625" style="116" customWidth="1"/>
    <col min="11277" max="11277" width="18" style="116" bestFit="1" customWidth="1"/>
    <col min="11278" max="11462" width="9.140625" style="116"/>
    <col min="11463" max="11470" width="9.140625" style="116" customWidth="1"/>
    <col min="11471" max="11471" width="10.140625" style="116" customWidth="1"/>
    <col min="11472" max="11472" width="1" style="116" customWidth="1"/>
    <col min="11473" max="11475" width="3.28515625" style="116" customWidth="1"/>
    <col min="11476" max="11476" width="1.85546875" style="116" customWidth="1"/>
    <col min="11477" max="11477" width="17.85546875" style="116" customWidth="1"/>
    <col min="11478" max="11478" width="1.85546875" style="116" customWidth="1"/>
    <col min="11479" max="11481" width="3.28515625" style="116" customWidth="1"/>
    <col min="11482" max="11482" width="2.85546875" style="116" customWidth="1"/>
    <col min="11483" max="11483" width="1.85546875" style="116" customWidth="1"/>
    <col min="11484" max="11484" width="19.7109375" style="116" customWidth="1"/>
    <col min="11485" max="11485" width="1.85546875" style="116" customWidth="1"/>
    <col min="11486" max="11488" width="3" style="116" customWidth="1"/>
    <col min="11489" max="11489" width="4.42578125" style="116" customWidth="1"/>
    <col min="11490" max="11491" width="3" style="116" customWidth="1"/>
    <col min="11492" max="11497" width="3.28515625" style="116" customWidth="1"/>
    <col min="11498" max="11499" width="9.140625" style="116" customWidth="1"/>
    <col min="11500" max="11503" width="3.28515625" style="116" customWidth="1"/>
    <col min="11504" max="11504" width="4.140625" style="116" customWidth="1"/>
    <col min="11505" max="11505" width="1.7109375" style="116" customWidth="1"/>
    <col min="11506" max="11510" width="3.28515625" style="116" customWidth="1"/>
    <col min="11511" max="11511" width="1.7109375" style="116" customWidth="1"/>
    <col min="11512" max="11516" width="3.28515625" style="116" customWidth="1"/>
    <col min="11517" max="11522" width="9.140625" style="116" customWidth="1"/>
    <col min="11523" max="11523" width="1.7109375" style="116" customWidth="1"/>
    <col min="11524" max="11528" width="3.28515625" style="116" customWidth="1"/>
    <col min="11529" max="11529" width="1.7109375" style="116" customWidth="1"/>
    <col min="11530" max="11530" width="16.5703125" style="116" bestFit="1" customWidth="1"/>
    <col min="11531" max="11532" width="10.28515625" style="116" customWidth="1"/>
    <col min="11533" max="11533" width="18" style="116" bestFit="1" customWidth="1"/>
    <col min="11534" max="11718" width="9.140625" style="116"/>
    <col min="11719" max="11726" width="9.140625" style="116" customWidth="1"/>
    <col min="11727" max="11727" width="10.140625" style="116" customWidth="1"/>
    <col min="11728" max="11728" width="1" style="116" customWidth="1"/>
    <col min="11729" max="11731" width="3.28515625" style="116" customWidth="1"/>
    <col min="11732" max="11732" width="1.85546875" style="116" customWidth="1"/>
    <col min="11733" max="11733" width="17.85546875" style="116" customWidth="1"/>
    <col min="11734" max="11734" width="1.85546875" style="116" customWidth="1"/>
    <col min="11735" max="11737" width="3.28515625" style="116" customWidth="1"/>
    <col min="11738" max="11738" width="2.85546875" style="116" customWidth="1"/>
    <col min="11739" max="11739" width="1.85546875" style="116" customWidth="1"/>
    <col min="11740" max="11740" width="19.7109375" style="116" customWidth="1"/>
    <col min="11741" max="11741" width="1.85546875" style="116" customWidth="1"/>
    <col min="11742" max="11744" width="3" style="116" customWidth="1"/>
    <col min="11745" max="11745" width="4.42578125" style="116" customWidth="1"/>
    <col min="11746" max="11747" width="3" style="116" customWidth="1"/>
    <col min="11748" max="11753" width="3.28515625" style="116" customWidth="1"/>
    <col min="11754" max="11755" width="9.140625" style="116" customWidth="1"/>
    <col min="11756" max="11759" width="3.28515625" style="116" customWidth="1"/>
    <col min="11760" max="11760" width="4.140625" style="116" customWidth="1"/>
    <col min="11761" max="11761" width="1.7109375" style="116" customWidth="1"/>
    <col min="11762" max="11766" width="3.28515625" style="116" customWidth="1"/>
    <col min="11767" max="11767" width="1.7109375" style="116" customWidth="1"/>
    <col min="11768" max="11772" width="3.28515625" style="116" customWidth="1"/>
    <col min="11773" max="11778" width="9.140625" style="116" customWidth="1"/>
    <col min="11779" max="11779" width="1.7109375" style="116" customWidth="1"/>
    <col min="11780" max="11784" width="3.28515625" style="116" customWidth="1"/>
    <col min="11785" max="11785" width="1.7109375" style="116" customWidth="1"/>
    <col min="11786" max="11786" width="16.5703125" style="116" bestFit="1" customWidth="1"/>
    <col min="11787" max="11788" width="10.28515625" style="116" customWidth="1"/>
    <col min="11789" max="11789" width="18" style="116" bestFit="1" customWidth="1"/>
    <col min="11790" max="11974" width="9.140625" style="116"/>
    <col min="11975" max="11982" width="9.140625" style="116" customWidth="1"/>
    <col min="11983" max="11983" width="10.140625" style="116" customWidth="1"/>
    <col min="11984" max="11984" width="1" style="116" customWidth="1"/>
    <col min="11985" max="11987" width="3.28515625" style="116" customWidth="1"/>
    <col min="11988" max="11988" width="1.85546875" style="116" customWidth="1"/>
    <col min="11989" max="11989" width="17.85546875" style="116" customWidth="1"/>
    <col min="11990" max="11990" width="1.85546875" style="116" customWidth="1"/>
    <col min="11991" max="11993" width="3.28515625" style="116" customWidth="1"/>
    <col min="11994" max="11994" width="2.85546875" style="116" customWidth="1"/>
    <col min="11995" max="11995" width="1.85546875" style="116" customWidth="1"/>
    <col min="11996" max="11996" width="19.7109375" style="116" customWidth="1"/>
    <col min="11997" max="11997" width="1.85546875" style="116" customWidth="1"/>
    <col min="11998" max="12000" width="3" style="116" customWidth="1"/>
    <col min="12001" max="12001" width="4.42578125" style="116" customWidth="1"/>
    <col min="12002" max="12003" width="3" style="116" customWidth="1"/>
    <col min="12004" max="12009" width="3.28515625" style="116" customWidth="1"/>
    <col min="12010" max="12011" width="9.140625" style="116" customWidth="1"/>
    <col min="12012" max="12015" width="3.28515625" style="116" customWidth="1"/>
    <col min="12016" max="12016" width="4.140625" style="116" customWidth="1"/>
    <col min="12017" max="12017" width="1.7109375" style="116" customWidth="1"/>
    <col min="12018" max="12022" width="3.28515625" style="116" customWidth="1"/>
    <col min="12023" max="12023" width="1.7109375" style="116" customWidth="1"/>
    <col min="12024" max="12028" width="3.28515625" style="116" customWidth="1"/>
    <col min="12029" max="12034" width="9.140625" style="116" customWidth="1"/>
    <col min="12035" max="12035" width="1.7109375" style="116" customWidth="1"/>
    <col min="12036" max="12040" width="3.28515625" style="116" customWidth="1"/>
    <col min="12041" max="12041" width="1.7109375" style="116" customWidth="1"/>
    <col min="12042" max="12042" width="16.5703125" style="116" bestFit="1" customWidth="1"/>
    <col min="12043" max="12044" width="10.28515625" style="116" customWidth="1"/>
    <col min="12045" max="12045" width="18" style="116" bestFit="1" customWidth="1"/>
    <col min="12046" max="12230" width="9.140625" style="116"/>
    <col min="12231" max="12238" width="9.140625" style="116" customWidth="1"/>
    <col min="12239" max="12239" width="10.140625" style="116" customWidth="1"/>
    <col min="12240" max="12240" width="1" style="116" customWidth="1"/>
    <col min="12241" max="12243" width="3.28515625" style="116" customWidth="1"/>
    <col min="12244" max="12244" width="1.85546875" style="116" customWidth="1"/>
    <col min="12245" max="12245" width="17.85546875" style="116" customWidth="1"/>
    <col min="12246" max="12246" width="1.85546875" style="116" customWidth="1"/>
    <col min="12247" max="12249" width="3.28515625" style="116" customWidth="1"/>
    <col min="12250" max="12250" width="2.85546875" style="116" customWidth="1"/>
    <col min="12251" max="12251" width="1.85546875" style="116" customWidth="1"/>
    <col min="12252" max="12252" width="19.7109375" style="116" customWidth="1"/>
    <col min="12253" max="12253" width="1.85546875" style="116" customWidth="1"/>
    <col min="12254" max="12256" width="3" style="116" customWidth="1"/>
    <col min="12257" max="12257" width="4.42578125" style="116" customWidth="1"/>
    <col min="12258" max="12259" width="3" style="116" customWidth="1"/>
    <col min="12260" max="12265" width="3.28515625" style="116" customWidth="1"/>
    <col min="12266" max="12267" width="9.140625" style="116" customWidth="1"/>
    <col min="12268" max="12271" width="3.28515625" style="116" customWidth="1"/>
    <col min="12272" max="12272" width="4.140625" style="116" customWidth="1"/>
    <col min="12273" max="12273" width="1.7109375" style="116" customWidth="1"/>
    <col min="12274" max="12278" width="3.28515625" style="116" customWidth="1"/>
    <col min="12279" max="12279" width="1.7109375" style="116" customWidth="1"/>
    <col min="12280" max="12284" width="3.28515625" style="116" customWidth="1"/>
    <col min="12285" max="12290" width="9.140625" style="116" customWidth="1"/>
    <col min="12291" max="12291" width="1.7109375" style="116" customWidth="1"/>
    <col min="12292" max="12296" width="3.28515625" style="116" customWidth="1"/>
    <col min="12297" max="12297" width="1.7109375" style="116" customWidth="1"/>
    <col min="12298" max="12298" width="16.5703125" style="116" bestFit="1" customWidth="1"/>
    <col min="12299" max="12300" width="10.28515625" style="116" customWidth="1"/>
    <col min="12301" max="12301" width="18" style="116" bestFit="1" customWidth="1"/>
    <col min="12302" max="12486" width="9.140625" style="116"/>
    <col min="12487" max="12494" width="9.140625" style="116" customWidth="1"/>
    <col min="12495" max="12495" width="10.140625" style="116" customWidth="1"/>
    <col min="12496" max="12496" width="1" style="116" customWidth="1"/>
    <col min="12497" max="12499" width="3.28515625" style="116" customWidth="1"/>
    <col min="12500" max="12500" width="1.85546875" style="116" customWidth="1"/>
    <col min="12501" max="12501" width="17.85546875" style="116" customWidth="1"/>
    <col min="12502" max="12502" width="1.85546875" style="116" customWidth="1"/>
    <col min="12503" max="12505" width="3.28515625" style="116" customWidth="1"/>
    <col min="12506" max="12506" width="2.85546875" style="116" customWidth="1"/>
    <col min="12507" max="12507" width="1.85546875" style="116" customWidth="1"/>
    <col min="12508" max="12508" width="19.7109375" style="116" customWidth="1"/>
    <col min="12509" max="12509" width="1.85546875" style="116" customWidth="1"/>
    <col min="12510" max="12512" width="3" style="116" customWidth="1"/>
    <col min="12513" max="12513" width="4.42578125" style="116" customWidth="1"/>
    <col min="12514" max="12515" width="3" style="116" customWidth="1"/>
    <col min="12516" max="12521" width="3.28515625" style="116" customWidth="1"/>
    <col min="12522" max="12523" width="9.140625" style="116" customWidth="1"/>
    <col min="12524" max="12527" width="3.28515625" style="116" customWidth="1"/>
    <col min="12528" max="12528" width="4.140625" style="116" customWidth="1"/>
    <col min="12529" max="12529" width="1.7109375" style="116" customWidth="1"/>
    <col min="12530" max="12534" width="3.28515625" style="116" customWidth="1"/>
    <col min="12535" max="12535" width="1.7109375" style="116" customWidth="1"/>
    <col min="12536" max="12540" width="3.28515625" style="116" customWidth="1"/>
    <col min="12541" max="12546" width="9.140625" style="116" customWidth="1"/>
    <col min="12547" max="12547" width="1.7109375" style="116" customWidth="1"/>
    <col min="12548" max="12552" width="3.28515625" style="116" customWidth="1"/>
    <col min="12553" max="12553" width="1.7109375" style="116" customWidth="1"/>
    <col min="12554" max="12554" width="16.5703125" style="116" bestFit="1" customWidth="1"/>
    <col min="12555" max="12556" width="10.28515625" style="116" customWidth="1"/>
    <col min="12557" max="12557" width="18" style="116" bestFit="1" customWidth="1"/>
    <col min="12558" max="12742" width="9.140625" style="116"/>
    <col min="12743" max="12750" width="9.140625" style="116" customWidth="1"/>
    <col min="12751" max="12751" width="10.140625" style="116" customWidth="1"/>
    <col min="12752" max="12752" width="1" style="116" customWidth="1"/>
    <col min="12753" max="12755" width="3.28515625" style="116" customWidth="1"/>
    <col min="12756" max="12756" width="1.85546875" style="116" customWidth="1"/>
    <col min="12757" max="12757" width="17.85546875" style="116" customWidth="1"/>
    <col min="12758" max="12758" width="1.85546875" style="116" customWidth="1"/>
    <col min="12759" max="12761" width="3.28515625" style="116" customWidth="1"/>
    <col min="12762" max="12762" width="2.85546875" style="116" customWidth="1"/>
    <col min="12763" max="12763" width="1.85546875" style="116" customWidth="1"/>
    <col min="12764" max="12764" width="19.7109375" style="116" customWidth="1"/>
    <col min="12765" max="12765" width="1.85546875" style="116" customWidth="1"/>
    <col min="12766" max="12768" width="3" style="116" customWidth="1"/>
    <col min="12769" max="12769" width="4.42578125" style="116" customWidth="1"/>
    <col min="12770" max="12771" width="3" style="116" customWidth="1"/>
    <col min="12772" max="12777" width="3.28515625" style="116" customWidth="1"/>
    <col min="12778" max="12779" width="9.140625" style="116" customWidth="1"/>
    <col min="12780" max="12783" width="3.28515625" style="116" customWidth="1"/>
    <col min="12784" max="12784" width="4.140625" style="116" customWidth="1"/>
    <col min="12785" max="12785" width="1.7109375" style="116" customWidth="1"/>
    <col min="12786" max="12790" width="3.28515625" style="116" customWidth="1"/>
    <col min="12791" max="12791" width="1.7109375" style="116" customWidth="1"/>
    <col min="12792" max="12796" width="3.28515625" style="116" customWidth="1"/>
    <col min="12797" max="12802" width="9.140625" style="116" customWidth="1"/>
    <col min="12803" max="12803" width="1.7109375" style="116" customWidth="1"/>
    <col min="12804" max="12808" width="3.28515625" style="116" customWidth="1"/>
    <col min="12809" max="12809" width="1.7109375" style="116" customWidth="1"/>
    <col min="12810" max="12810" width="16.5703125" style="116" bestFit="1" customWidth="1"/>
    <col min="12811" max="12812" width="10.28515625" style="116" customWidth="1"/>
    <col min="12813" max="12813" width="18" style="116" bestFit="1" customWidth="1"/>
    <col min="12814" max="12998" width="9.140625" style="116"/>
    <col min="12999" max="13006" width="9.140625" style="116" customWidth="1"/>
    <col min="13007" max="13007" width="10.140625" style="116" customWidth="1"/>
    <col min="13008" max="13008" width="1" style="116" customWidth="1"/>
    <col min="13009" max="13011" width="3.28515625" style="116" customWidth="1"/>
    <col min="13012" max="13012" width="1.85546875" style="116" customWidth="1"/>
    <col min="13013" max="13013" width="17.85546875" style="116" customWidth="1"/>
    <col min="13014" max="13014" width="1.85546875" style="116" customWidth="1"/>
    <col min="13015" max="13017" width="3.28515625" style="116" customWidth="1"/>
    <col min="13018" max="13018" width="2.85546875" style="116" customWidth="1"/>
    <col min="13019" max="13019" width="1.85546875" style="116" customWidth="1"/>
    <col min="13020" max="13020" width="19.7109375" style="116" customWidth="1"/>
    <col min="13021" max="13021" width="1.85546875" style="116" customWidth="1"/>
    <col min="13022" max="13024" width="3" style="116" customWidth="1"/>
    <col min="13025" max="13025" width="4.42578125" style="116" customWidth="1"/>
    <col min="13026" max="13027" width="3" style="116" customWidth="1"/>
    <col min="13028" max="13033" width="3.28515625" style="116" customWidth="1"/>
    <col min="13034" max="13035" width="9.140625" style="116" customWidth="1"/>
    <col min="13036" max="13039" width="3.28515625" style="116" customWidth="1"/>
    <col min="13040" max="13040" width="4.140625" style="116" customWidth="1"/>
    <col min="13041" max="13041" width="1.7109375" style="116" customWidth="1"/>
    <col min="13042" max="13046" width="3.28515625" style="116" customWidth="1"/>
    <col min="13047" max="13047" width="1.7109375" style="116" customWidth="1"/>
    <col min="13048" max="13052" width="3.28515625" style="116" customWidth="1"/>
    <col min="13053" max="13058" width="9.140625" style="116" customWidth="1"/>
    <col min="13059" max="13059" width="1.7109375" style="116" customWidth="1"/>
    <col min="13060" max="13064" width="3.28515625" style="116" customWidth="1"/>
    <col min="13065" max="13065" width="1.7109375" style="116" customWidth="1"/>
    <col min="13066" max="13066" width="16.5703125" style="116" bestFit="1" customWidth="1"/>
    <col min="13067" max="13068" width="10.28515625" style="116" customWidth="1"/>
    <col min="13069" max="13069" width="18" style="116" bestFit="1" customWidth="1"/>
    <col min="13070" max="13254" width="9.140625" style="116"/>
    <col min="13255" max="13262" width="9.140625" style="116" customWidth="1"/>
    <col min="13263" max="13263" width="10.140625" style="116" customWidth="1"/>
    <col min="13264" max="13264" width="1" style="116" customWidth="1"/>
    <col min="13265" max="13267" width="3.28515625" style="116" customWidth="1"/>
    <col min="13268" max="13268" width="1.85546875" style="116" customWidth="1"/>
    <col min="13269" max="13269" width="17.85546875" style="116" customWidth="1"/>
    <col min="13270" max="13270" width="1.85546875" style="116" customWidth="1"/>
    <col min="13271" max="13273" width="3.28515625" style="116" customWidth="1"/>
    <col min="13274" max="13274" width="2.85546875" style="116" customWidth="1"/>
    <col min="13275" max="13275" width="1.85546875" style="116" customWidth="1"/>
    <col min="13276" max="13276" width="19.7109375" style="116" customWidth="1"/>
    <col min="13277" max="13277" width="1.85546875" style="116" customWidth="1"/>
    <col min="13278" max="13280" width="3" style="116" customWidth="1"/>
    <col min="13281" max="13281" width="4.42578125" style="116" customWidth="1"/>
    <col min="13282" max="13283" width="3" style="116" customWidth="1"/>
    <col min="13284" max="13289" width="3.28515625" style="116" customWidth="1"/>
    <col min="13290" max="13291" width="9.140625" style="116" customWidth="1"/>
    <col min="13292" max="13295" width="3.28515625" style="116" customWidth="1"/>
    <col min="13296" max="13296" width="4.140625" style="116" customWidth="1"/>
    <col min="13297" max="13297" width="1.7109375" style="116" customWidth="1"/>
    <col min="13298" max="13302" width="3.28515625" style="116" customWidth="1"/>
    <col min="13303" max="13303" width="1.7109375" style="116" customWidth="1"/>
    <col min="13304" max="13308" width="3.28515625" style="116" customWidth="1"/>
    <col min="13309" max="13314" width="9.140625" style="116" customWidth="1"/>
    <col min="13315" max="13315" width="1.7109375" style="116" customWidth="1"/>
    <col min="13316" max="13320" width="3.28515625" style="116" customWidth="1"/>
    <col min="13321" max="13321" width="1.7109375" style="116" customWidth="1"/>
    <col min="13322" max="13322" width="16.5703125" style="116" bestFit="1" customWidth="1"/>
    <col min="13323" max="13324" width="10.28515625" style="116" customWidth="1"/>
    <col min="13325" max="13325" width="18" style="116" bestFit="1" customWidth="1"/>
    <col min="13326" max="13510" width="9.140625" style="116"/>
    <col min="13511" max="13518" width="9.140625" style="116" customWidth="1"/>
    <col min="13519" max="13519" width="10.140625" style="116" customWidth="1"/>
    <col min="13520" max="13520" width="1" style="116" customWidth="1"/>
    <col min="13521" max="13523" width="3.28515625" style="116" customWidth="1"/>
    <col min="13524" max="13524" width="1.85546875" style="116" customWidth="1"/>
    <col min="13525" max="13525" width="17.85546875" style="116" customWidth="1"/>
    <col min="13526" max="13526" width="1.85546875" style="116" customWidth="1"/>
    <col min="13527" max="13529" width="3.28515625" style="116" customWidth="1"/>
    <col min="13530" max="13530" width="2.85546875" style="116" customWidth="1"/>
    <col min="13531" max="13531" width="1.85546875" style="116" customWidth="1"/>
    <col min="13532" max="13532" width="19.7109375" style="116" customWidth="1"/>
    <col min="13533" max="13533" width="1.85546875" style="116" customWidth="1"/>
    <col min="13534" max="13536" width="3" style="116" customWidth="1"/>
    <col min="13537" max="13537" width="4.42578125" style="116" customWidth="1"/>
    <col min="13538" max="13539" width="3" style="116" customWidth="1"/>
    <col min="13540" max="13545" width="3.28515625" style="116" customWidth="1"/>
    <col min="13546" max="13547" width="9.140625" style="116" customWidth="1"/>
    <col min="13548" max="13551" width="3.28515625" style="116" customWidth="1"/>
    <col min="13552" max="13552" width="4.140625" style="116" customWidth="1"/>
    <col min="13553" max="13553" width="1.7109375" style="116" customWidth="1"/>
    <col min="13554" max="13558" width="3.28515625" style="116" customWidth="1"/>
    <col min="13559" max="13559" width="1.7109375" style="116" customWidth="1"/>
    <col min="13560" max="13564" width="3.28515625" style="116" customWidth="1"/>
    <col min="13565" max="13570" width="9.140625" style="116" customWidth="1"/>
    <col min="13571" max="13571" width="1.7109375" style="116" customWidth="1"/>
    <col min="13572" max="13576" width="3.28515625" style="116" customWidth="1"/>
    <col min="13577" max="13577" width="1.7109375" style="116" customWidth="1"/>
    <col min="13578" max="13578" width="16.5703125" style="116" bestFit="1" customWidth="1"/>
    <col min="13579" max="13580" width="10.28515625" style="116" customWidth="1"/>
    <col min="13581" max="13581" width="18" style="116" bestFit="1" customWidth="1"/>
    <col min="13582" max="13766" width="9.140625" style="116"/>
    <col min="13767" max="13774" width="9.140625" style="116" customWidth="1"/>
    <col min="13775" max="13775" width="10.140625" style="116" customWidth="1"/>
    <col min="13776" max="13776" width="1" style="116" customWidth="1"/>
    <col min="13777" max="13779" width="3.28515625" style="116" customWidth="1"/>
    <col min="13780" max="13780" width="1.85546875" style="116" customWidth="1"/>
    <col min="13781" max="13781" width="17.85546875" style="116" customWidth="1"/>
    <col min="13782" max="13782" width="1.85546875" style="116" customWidth="1"/>
    <col min="13783" max="13785" width="3.28515625" style="116" customWidth="1"/>
    <col min="13786" max="13786" width="2.85546875" style="116" customWidth="1"/>
    <col min="13787" max="13787" width="1.85546875" style="116" customWidth="1"/>
    <col min="13788" max="13788" width="19.7109375" style="116" customWidth="1"/>
    <col min="13789" max="13789" width="1.85546875" style="116" customWidth="1"/>
    <col min="13790" max="13792" width="3" style="116" customWidth="1"/>
    <col min="13793" max="13793" width="4.42578125" style="116" customWidth="1"/>
    <col min="13794" max="13795" width="3" style="116" customWidth="1"/>
    <col min="13796" max="13801" width="3.28515625" style="116" customWidth="1"/>
    <col min="13802" max="13803" width="9.140625" style="116" customWidth="1"/>
    <col min="13804" max="13807" width="3.28515625" style="116" customWidth="1"/>
    <col min="13808" max="13808" width="4.140625" style="116" customWidth="1"/>
    <col min="13809" max="13809" width="1.7109375" style="116" customWidth="1"/>
    <col min="13810" max="13814" width="3.28515625" style="116" customWidth="1"/>
    <col min="13815" max="13815" width="1.7109375" style="116" customWidth="1"/>
    <col min="13816" max="13820" width="3.28515625" style="116" customWidth="1"/>
    <col min="13821" max="13826" width="9.140625" style="116" customWidth="1"/>
    <col min="13827" max="13827" width="1.7109375" style="116" customWidth="1"/>
    <col min="13828" max="13832" width="3.28515625" style="116" customWidth="1"/>
    <col min="13833" max="13833" width="1.7109375" style="116" customWidth="1"/>
    <col min="13834" max="13834" width="16.5703125" style="116" bestFit="1" customWidth="1"/>
    <col min="13835" max="13836" width="10.28515625" style="116" customWidth="1"/>
    <col min="13837" max="13837" width="18" style="116" bestFit="1" customWidth="1"/>
    <col min="13838" max="14022" width="9.140625" style="116"/>
    <col min="14023" max="14030" width="9.140625" style="116" customWidth="1"/>
    <col min="14031" max="14031" width="10.140625" style="116" customWidth="1"/>
    <col min="14032" max="14032" width="1" style="116" customWidth="1"/>
    <col min="14033" max="14035" width="3.28515625" style="116" customWidth="1"/>
    <col min="14036" max="14036" width="1.85546875" style="116" customWidth="1"/>
    <col min="14037" max="14037" width="17.85546875" style="116" customWidth="1"/>
    <col min="14038" max="14038" width="1.85546875" style="116" customWidth="1"/>
    <col min="14039" max="14041" width="3.28515625" style="116" customWidth="1"/>
    <col min="14042" max="14042" width="2.85546875" style="116" customWidth="1"/>
    <col min="14043" max="14043" width="1.85546875" style="116" customWidth="1"/>
    <col min="14044" max="14044" width="19.7109375" style="116" customWidth="1"/>
    <col min="14045" max="14045" width="1.85546875" style="116" customWidth="1"/>
    <col min="14046" max="14048" width="3" style="116" customWidth="1"/>
    <col min="14049" max="14049" width="4.42578125" style="116" customWidth="1"/>
    <col min="14050" max="14051" width="3" style="116" customWidth="1"/>
    <col min="14052" max="14057" width="3.28515625" style="116" customWidth="1"/>
    <col min="14058" max="14059" width="9.140625" style="116" customWidth="1"/>
    <col min="14060" max="14063" width="3.28515625" style="116" customWidth="1"/>
    <col min="14064" max="14064" width="4.140625" style="116" customWidth="1"/>
    <col min="14065" max="14065" width="1.7109375" style="116" customWidth="1"/>
    <col min="14066" max="14070" width="3.28515625" style="116" customWidth="1"/>
    <col min="14071" max="14071" width="1.7109375" style="116" customWidth="1"/>
    <col min="14072" max="14076" width="3.28515625" style="116" customWidth="1"/>
    <col min="14077" max="14082" width="9.140625" style="116" customWidth="1"/>
    <col min="14083" max="14083" width="1.7109375" style="116" customWidth="1"/>
    <col min="14084" max="14088" width="3.28515625" style="116" customWidth="1"/>
    <col min="14089" max="14089" width="1.7109375" style="116" customWidth="1"/>
    <col min="14090" max="14090" width="16.5703125" style="116" bestFit="1" customWidth="1"/>
    <col min="14091" max="14092" width="10.28515625" style="116" customWidth="1"/>
    <col min="14093" max="14093" width="18" style="116" bestFit="1" customWidth="1"/>
    <col min="14094" max="14278" width="9.140625" style="116"/>
    <col min="14279" max="14286" width="9.140625" style="116" customWidth="1"/>
    <col min="14287" max="14287" width="10.140625" style="116" customWidth="1"/>
    <col min="14288" max="14288" width="1" style="116" customWidth="1"/>
    <col min="14289" max="14291" width="3.28515625" style="116" customWidth="1"/>
    <col min="14292" max="14292" width="1.85546875" style="116" customWidth="1"/>
    <col min="14293" max="14293" width="17.85546875" style="116" customWidth="1"/>
    <col min="14294" max="14294" width="1.85546875" style="116" customWidth="1"/>
    <col min="14295" max="14297" width="3.28515625" style="116" customWidth="1"/>
    <col min="14298" max="14298" width="2.85546875" style="116" customWidth="1"/>
    <col min="14299" max="14299" width="1.85546875" style="116" customWidth="1"/>
    <col min="14300" max="14300" width="19.7109375" style="116" customWidth="1"/>
    <col min="14301" max="14301" width="1.85546875" style="116" customWidth="1"/>
    <col min="14302" max="14304" width="3" style="116" customWidth="1"/>
    <col min="14305" max="14305" width="4.42578125" style="116" customWidth="1"/>
    <col min="14306" max="14307" width="3" style="116" customWidth="1"/>
    <col min="14308" max="14313" width="3.28515625" style="116" customWidth="1"/>
    <col min="14314" max="14315" width="9.140625" style="116" customWidth="1"/>
    <col min="14316" max="14319" width="3.28515625" style="116" customWidth="1"/>
    <col min="14320" max="14320" width="4.140625" style="116" customWidth="1"/>
    <col min="14321" max="14321" width="1.7109375" style="116" customWidth="1"/>
    <col min="14322" max="14326" width="3.28515625" style="116" customWidth="1"/>
    <col min="14327" max="14327" width="1.7109375" style="116" customWidth="1"/>
    <col min="14328" max="14332" width="3.28515625" style="116" customWidth="1"/>
    <col min="14333" max="14338" width="9.140625" style="116" customWidth="1"/>
    <col min="14339" max="14339" width="1.7109375" style="116" customWidth="1"/>
    <col min="14340" max="14344" width="3.28515625" style="116" customWidth="1"/>
    <col min="14345" max="14345" width="1.7109375" style="116" customWidth="1"/>
    <col min="14346" max="14346" width="16.5703125" style="116" bestFit="1" customWidth="1"/>
    <col min="14347" max="14348" width="10.28515625" style="116" customWidth="1"/>
    <col min="14349" max="14349" width="18" style="116" bestFit="1" customWidth="1"/>
    <col min="14350" max="14534" width="9.140625" style="116"/>
    <col min="14535" max="14542" width="9.140625" style="116" customWidth="1"/>
    <col min="14543" max="14543" width="10.140625" style="116" customWidth="1"/>
    <col min="14544" max="14544" width="1" style="116" customWidth="1"/>
    <col min="14545" max="14547" width="3.28515625" style="116" customWidth="1"/>
    <col min="14548" max="14548" width="1.85546875" style="116" customWidth="1"/>
    <col min="14549" max="14549" width="17.85546875" style="116" customWidth="1"/>
    <col min="14550" max="14550" width="1.85546875" style="116" customWidth="1"/>
    <col min="14551" max="14553" width="3.28515625" style="116" customWidth="1"/>
    <col min="14554" max="14554" width="2.85546875" style="116" customWidth="1"/>
    <col min="14555" max="14555" width="1.85546875" style="116" customWidth="1"/>
    <col min="14556" max="14556" width="19.7109375" style="116" customWidth="1"/>
    <col min="14557" max="14557" width="1.85546875" style="116" customWidth="1"/>
    <col min="14558" max="14560" width="3" style="116" customWidth="1"/>
    <col min="14561" max="14561" width="4.42578125" style="116" customWidth="1"/>
    <col min="14562" max="14563" width="3" style="116" customWidth="1"/>
    <col min="14564" max="14569" width="3.28515625" style="116" customWidth="1"/>
    <col min="14570" max="14571" width="9.140625" style="116" customWidth="1"/>
    <col min="14572" max="14575" width="3.28515625" style="116" customWidth="1"/>
    <col min="14576" max="14576" width="4.140625" style="116" customWidth="1"/>
    <col min="14577" max="14577" width="1.7109375" style="116" customWidth="1"/>
    <col min="14578" max="14582" width="3.28515625" style="116" customWidth="1"/>
    <col min="14583" max="14583" width="1.7109375" style="116" customWidth="1"/>
    <col min="14584" max="14588" width="3.28515625" style="116" customWidth="1"/>
    <col min="14589" max="14594" width="9.140625" style="116" customWidth="1"/>
    <col min="14595" max="14595" width="1.7109375" style="116" customWidth="1"/>
    <col min="14596" max="14600" width="3.28515625" style="116" customWidth="1"/>
    <col min="14601" max="14601" width="1.7109375" style="116" customWidth="1"/>
    <col min="14602" max="14602" width="16.5703125" style="116" bestFit="1" customWidth="1"/>
    <col min="14603" max="14604" width="10.28515625" style="116" customWidth="1"/>
    <col min="14605" max="14605" width="18" style="116" bestFit="1" customWidth="1"/>
    <col min="14606" max="14790" width="9.140625" style="116"/>
    <col min="14791" max="14798" width="9.140625" style="116" customWidth="1"/>
    <col min="14799" max="14799" width="10.140625" style="116" customWidth="1"/>
    <col min="14800" max="14800" width="1" style="116" customWidth="1"/>
    <col min="14801" max="14803" width="3.28515625" style="116" customWidth="1"/>
    <col min="14804" max="14804" width="1.85546875" style="116" customWidth="1"/>
    <col min="14805" max="14805" width="17.85546875" style="116" customWidth="1"/>
    <col min="14806" max="14806" width="1.85546875" style="116" customWidth="1"/>
    <col min="14807" max="14809" width="3.28515625" style="116" customWidth="1"/>
    <col min="14810" max="14810" width="2.85546875" style="116" customWidth="1"/>
    <col min="14811" max="14811" width="1.85546875" style="116" customWidth="1"/>
    <col min="14812" max="14812" width="19.7109375" style="116" customWidth="1"/>
    <col min="14813" max="14813" width="1.85546875" style="116" customWidth="1"/>
    <col min="14814" max="14816" width="3" style="116" customWidth="1"/>
    <col min="14817" max="14817" width="4.42578125" style="116" customWidth="1"/>
    <col min="14818" max="14819" width="3" style="116" customWidth="1"/>
    <col min="14820" max="14825" width="3.28515625" style="116" customWidth="1"/>
    <col min="14826" max="14827" width="9.140625" style="116" customWidth="1"/>
    <col min="14828" max="14831" width="3.28515625" style="116" customWidth="1"/>
    <col min="14832" max="14832" width="4.140625" style="116" customWidth="1"/>
    <col min="14833" max="14833" width="1.7109375" style="116" customWidth="1"/>
    <col min="14834" max="14838" width="3.28515625" style="116" customWidth="1"/>
    <col min="14839" max="14839" width="1.7109375" style="116" customWidth="1"/>
    <col min="14840" max="14844" width="3.28515625" style="116" customWidth="1"/>
    <col min="14845" max="14850" width="9.140625" style="116" customWidth="1"/>
    <col min="14851" max="14851" width="1.7109375" style="116" customWidth="1"/>
    <col min="14852" max="14856" width="3.28515625" style="116" customWidth="1"/>
    <col min="14857" max="14857" width="1.7109375" style="116" customWidth="1"/>
    <col min="14858" max="14858" width="16.5703125" style="116" bestFit="1" customWidth="1"/>
    <col min="14859" max="14860" width="10.28515625" style="116" customWidth="1"/>
    <col min="14861" max="14861" width="18" style="116" bestFit="1" customWidth="1"/>
    <col min="14862" max="15046" width="9.140625" style="116"/>
    <col min="15047" max="15054" width="9.140625" style="116" customWidth="1"/>
    <col min="15055" max="15055" width="10.140625" style="116" customWidth="1"/>
    <col min="15056" max="15056" width="1" style="116" customWidth="1"/>
    <col min="15057" max="15059" width="3.28515625" style="116" customWidth="1"/>
    <col min="15060" max="15060" width="1.85546875" style="116" customWidth="1"/>
    <col min="15061" max="15061" width="17.85546875" style="116" customWidth="1"/>
    <col min="15062" max="15062" width="1.85546875" style="116" customWidth="1"/>
    <col min="15063" max="15065" width="3.28515625" style="116" customWidth="1"/>
    <col min="15066" max="15066" width="2.85546875" style="116" customWidth="1"/>
    <col min="15067" max="15067" width="1.85546875" style="116" customWidth="1"/>
    <col min="15068" max="15068" width="19.7109375" style="116" customWidth="1"/>
    <col min="15069" max="15069" width="1.85546875" style="116" customWidth="1"/>
    <col min="15070" max="15072" width="3" style="116" customWidth="1"/>
    <col min="15073" max="15073" width="4.42578125" style="116" customWidth="1"/>
    <col min="15074" max="15075" width="3" style="116" customWidth="1"/>
    <col min="15076" max="15081" width="3.28515625" style="116" customWidth="1"/>
    <col min="15082" max="15083" width="9.140625" style="116" customWidth="1"/>
    <col min="15084" max="15087" width="3.28515625" style="116" customWidth="1"/>
    <col min="15088" max="15088" width="4.140625" style="116" customWidth="1"/>
    <col min="15089" max="15089" width="1.7109375" style="116" customWidth="1"/>
    <col min="15090" max="15094" width="3.28515625" style="116" customWidth="1"/>
    <col min="15095" max="15095" width="1.7109375" style="116" customWidth="1"/>
    <col min="15096" max="15100" width="3.28515625" style="116" customWidth="1"/>
    <col min="15101" max="15106" width="9.140625" style="116" customWidth="1"/>
    <col min="15107" max="15107" width="1.7109375" style="116" customWidth="1"/>
    <col min="15108" max="15112" width="3.28515625" style="116" customWidth="1"/>
    <col min="15113" max="15113" width="1.7109375" style="116" customWidth="1"/>
    <col min="15114" max="15114" width="16.5703125" style="116" bestFit="1" customWidth="1"/>
    <col min="15115" max="15116" width="10.28515625" style="116" customWidth="1"/>
    <col min="15117" max="15117" width="18" style="116" bestFit="1" customWidth="1"/>
    <col min="15118" max="15302" width="9.140625" style="116"/>
    <col min="15303" max="15310" width="9.140625" style="116" customWidth="1"/>
    <col min="15311" max="15311" width="10.140625" style="116" customWidth="1"/>
    <col min="15312" max="15312" width="1" style="116" customWidth="1"/>
    <col min="15313" max="15315" width="3.28515625" style="116" customWidth="1"/>
    <col min="15316" max="15316" width="1.85546875" style="116" customWidth="1"/>
    <col min="15317" max="15317" width="17.85546875" style="116" customWidth="1"/>
    <col min="15318" max="15318" width="1.85546875" style="116" customWidth="1"/>
    <col min="15319" max="15321" width="3.28515625" style="116" customWidth="1"/>
    <col min="15322" max="15322" width="2.85546875" style="116" customWidth="1"/>
    <col min="15323" max="15323" width="1.85546875" style="116" customWidth="1"/>
    <col min="15324" max="15324" width="19.7109375" style="116" customWidth="1"/>
    <col min="15325" max="15325" width="1.85546875" style="116" customWidth="1"/>
    <col min="15326" max="15328" width="3" style="116" customWidth="1"/>
    <col min="15329" max="15329" width="4.42578125" style="116" customWidth="1"/>
    <col min="15330" max="15331" width="3" style="116" customWidth="1"/>
    <col min="15332" max="15337" width="3.28515625" style="116" customWidth="1"/>
    <col min="15338" max="15339" width="9.140625" style="116" customWidth="1"/>
    <col min="15340" max="15343" width="3.28515625" style="116" customWidth="1"/>
    <col min="15344" max="15344" width="4.140625" style="116" customWidth="1"/>
    <col min="15345" max="15345" width="1.7109375" style="116" customWidth="1"/>
    <col min="15346" max="15350" width="3.28515625" style="116" customWidth="1"/>
    <col min="15351" max="15351" width="1.7109375" style="116" customWidth="1"/>
    <col min="15352" max="15356" width="3.28515625" style="116" customWidth="1"/>
    <col min="15357" max="15362" width="9.140625" style="116" customWidth="1"/>
    <col min="15363" max="15363" width="1.7109375" style="116" customWidth="1"/>
    <col min="15364" max="15368" width="3.28515625" style="116" customWidth="1"/>
    <col min="15369" max="15369" width="1.7109375" style="116" customWidth="1"/>
    <col min="15370" max="15370" width="16.5703125" style="116" bestFit="1" customWidth="1"/>
    <col min="15371" max="15372" width="10.28515625" style="116" customWidth="1"/>
    <col min="15373" max="15373" width="18" style="116" bestFit="1" customWidth="1"/>
    <col min="15374" max="15558" width="9.140625" style="116"/>
    <col min="15559" max="15566" width="9.140625" style="116" customWidth="1"/>
    <col min="15567" max="15567" width="10.140625" style="116" customWidth="1"/>
    <col min="15568" max="15568" width="1" style="116" customWidth="1"/>
    <col min="15569" max="15571" width="3.28515625" style="116" customWidth="1"/>
    <col min="15572" max="15572" width="1.85546875" style="116" customWidth="1"/>
    <col min="15573" max="15573" width="17.85546875" style="116" customWidth="1"/>
    <col min="15574" max="15574" width="1.85546875" style="116" customWidth="1"/>
    <col min="15575" max="15577" width="3.28515625" style="116" customWidth="1"/>
    <col min="15578" max="15578" width="2.85546875" style="116" customWidth="1"/>
    <col min="15579" max="15579" width="1.85546875" style="116" customWidth="1"/>
    <col min="15580" max="15580" width="19.7109375" style="116" customWidth="1"/>
    <col min="15581" max="15581" width="1.85546875" style="116" customWidth="1"/>
    <col min="15582" max="15584" width="3" style="116" customWidth="1"/>
    <col min="15585" max="15585" width="4.42578125" style="116" customWidth="1"/>
    <col min="15586" max="15587" width="3" style="116" customWidth="1"/>
    <col min="15588" max="15593" width="3.28515625" style="116" customWidth="1"/>
    <col min="15594" max="15595" width="9.140625" style="116" customWidth="1"/>
    <col min="15596" max="15599" width="3.28515625" style="116" customWidth="1"/>
    <col min="15600" max="15600" width="4.140625" style="116" customWidth="1"/>
    <col min="15601" max="15601" width="1.7109375" style="116" customWidth="1"/>
    <col min="15602" max="15606" width="3.28515625" style="116" customWidth="1"/>
    <col min="15607" max="15607" width="1.7109375" style="116" customWidth="1"/>
    <col min="15608" max="15612" width="3.28515625" style="116" customWidth="1"/>
    <col min="15613" max="15618" width="9.140625" style="116" customWidth="1"/>
    <col min="15619" max="15619" width="1.7109375" style="116" customWidth="1"/>
    <col min="15620" max="15624" width="3.28515625" style="116" customWidth="1"/>
    <col min="15625" max="15625" width="1.7109375" style="116" customWidth="1"/>
    <col min="15626" max="15626" width="16.5703125" style="116" bestFit="1" customWidth="1"/>
    <col min="15627" max="15628" width="10.28515625" style="116" customWidth="1"/>
    <col min="15629" max="15629" width="18" style="116" bestFit="1" customWidth="1"/>
    <col min="15630" max="15814" width="9.140625" style="116"/>
    <col min="15815" max="15822" width="9.140625" style="116" customWidth="1"/>
    <col min="15823" max="15823" width="10.140625" style="116" customWidth="1"/>
    <col min="15824" max="15824" width="1" style="116" customWidth="1"/>
    <col min="15825" max="15827" width="3.28515625" style="116" customWidth="1"/>
    <col min="15828" max="15828" width="1.85546875" style="116" customWidth="1"/>
    <col min="15829" max="15829" width="17.85546875" style="116" customWidth="1"/>
    <col min="15830" max="15830" width="1.85546875" style="116" customWidth="1"/>
    <col min="15831" max="15833" width="3.28515625" style="116" customWidth="1"/>
    <col min="15834" max="15834" width="2.85546875" style="116" customWidth="1"/>
    <col min="15835" max="15835" width="1.85546875" style="116" customWidth="1"/>
    <col min="15836" max="15836" width="19.7109375" style="116" customWidth="1"/>
    <col min="15837" max="15837" width="1.85546875" style="116" customWidth="1"/>
    <col min="15838" max="15840" width="3" style="116" customWidth="1"/>
    <col min="15841" max="15841" width="4.42578125" style="116" customWidth="1"/>
    <col min="15842" max="15843" width="3" style="116" customWidth="1"/>
    <col min="15844" max="15849" width="3.28515625" style="116" customWidth="1"/>
    <col min="15850" max="15851" width="9.140625" style="116" customWidth="1"/>
    <col min="15852" max="15855" width="3.28515625" style="116" customWidth="1"/>
    <col min="15856" max="15856" width="4.140625" style="116" customWidth="1"/>
    <col min="15857" max="15857" width="1.7109375" style="116" customWidth="1"/>
    <col min="15858" max="15862" width="3.28515625" style="116" customWidth="1"/>
    <col min="15863" max="15863" width="1.7109375" style="116" customWidth="1"/>
    <col min="15864" max="15868" width="3.28515625" style="116" customWidth="1"/>
    <col min="15869" max="15874" width="9.140625" style="116" customWidth="1"/>
    <col min="15875" max="15875" width="1.7109375" style="116" customWidth="1"/>
    <col min="15876" max="15880" width="3.28515625" style="116" customWidth="1"/>
    <col min="15881" max="15881" width="1.7109375" style="116" customWidth="1"/>
    <col min="15882" max="15882" width="16.5703125" style="116" bestFit="1" customWidth="1"/>
    <col min="15883" max="15884" width="10.28515625" style="116" customWidth="1"/>
    <col min="15885" max="15885" width="18" style="116" bestFit="1" customWidth="1"/>
    <col min="15886" max="16070" width="9.140625" style="116"/>
    <col min="16071" max="16078" width="9.140625" style="116" customWidth="1"/>
    <col min="16079" max="16079" width="10.140625" style="116" customWidth="1"/>
    <col min="16080" max="16080" width="1" style="116" customWidth="1"/>
    <col min="16081" max="16083" width="3.28515625" style="116" customWidth="1"/>
    <col min="16084" max="16084" width="1.85546875" style="116" customWidth="1"/>
    <col min="16085" max="16085" width="17.85546875" style="116" customWidth="1"/>
    <col min="16086" max="16086" width="1.85546875" style="116" customWidth="1"/>
    <col min="16087" max="16089" width="3.28515625" style="116" customWidth="1"/>
    <col min="16090" max="16090" width="2.85546875" style="116" customWidth="1"/>
    <col min="16091" max="16091" width="1.85546875" style="116" customWidth="1"/>
    <col min="16092" max="16092" width="19.7109375" style="116" customWidth="1"/>
    <col min="16093" max="16093" width="1.85546875" style="116" customWidth="1"/>
    <col min="16094" max="16096" width="3" style="116" customWidth="1"/>
    <col min="16097" max="16097" width="4.42578125" style="116" customWidth="1"/>
    <col min="16098" max="16099" width="3" style="116" customWidth="1"/>
    <col min="16100" max="16105" width="3.28515625" style="116" customWidth="1"/>
    <col min="16106" max="16107" width="9.140625" style="116" customWidth="1"/>
    <col min="16108" max="16111" width="3.28515625" style="116" customWidth="1"/>
    <col min="16112" max="16112" width="4.140625" style="116" customWidth="1"/>
    <col min="16113" max="16113" width="1.7109375" style="116" customWidth="1"/>
    <col min="16114" max="16118" width="3.28515625" style="116" customWidth="1"/>
    <col min="16119" max="16119" width="1.7109375" style="116" customWidth="1"/>
    <col min="16120" max="16124" width="3.28515625" style="116" customWidth="1"/>
    <col min="16125" max="16130" width="9.140625" style="116" customWidth="1"/>
    <col min="16131" max="16131" width="1.7109375" style="116" customWidth="1"/>
    <col min="16132" max="16136" width="3.28515625" style="116" customWidth="1"/>
    <col min="16137" max="16137" width="1.7109375" style="116" customWidth="1"/>
    <col min="16138" max="16138" width="16.5703125" style="116" bestFit="1" customWidth="1"/>
    <col min="16139" max="16140" width="10.28515625" style="116" customWidth="1"/>
    <col min="16141" max="16141" width="18" style="116" bestFit="1" customWidth="1"/>
    <col min="16142" max="16384" width="9.140625" style="116"/>
  </cols>
  <sheetData>
    <row r="1" spans="1:29" s="108" customFormat="1" ht="15" customHeight="1">
      <c r="A1" s="513" t="s">
        <v>1512</v>
      </c>
      <c r="D1" s="514"/>
      <c r="F1" s="515"/>
      <c r="G1" s="515"/>
      <c r="S1" s="974" t="s">
        <v>2298</v>
      </c>
      <c r="T1" s="975"/>
      <c r="U1" s="975"/>
      <c r="V1" s="976"/>
      <c r="AC1" s="516"/>
    </row>
    <row r="2" spans="1:29" s="108" customFormat="1" ht="9.1999999999999993" customHeight="1" thickBot="1">
      <c r="D2" s="514"/>
      <c r="F2" s="515"/>
      <c r="G2" s="515"/>
      <c r="S2" s="977"/>
      <c r="T2" s="978"/>
      <c r="U2" s="978"/>
      <c r="V2" s="979"/>
      <c r="AC2" s="516"/>
    </row>
    <row r="3" spans="1:29" s="108" customFormat="1" ht="15" customHeight="1">
      <c r="A3" s="116" t="s">
        <v>1514</v>
      </c>
      <c r="D3" s="514"/>
      <c r="F3" s="515"/>
      <c r="G3" s="515"/>
      <c r="AC3" s="516"/>
    </row>
    <row r="4" spans="1:29" s="108" customFormat="1" ht="15" customHeight="1">
      <c r="A4" s="116" t="s">
        <v>1515</v>
      </c>
      <c r="D4" s="514"/>
      <c r="F4" s="515"/>
      <c r="G4" s="515"/>
      <c r="AC4" s="516"/>
    </row>
    <row r="5" spans="1:29" s="108" customFormat="1" ht="15" customHeight="1">
      <c r="D5" s="514"/>
      <c r="F5" s="515"/>
      <c r="G5" s="515"/>
      <c r="AC5" s="516"/>
    </row>
    <row r="6" spans="1:29" ht="27" customHeight="1">
      <c r="A6" s="517" t="s">
        <v>2299</v>
      </c>
      <c r="C6" s="518"/>
      <c r="D6" s="519"/>
      <c r="E6" s="518"/>
      <c r="F6" s="520"/>
      <c r="G6" s="520"/>
      <c r="H6" s="518"/>
      <c r="I6" s="518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521"/>
    </row>
    <row r="7" spans="1:29" ht="15" customHeight="1" thickBot="1">
      <c r="A7" s="117"/>
      <c r="B7" s="116"/>
      <c r="C7" s="120"/>
      <c r="E7" s="120"/>
      <c r="F7" s="522"/>
      <c r="G7" s="522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521"/>
    </row>
    <row r="8" spans="1:29" ht="23.45" customHeight="1" thickBot="1">
      <c r="A8" s="1033" t="s">
        <v>1517</v>
      </c>
      <c r="B8" s="1034"/>
      <c r="C8" s="1034"/>
      <c r="D8" s="1034"/>
      <c r="E8" s="1034"/>
      <c r="F8" s="1034"/>
      <c r="G8" s="1034"/>
      <c r="H8" s="1034"/>
      <c r="I8" s="1035"/>
      <c r="J8" s="120"/>
      <c r="K8" s="1033" t="s">
        <v>2300</v>
      </c>
      <c r="L8" s="1034"/>
      <c r="M8" s="1034"/>
      <c r="N8" s="1034"/>
      <c r="O8" s="1034"/>
      <c r="P8" s="1034"/>
      <c r="Q8" s="1034"/>
      <c r="R8" s="1034"/>
      <c r="S8" s="1034"/>
      <c r="T8" s="1034"/>
      <c r="U8" s="1034"/>
      <c r="V8" s="1034"/>
      <c r="W8" s="919"/>
      <c r="X8" s="923"/>
      <c r="Y8" s="923"/>
      <c r="Z8" s="923"/>
      <c r="AA8" s="923"/>
      <c r="AB8" s="923"/>
      <c r="AC8" s="521"/>
    </row>
    <row r="9" spans="1:29" ht="15" customHeight="1">
      <c r="A9" s="524"/>
      <c r="B9" s="128"/>
      <c r="C9" s="525"/>
      <c r="D9" s="128"/>
      <c r="E9" s="526"/>
      <c r="F9" s="526"/>
      <c r="G9" s="128"/>
      <c r="H9" s="128"/>
      <c r="I9" s="129"/>
      <c r="J9" s="120"/>
      <c r="K9" s="130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9"/>
      <c r="X9" s="136"/>
      <c r="Y9" s="136"/>
      <c r="Z9" s="136"/>
      <c r="AA9" s="136"/>
      <c r="AB9" s="136"/>
      <c r="AC9" s="521"/>
    </row>
    <row r="10" spans="1:29" ht="15" customHeight="1">
      <c r="A10" s="928" t="s">
        <v>1519</v>
      </c>
      <c r="B10" s="922"/>
      <c r="C10" s="936" t="s">
        <v>1520</v>
      </c>
      <c r="D10" s="527"/>
      <c r="F10" s="535"/>
      <c r="G10" s="117"/>
      <c r="H10" s="117"/>
      <c r="I10" s="133"/>
      <c r="J10" s="120"/>
      <c r="K10" s="528" t="s">
        <v>1521</v>
      </c>
      <c r="L10" s="529"/>
      <c r="M10" s="529"/>
      <c r="N10" s="529"/>
      <c r="O10" s="531">
        <v>2</v>
      </c>
      <c r="P10" s="531">
        <v>0</v>
      </c>
      <c r="Q10" s="531">
        <v>2</v>
      </c>
      <c r="R10" s="531">
        <v>0</v>
      </c>
      <c r="S10" s="152"/>
      <c r="T10" s="152"/>
      <c r="U10" s="152"/>
      <c r="V10" s="530"/>
      <c r="W10" s="532"/>
      <c r="X10" s="929"/>
      <c r="Y10" s="929"/>
      <c r="Z10" s="929"/>
      <c r="AA10" s="929"/>
      <c r="AB10" s="929"/>
      <c r="AC10" s="521"/>
    </row>
    <row r="11" spans="1:29">
      <c r="A11" s="533"/>
      <c r="B11" s="117"/>
      <c r="C11" s="534"/>
      <c r="D11" s="117"/>
      <c r="E11" s="535"/>
      <c r="F11" s="535"/>
      <c r="G11" s="117"/>
      <c r="H11" s="117"/>
      <c r="I11" s="133"/>
      <c r="J11" s="120"/>
      <c r="K11" s="138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33"/>
      <c r="X11" s="136"/>
      <c r="Y11" s="136"/>
      <c r="Z11" s="136"/>
      <c r="AA11" s="136"/>
      <c r="AB11" s="136"/>
      <c r="AC11" s="521"/>
    </row>
    <row r="12" spans="1:29" ht="15" customHeight="1">
      <c r="A12" s="533"/>
      <c r="B12" s="117"/>
      <c r="C12" s="534"/>
      <c r="D12" s="117"/>
      <c r="E12" s="535"/>
      <c r="F12" s="535"/>
      <c r="G12" s="117"/>
      <c r="H12" s="117"/>
      <c r="I12" s="133"/>
      <c r="J12" s="120"/>
      <c r="K12" s="134" t="s">
        <v>1522</v>
      </c>
      <c r="L12" s="135"/>
      <c r="M12" s="135"/>
      <c r="N12" s="135"/>
      <c r="O12" s="117">
        <v>1</v>
      </c>
      <c r="P12" s="132"/>
      <c r="Q12" s="117">
        <v>2</v>
      </c>
      <c r="R12" s="132"/>
      <c r="S12" s="117">
        <v>3</v>
      </c>
      <c r="T12" s="132"/>
      <c r="U12" s="117">
        <v>4</v>
      </c>
      <c r="V12" s="132"/>
      <c r="W12" s="133"/>
      <c r="X12" s="216"/>
      <c r="Y12" s="216"/>
      <c r="Z12" s="216"/>
      <c r="AA12" s="216"/>
      <c r="AB12" s="136"/>
      <c r="AC12" s="521"/>
    </row>
    <row r="13" spans="1:29" ht="10.15" customHeight="1">
      <c r="A13" s="533"/>
      <c r="B13" s="117"/>
      <c r="C13" s="534"/>
      <c r="D13" s="117"/>
      <c r="E13" s="535"/>
      <c r="F13" s="535"/>
      <c r="G13" s="117"/>
      <c r="H13" s="117"/>
      <c r="I13" s="133"/>
      <c r="J13" s="120"/>
      <c r="K13" s="138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33"/>
      <c r="X13" s="136"/>
      <c r="Y13" s="136"/>
      <c r="Z13" s="136"/>
      <c r="AA13" s="136"/>
      <c r="AB13" s="136"/>
      <c r="AC13" s="521"/>
    </row>
    <row r="14" spans="1:29" ht="15" customHeight="1">
      <c r="A14" s="533"/>
      <c r="B14" s="117"/>
      <c r="C14" s="534"/>
      <c r="D14" s="117"/>
      <c r="E14" s="535"/>
      <c r="F14" s="535"/>
      <c r="G14" s="117"/>
      <c r="H14" s="117"/>
      <c r="I14" s="133"/>
      <c r="J14" s="120"/>
      <c r="K14" s="134" t="s">
        <v>1523</v>
      </c>
      <c r="L14" s="135"/>
      <c r="M14" s="135"/>
      <c r="N14" s="135"/>
      <c r="O14" s="132"/>
      <c r="P14" s="135" t="s">
        <v>2301</v>
      </c>
      <c r="Q14" s="117"/>
      <c r="R14" s="152"/>
      <c r="S14" s="117"/>
      <c r="T14" s="117"/>
      <c r="U14" s="152"/>
      <c r="V14" s="132" t="s">
        <v>3478</v>
      </c>
      <c r="W14" s="931"/>
      <c r="X14" s="930"/>
      <c r="Y14" s="930"/>
      <c r="Z14" s="930"/>
      <c r="AA14" s="216"/>
      <c r="AB14" s="136"/>
      <c r="AC14" s="521"/>
    </row>
    <row r="15" spans="1:29" ht="15" customHeight="1" thickBot="1">
      <c r="A15" s="536"/>
      <c r="B15" s="143"/>
      <c r="C15" s="537"/>
      <c r="D15" s="143"/>
      <c r="E15" s="538"/>
      <c r="F15" s="538"/>
      <c r="G15" s="143"/>
      <c r="H15" s="143"/>
      <c r="I15" s="144"/>
      <c r="J15" s="120"/>
      <c r="K15" s="145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4"/>
      <c r="X15" s="136"/>
      <c r="Y15" s="136"/>
      <c r="Z15" s="136"/>
      <c r="AA15" s="136"/>
      <c r="AB15" s="136"/>
      <c r="AC15" s="521"/>
    </row>
    <row r="16" spans="1:29" ht="7.5" customHeight="1">
      <c r="A16" s="117"/>
      <c r="B16" s="152"/>
      <c r="C16" s="117"/>
      <c r="D16" s="534"/>
      <c r="E16" s="117"/>
      <c r="F16" s="535"/>
      <c r="G16" s="535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521"/>
    </row>
    <row r="17" spans="1:29" ht="7.5" customHeight="1">
      <c r="A17" s="117"/>
      <c r="B17" s="152"/>
      <c r="C17" s="117"/>
      <c r="D17" s="534"/>
      <c r="E17" s="117"/>
      <c r="F17" s="535"/>
      <c r="G17" s="535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521"/>
    </row>
    <row r="18" spans="1:29" ht="7.5" customHeight="1">
      <c r="A18" s="117"/>
      <c r="B18" s="152"/>
      <c r="C18" s="117"/>
      <c r="D18" s="534"/>
      <c r="E18" s="117"/>
      <c r="F18" s="535"/>
      <c r="G18" s="535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521"/>
    </row>
    <row r="19" spans="1:29" ht="7.5" customHeight="1" thickBot="1">
      <c r="B19" s="152"/>
      <c r="C19" s="117"/>
      <c r="D19" s="534"/>
      <c r="E19" s="117"/>
      <c r="F19" s="535"/>
      <c r="G19" s="535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521"/>
    </row>
    <row r="20" spans="1:29" ht="23.45" customHeight="1" thickBot="1">
      <c r="A20" s="523" t="s">
        <v>1525</v>
      </c>
      <c r="B20" s="932"/>
      <c r="C20" s="932"/>
      <c r="D20" s="932"/>
      <c r="E20" s="932"/>
      <c r="F20" s="932"/>
      <c r="G20" s="932"/>
      <c r="H20" s="932"/>
      <c r="I20" s="932"/>
      <c r="J20" s="932"/>
      <c r="K20" s="932"/>
      <c r="L20" s="932"/>
      <c r="M20" s="932"/>
      <c r="N20" s="932"/>
      <c r="O20" s="932"/>
      <c r="P20" s="932"/>
      <c r="Q20" s="932"/>
      <c r="R20" s="932"/>
      <c r="S20" s="932"/>
      <c r="T20" s="932"/>
      <c r="U20" s="932"/>
      <c r="V20" s="932"/>
      <c r="W20" s="933"/>
      <c r="X20" s="934"/>
      <c r="Y20" s="934"/>
      <c r="Z20" s="934"/>
      <c r="AA20" s="934"/>
      <c r="AB20" s="934"/>
      <c r="AC20" s="521"/>
    </row>
    <row r="21" spans="1:29" ht="15" customHeight="1">
      <c r="A21" s="539"/>
      <c r="B21" s="540"/>
      <c r="C21" s="149"/>
      <c r="D21" s="541"/>
      <c r="E21" s="149"/>
      <c r="F21" s="542"/>
      <c r="G21" s="543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5"/>
      <c r="X21" s="923"/>
      <c r="Y21" s="923"/>
      <c r="Z21" s="923"/>
      <c r="AA21" s="923"/>
      <c r="AB21" s="923"/>
      <c r="AC21" s="521"/>
    </row>
    <row r="22" spans="1:29" ht="15" customHeight="1">
      <c r="A22" s="138"/>
      <c r="B22" s="117"/>
      <c r="C22" s="117"/>
      <c r="D22" s="117"/>
      <c r="E22" s="139"/>
      <c r="F22" s="117"/>
      <c r="G22" s="935"/>
      <c r="H22" s="152"/>
      <c r="I22" s="139" t="s">
        <v>1526</v>
      </c>
      <c r="J22" s="132"/>
      <c r="K22" s="117"/>
      <c r="L22" s="117"/>
      <c r="M22" s="139" t="s">
        <v>1527</v>
      </c>
      <c r="N22" s="132"/>
      <c r="O22" s="117"/>
      <c r="P22" s="117"/>
      <c r="Q22" s="117"/>
      <c r="R22" s="117"/>
      <c r="S22" s="117"/>
      <c r="T22" s="117"/>
      <c r="U22" s="117"/>
      <c r="V22" s="117"/>
      <c r="W22" s="133"/>
      <c r="X22" s="136"/>
      <c r="Y22" s="136"/>
      <c r="Z22" s="136"/>
      <c r="AA22" s="136"/>
      <c r="AB22" s="136"/>
      <c r="AC22" s="521"/>
    </row>
    <row r="23" spans="1:29" ht="15" customHeight="1" thickBot="1">
      <c r="A23" s="145"/>
      <c r="B23" s="143"/>
      <c r="C23" s="143"/>
      <c r="D23" s="537"/>
      <c r="E23" s="143"/>
      <c r="F23" s="538"/>
      <c r="G23" s="538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4"/>
      <c r="X23" s="136"/>
      <c r="Y23" s="136"/>
      <c r="Z23" s="136"/>
      <c r="AA23" s="136"/>
      <c r="AB23" s="136"/>
      <c r="AC23" s="521"/>
    </row>
    <row r="24" spans="1:29" ht="7.5" customHeight="1">
      <c r="A24" s="117"/>
      <c r="B24" s="117"/>
      <c r="C24" s="117"/>
      <c r="D24" s="534"/>
      <c r="E24" s="117"/>
      <c r="F24" s="535"/>
      <c r="G24" s="535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521"/>
    </row>
    <row r="25" spans="1:29" ht="7.5" customHeight="1">
      <c r="A25" s="117"/>
      <c r="B25" s="117"/>
      <c r="C25" s="117"/>
      <c r="D25" s="534"/>
      <c r="E25" s="117"/>
      <c r="F25" s="535"/>
      <c r="G25" s="535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521"/>
    </row>
    <row r="26" spans="1:29" ht="21.75" customHeight="1" thickBot="1">
      <c r="A26" s="547"/>
      <c r="B26" s="547"/>
      <c r="C26" s="547"/>
      <c r="D26" s="534" t="s">
        <v>2302</v>
      </c>
      <c r="E26" s="547"/>
      <c r="F26" s="548"/>
      <c r="G26" s="548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47"/>
      <c r="Y26" s="549"/>
      <c r="Z26" s="549"/>
      <c r="AA26" s="549"/>
      <c r="AB26" s="549"/>
    </row>
    <row r="27" spans="1:29" ht="51.75" customHeight="1" thickBot="1">
      <c r="A27" s="550" t="s">
        <v>1528</v>
      </c>
      <c r="B27" s="551" t="s">
        <v>1529</v>
      </c>
      <c r="C27" s="552" t="s">
        <v>1530</v>
      </c>
      <c r="D27" s="360" t="s">
        <v>3489</v>
      </c>
      <c r="E27" s="360" t="s">
        <v>3486</v>
      </c>
      <c r="F27" s="553"/>
      <c r="G27" s="554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5"/>
      <c r="W27" s="555"/>
    </row>
    <row r="28" spans="1:29" s="560" customFormat="1" ht="24.95" customHeight="1">
      <c r="A28" s="556"/>
      <c r="B28" s="557" t="s">
        <v>2303</v>
      </c>
      <c r="C28" s="558" t="s">
        <v>2304</v>
      </c>
      <c r="D28" s="559">
        <f>+D29+D56+D93</f>
        <v>334493628.41000009</v>
      </c>
      <c r="E28" s="559">
        <f>+E29+E56+E93</f>
        <v>336858192.21999991</v>
      </c>
      <c r="F28" s="561"/>
      <c r="G28" s="562"/>
    </row>
    <row r="29" spans="1:29" s="560" customFormat="1" ht="24.95" customHeight="1">
      <c r="A29" s="563"/>
      <c r="B29" s="564" t="s">
        <v>2305</v>
      </c>
      <c r="C29" s="565" t="s">
        <v>2306</v>
      </c>
      <c r="D29" s="566">
        <f>+D30+D33+D36+D41+D42-D51</f>
        <v>1409037.0000000002</v>
      </c>
      <c r="E29" s="566">
        <f>+E30+E33+E36+E41+E42-E51</f>
        <v>1403804.5299999989</v>
      </c>
      <c r="F29" s="567"/>
      <c r="G29" s="562"/>
    </row>
    <row r="30" spans="1:29" s="572" customFormat="1" ht="24.95" customHeight="1">
      <c r="A30" s="568"/>
      <c r="B30" s="569" t="s">
        <v>2307</v>
      </c>
      <c r="C30" s="570" t="s">
        <v>2308</v>
      </c>
      <c r="D30" s="571">
        <f>+D31-D32</f>
        <v>0</v>
      </c>
      <c r="E30" s="571">
        <f>+E31-E32</f>
        <v>0</v>
      </c>
      <c r="F30" s="561"/>
      <c r="G30" s="562"/>
      <c r="J30" s="560"/>
      <c r="K30" s="560"/>
    </row>
    <row r="31" spans="1:29" s="576" customFormat="1" ht="24.95" customHeight="1">
      <c r="A31" s="165"/>
      <c r="B31" s="573" t="s">
        <v>2309</v>
      </c>
      <c r="C31" s="574" t="s">
        <v>2310</v>
      </c>
      <c r="D31" s="575">
        <f>+'SP Attivo Alim'!H4</f>
        <v>0</v>
      </c>
      <c r="E31" s="575">
        <f>+'SP Attivo Alim'!I4</f>
        <v>0</v>
      </c>
      <c r="F31" s="561"/>
      <c r="G31" s="577"/>
      <c r="J31" s="560"/>
      <c r="K31" s="560"/>
    </row>
    <row r="32" spans="1:29" s="576" customFormat="1" ht="24.95" customHeight="1">
      <c r="A32" s="165"/>
      <c r="B32" s="573" t="s">
        <v>2311</v>
      </c>
      <c r="C32" s="574" t="s">
        <v>2312</v>
      </c>
      <c r="D32" s="575">
        <f>+'Alimentazione SP P'!H33</f>
        <v>0</v>
      </c>
      <c r="E32" s="575">
        <f>+'Alimentazione SP P'!I33</f>
        <v>0</v>
      </c>
      <c r="F32" s="561"/>
      <c r="G32" s="577"/>
      <c r="J32" s="560"/>
      <c r="K32" s="560"/>
    </row>
    <row r="33" spans="1:11" s="576" customFormat="1" ht="24.95" customHeight="1">
      <c r="A33" s="578"/>
      <c r="B33" s="569" t="s">
        <v>2313</v>
      </c>
      <c r="C33" s="570" t="s">
        <v>2314</v>
      </c>
      <c r="D33" s="571">
        <f>+D34-D35</f>
        <v>0</v>
      </c>
      <c r="E33" s="571">
        <f>+E34-E35</f>
        <v>-1.0000000002037268E-2</v>
      </c>
      <c r="F33" s="561"/>
      <c r="G33" s="577"/>
      <c r="J33" s="560"/>
      <c r="K33" s="560"/>
    </row>
    <row r="34" spans="1:11" s="576" customFormat="1" ht="24.95" customHeight="1">
      <c r="A34" s="165"/>
      <c r="B34" s="573" t="s">
        <v>2315</v>
      </c>
      <c r="C34" s="574" t="s">
        <v>2316</v>
      </c>
      <c r="D34" s="575">
        <f>+'SP Attivo Alim'!H5</f>
        <v>60773.06</v>
      </c>
      <c r="E34" s="575">
        <f>+'SP Attivo Alim'!I5</f>
        <v>60773.06</v>
      </c>
      <c r="F34" s="561"/>
      <c r="G34" s="577"/>
      <c r="J34" s="560"/>
      <c r="K34" s="560"/>
    </row>
    <row r="35" spans="1:11" s="576" customFormat="1" ht="24.95" customHeight="1">
      <c r="A35" s="165"/>
      <c r="B35" s="573" t="s">
        <v>2317</v>
      </c>
      <c r="C35" s="574" t="s">
        <v>2318</v>
      </c>
      <c r="D35" s="575">
        <f>+'Alimentazione SP P'!H34</f>
        <v>60773.06</v>
      </c>
      <c r="E35" s="575">
        <f>+'Alimentazione SP P'!I34</f>
        <v>60773.07</v>
      </c>
      <c r="F35" s="561"/>
      <c r="G35" s="577"/>
      <c r="J35" s="560"/>
      <c r="K35" s="560"/>
    </row>
    <row r="36" spans="1:11" s="576" customFormat="1" ht="24.95" customHeight="1">
      <c r="A36" s="578"/>
      <c r="B36" s="569" t="s">
        <v>2319</v>
      </c>
      <c r="C36" s="570" t="s">
        <v>2320</v>
      </c>
      <c r="D36" s="571">
        <f>+D37-D38+D39-D40</f>
        <v>7278.97</v>
      </c>
      <c r="E36" s="571">
        <f>+E37-E38+E39-E40</f>
        <v>1557.6</v>
      </c>
      <c r="F36" s="561"/>
      <c r="G36" s="577"/>
      <c r="J36" s="560"/>
      <c r="K36" s="560"/>
    </row>
    <row r="37" spans="1:11" s="576" customFormat="1" ht="34.5" customHeight="1">
      <c r="A37" s="165"/>
      <c r="B37" s="573" t="s">
        <v>2321</v>
      </c>
      <c r="C37" s="574" t="s">
        <v>2322</v>
      </c>
      <c r="D37" s="575">
        <f>+'SP Attivo Alim'!H7</f>
        <v>0</v>
      </c>
      <c r="E37" s="575">
        <f>+'SP Attivo Alim'!I7</f>
        <v>0</v>
      </c>
      <c r="F37" s="561"/>
      <c r="G37" s="577"/>
      <c r="J37" s="560"/>
      <c r="K37" s="560"/>
    </row>
    <row r="38" spans="1:11" s="576" customFormat="1" ht="34.5" customHeight="1">
      <c r="A38" s="165"/>
      <c r="B38" s="573" t="s">
        <v>2323</v>
      </c>
      <c r="C38" s="574" t="s">
        <v>2324</v>
      </c>
      <c r="D38" s="575">
        <f>+'Alimentazione SP P'!H35</f>
        <v>0</v>
      </c>
      <c r="E38" s="575">
        <f>+'Alimentazione SP P'!I35</f>
        <v>0</v>
      </c>
      <c r="F38" s="561"/>
      <c r="G38" s="577"/>
      <c r="J38" s="560"/>
      <c r="K38" s="560"/>
    </row>
    <row r="39" spans="1:11" s="576" customFormat="1" ht="34.5" customHeight="1">
      <c r="A39" s="165"/>
      <c r="B39" s="573" t="s">
        <v>2325</v>
      </c>
      <c r="C39" s="574" t="s">
        <v>2326</v>
      </c>
      <c r="D39" s="575">
        <f>+'SP Attivo Alim'!H8</f>
        <v>7278.97</v>
      </c>
      <c r="E39" s="575">
        <f>+'SP Attivo Alim'!I8</f>
        <v>1557.6</v>
      </c>
      <c r="F39" s="561"/>
      <c r="G39" s="577"/>
      <c r="J39" s="560"/>
      <c r="K39" s="560"/>
    </row>
    <row r="40" spans="1:11" s="576" customFormat="1" ht="34.5" customHeight="1">
      <c r="A40" s="165"/>
      <c r="B40" s="573" t="s">
        <v>2327</v>
      </c>
      <c r="C40" s="574" t="s">
        <v>2328</v>
      </c>
      <c r="D40" s="575">
        <f>+'Alimentazione SP P'!H36</f>
        <v>0</v>
      </c>
      <c r="E40" s="575">
        <f>+'Alimentazione SP P'!I36</f>
        <v>0</v>
      </c>
      <c r="F40" s="561"/>
      <c r="G40" s="577"/>
      <c r="J40" s="560"/>
      <c r="K40" s="560"/>
    </row>
    <row r="41" spans="1:11" s="576" customFormat="1" ht="24.95" customHeight="1">
      <c r="A41" s="165"/>
      <c r="B41" s="579" t="s">
        <v>2329</v>
      </c>
      <c r="C41" s="580" t="s">
        <v>2330</v>
      </c>
      <c r="D41" s="575">
        <f>+'SP Attivo Alim'!H9</f>
        <v>92311.63</v>
      </c>
      <c r="E41" s="575">
        <f>+'SP Attivo Alim'!I9</f>
        <v>37480.15</v>
      </c>
      <c r="F41" s="561"/>
      <c r="G41" s="577"/>
      <c r="J41" s="560"/>
      <c r="K41" s="560"/>
    </row>
    <row r="42" spans="1:11" s="576" customFormat="1" ht="24.95" customHeight="1">
      <c r="A42" s="578"/>
      <c r="B42" s="569" t="s">
        <v>2331</v>
      </c>
      <c r="C42" s="570" t="s">
        <v>2332</v>
      </c>
      <c r="D42" s="571">
        <f>+D43-D44+D45-D46+D47-D48+D49-D50</f>
        <v>1309446.4000000001</v>
      </c>
      <c r="E42" s="571">
        <f>+E43-E44+E45-E46+E47-E48+E49-E50</f>
        <v>1364766.7899999989</v>
      </c>
      <c r="F42" s="561"/>
      <c r="G42" s="577"/>
      <c r="J42" s="560"/>
      <c r="K42" s="560"/>
    </row>
    <row r="43" spans="1:11" s="576" customFormat="1" ht="24.95" customHeight="1">
      <c r="A43" s="165"/>
      <c r="B43" s="573" t="s">
        <v>2333</v>
      </c>
      <c r="C43" s="574" t="s">
        <v>2334</v>
      </c>
      <c r="D43" s="575">
        <f>+'SP Attivo Alim'!H11</f>
        <v>5697760.0099999998</v>
      </c>
      <c r="E43" s="575">
        <f>+'SP Attivo Alim'!I11</f>
        <v>5526710.9499999993</v>
      </c>
      <c r="F43" s="561"/>
      <c r="G43" s="577"/>
      <c r="J43" s="917"/>
      <c r="K43" s="560"/>
    </row>
    <row r="44" spans="1:11" s="576" customFormat="1" ht="24.95" customHeight="1">
      <c r="A44" s="165"/>
      <c r="B44" s="573" t="s">
        <v>2335</v>
      </c>
      <c r="C44" s="574" t="s">
        <v>2336</v>
      </c>
      <c r="D44" s="575">
        <f>+'Alimentazione SP P'!H37</f>
        <v>5296761.43</v>
      </c>
      <c r="E44" s="575">
        <f>+'Alimentazione SP P'!I37</f>
        <v>5112782.4000000004</v>
      </c>
      <c r="F44" s="561"/>
      <c r="G44" s="577"/>
      <c r="J44" s="560"/>
      <c r="K44" s="560"/>
    </row>
    <row r="45" spans="1:11" s="576" customFormat="1" ht="24.95" customHeight="1">
      <c r="A45" s="165"/>
      <c r="B45" s="573" t="s">
        <v>2337</v>
      </c>
      <c r="C45" s="574" t="s">
        <v>2338</v>
      </c>
      <c r="D45" s="575">
        <f>+'SP Attivo Alim'!H12</f>
        <v>1394384.79</v>
      </c>
      <c r="E45" s="575">
        <f>+'SP Attivo Alim'!I12</f>
        <v>1394384.81</v>
      </c>
      <c r="F45" s="561"/>
      <c r="G45" s="577"/>
      <c r="J45" s="560"/>
      <c r="K45" s="560"/>
    </row>
    <row r="46" spans="1:11" s="576" customFormat="1" ht="24.95" customHeight="1">
      <c r="A46" s="165"/>
      <c r="B46" s="573" t="s">
        <v>2339</v>
      </c>
      <c r="C46" s="574" t="s">
        <v>2340</v>
      </c>
      <c r="D46" s="575">
        <f>+'Alimentazione SP P'!H38</f>
        <v>485936.97</v>
      </c>
      <c r="E46" s="575">
        <f>+'Alimentazione SP P'!I38</f>
        <v>443546.57</v>
      </c>
      <c r="F46" s="561"/>
      <c r="G46" s="577"/>
      <c r="J46" s="560"/>
      <c r="K46" s="560"/>
    </row>
    <row r="47" spans="1:11" s="576" customFormat="1" ht="24.95" customHeight="1">
      <c r="A47" s="165"/>
      <c r="B47" s="573" t="s">
        <v>2341</v>
      </c>
      <c r="C47" s="574" t="s">
        <v>2342</v>
      </c>
      <c r="D47" s="575">
        <f>+'SP Attivo Alim'!H13</f>
        <v>0</v>
      </c>
      <c r="E47" s="575">
        <f>+'SP Attivo Alim'!I13</f>
        <v>0</v>
      </c>
      <c r="F47" s="561"/>
      <c r="G47" s="577"/>
      <c r="J47" s="560"/>
      <c r="K47" s="560"/>
    </row>
    <row r="48" spans="1:11" s="576" customFormat="1" ht="24.95" customHeight="1">
      <c r="A48" s="165"/>
      <c r="B48" s="573" t="s">
        <v>2343</v>
      </c>
      <c r="C48" s="574" t="s">
        <v>2344</v>
      </c>
      <c r="D48" s="575">
        <f>+'Alimentazione SP P'!H39</f>
        <v>0</v>
      </c>
      <c r="E48" s="575">
        <f>+'Alimentazione SP P'!I39</f>
        <v>0</v>
      </c>
      <c r="F48" s="561"/>
      <c r="G48" s="577"/>
      <c r="J48" s="560"/>
      <c r="K48" s="560"/>
    </row>
    <row r="49" spans="1:11" s="576" customFormat="1" ht="24.95" customHeight="1">
      <c r="A49" s="165"/>
      <c r="B49" s="573" t="s">
        <v>2345</v>
      </c>
      <c r="C49" s="574" t="s">
        <v>2346</v>
      </c>
      <c r="D49" s="575">
        <f>+'SP Attivo Alim'!H14</f>
        <v>0</v>
      </c>
      <c r="E49" s="575">
        <f>+'SP Attivo Alim'!I14</f>
        <v>0</v>
      </c>
      <c r="F49" s="561"/>
      <c r="G49" s="577"/>
      <c r="J49" s="560"/>
      <c r="K49" s="560"/>
    </row>
    <row r="50" spans="1:11" s="576" customFormat="1" ht="24.95" customHeight="1">
      <c r="A50" s="165"/>
      <c r="B50" s="573" t="s">
        <v>2347</v>
      </c>
      <c r="C50" s="574" t="s">
        <v>2348</v>
      </c>
      <c r="D50" s="575">
        <f>+'Alimentazione SP P'!H40</f>
        <v>0</v>
      </c>
      <c r="E50" s="575">
        <f>+'Alimentazione SP P'!I40</f>
        <v>0</v>
      </c>
      <c r="F50" s="561"/>
      <c r="G50" s="577"/>
      <c r="J50" s="560"/>
      <c r="K50" s="560"/>
    </row>
    <row r="51" spans="1:11" s="576" customFormat="1" ht="24.95" customHeight="1">
      <c r="A51" s="578"/>
      <c r="B51" s="569" t="s">
        <v>2349</v>
      </c>
      <c r="C51" s="570" t="s">
        <v>2350</v>
      </c>
      <c r="D51" s="571">
        <f>SUM(D52:D55)</f>
        <v>0</v>
      </c>
      <c r="E51" s="571">
        <f>SUM(E52:E55)</f>
        <v>0</v>
      </c>
      <c r="F51" s="561"/>
      <c r="G51" s="577"/>
      <c r="J51" s="560"/>
      <c r="K51" s="560"/>
    </row>
    <row r="52" spans="1:11" s="576" customFormat="1" ht="24.95" customHeight="1">
      <c r="A52" s="581"/>
      <c r="B52" s="573" t="s">
        <v>2351</v>
      </c>
      <c r="C52" s="574" t="s">
        <v>2352</v>
      </c>
      <c r="D52" s="575">
        <f>+'Alimentazione SP P'!H50</f>
        <v>0</v>
      </c>
      <c r="E52" s="575">
        <f>+'Alimentazione SP P'!I50</f>
        <v>0</v>
      </c>
      <c r="F52" s="561"/>
      <c r="G52" s="577"/>
      <c r="J52" s="560"/>
      <c r="K52" s="560"/>
    </row>
    <row r="53" spans="1:11" s="576" customFormat="1" ht="24.95" customHeight="1">
      <c r="A53" s="165"/>
      <c r="B53" s="573" t="s">
        <v>2353</v>
      </c>
      <c r="C53" s="574" t="s">
        <v>2354</v>
      </c>
      <c r="D53" s="575">
        <f>+'Alimentazione SP P'!H51</f>
        <v>0</v>
      </c>
      <c r="E53" s="575">
        <f>+'Alimentazione SP P'!I51</f>
        <v>0</v>
      </c>
      <c r="F53" s="561"/>
      <c r="G53" s="577"/>
      <c r="J53" s="560"/>
      <c r="K53" s="560"/>
    </row>
    <row r="54" spans="1:11" s="576" customFormat="1" ht="24.95" customHeight="1">
      <c r="A54" s="165"/>
      <c r="B54" s="573" t="s">
        <v>2355</v>
      </c>
      <c r="C54" s="574" t="s">
        <v>2356</v>
      </c>
      <c r="D54" s="575">
        <f>+'Alimentazione SP P'!H52</f>
        <v>0</v>
      </c>
      <c r="E54" s="575">
        <f>+'Alimentazione SP P'!I52</f>
        <v>0</v>
      </c>
      <c r="F54" s="561"/>
      <c r="G54" s="577"/>
      <c r="J54" s="560"/>
      <c r="K54" s="560"/>
    </row>
    <row r="55" spans="1:11" s="576" customFormat="1" ht="24.95" customHeight="1" thickBot="1">
      <c r="A55" s="582"/>
      <c r="B55" s="583" t="s">
        <v>2357</v>
      </c>
      <c r="C55" s="584" t="s">
        <v>2358</v>
      </c>
      <c r="D55" s="575">
        <f>+'Alimentazione SP P'!H53</f>
        <v>0</v>
      </c>
      <c r="E55" s="575">
        <f>+'Alimentazione SP P'!I53</f>
        <v>0</v>
      </c>
      <c r="F55" s="561"/>
      <c r="G55" s="577"/>
      <c r="J55" s="560"/>
      <c r="K55" s="560"/>
    </row>
    <row r="56" spans="1:11" s="576" customFormat="1" ht="24.95" customHeight="1">
      <c r="A56" s="585"/>
      <c r="B56" s="586" t="s">
        <v>2359</v>
      </c>
      <c r="C56" s="587" t="s">
        <v>2360</v>
      </c>
      <c r="D56" s="588">
        <f>+D57+D60+D67+D70+D73+D76+D79+D80+D83-D84</f>
        <v>326132408.82000011</v>
      </c>
      <c r="E56" s="588">
        <f>+E57+E60+E67+E70+E73+E76+E79+E80+E83-E84</f>
        <v>329197026.90999997</v>
      </c>
      <c r="F56" s="567"/>
      <c r="G56" s="562"/>
      <c r="J56" s="560"/>
      <c r="K56" s="560"/>
    </row>
    <row r="57" spans="1:11" s="576" customFormat="1" ht="24.95" customHeight="1">
      <c r="A57" s="578"/>
      <c r="B57" s="569" t="s">
        <v>2361</v>
      </c>
      <c r="C57" s="570" t="s">
        <v>2362</v>
      </c>
      <c r="D57" s="571">
        <f>+D58+D59</f>
        <v>1843437.04</v>
      </c>
      <c r="E57" s="571">
        <f>+E58+E59</f>
        <v>1843437.05</v>
      </c>
      <c r="F57" s="561"/>
      <c r="G57" s="562"/>
      <c r="J57" s="560"/>
      <c r="K57" s="560"/>
    </row>
    <row r="58" spans="1:11" s="576" customFormat="1" ht="24.95" customHeight="1">
      <c r="A58" s="165"/>
      <c r="B58" s="573" t="s">
        <v>2363</v>
      </c>
      <c r="C58" s="574" t="s">
        <v>2364</v>
      </c>
      <c r="D58" s="575">
        <f>+'SP Attivo Alim'!H17</f>
        <v>497009.77</v>
      </c>
      <c r="E58" s="575">
        <f>+'SP Attivo Alim'!I17</f>
        <v>497009.78</v>
      </c>
      <c r="F58" s="561"/>
      <c r="G58" s="577"/>
      <c r="J58" s="560"/>
      <c r="K58" s="560"/>
    </row>
    <row r="59" spans="1:11" s="576" customFormat="1" ht="24.95" customHeight="1">
      <c r="A59" s="165"/>
      <c r="B59" s="573" t="s">
        <v>2365</v>
      </c>
      <c r="C59" s="574" t="s">
        <v>2366</v>
      </c>
      <c r="D59" s="575">
        <f>+'SP Attivo Alim'!H18</f>
        <v>1346427.27</v>
      </c>
      <c r="E59" s="575">
        <f>+'SP Attivo Alim'!I18</f>
        <v>1346427.27</v>
      </c>
      <c r="F59" s="561"/>
      <c r="G59" s="577"/>
      <c r="J59" s="560"/>
      <c r="K59" s="560"/>
    </row>
    <row r="60" spans="1:11" s="576" customFormat="1" ht="24.95" customHeight="1">
      <c r="A60" s="578"/>
      <c r="B60" s="569" t="s">
        <v>2367</v>
      </c>
      <c r="C60" s="570" t="s">
        <v>2368</v>
      </c>
      <c r="D60" s="571">
        <f>+D61+D64</f>
        <v>285871161.75</v>
      </c>
      <c r="E60" s="571">
        <f>+E61+E64</f>
        <v>299233984.97999996</v>
      </c>
      <c r="F60" s="561"/>
      <c r="G60" s="577"/>
      <c r="J60" s="560"/>
      <c r="K60" s="560"/>
    </row>
    <row r="61" spans="1:11" s="576" customFormat="1" ht="24.95" customHeight="1">
      <c r="A61" s="165"/>
      <c r="B61" s="573" t="s">
        <v>2369</v>
      </c>
      <c r="C61" s="574" t="s">
        <v>2370</v>
      </c>
      <c r="D61" s="575">
        <f>+D62-D63</f>
        <v>1150767.21</v>
      </c>
      <c r="E61" s="575">
        <f>+E62-E63</f>
        <v>1232010.0899999999</v>
      </c>
      <c r="F61" s="561"/>
      <c r="G61" s="577"/>
      <c r="J61" s="560"/>
      <c r="K61" s="560"/>
    </row>
    <row r="62" spans="1:11" s="576" customFormat="1" ht="24.95" customHeight="1">
      <c r="A62" s="165"/>
      <c r="B62" s="573" t="s">
        <v>2371</v>
      </c>
      <c r="C62" s="574" t="s">
        <v>2372</v>
      </c>
      <c r="D62" s="575">
        <f>+'SP Attivo Alim'!H20</f>
        <v>2708100.42</v>
      </c>
      <c r="E62" s="575">
        <f>+'SP Attivo Alim'!I20</f>
        <v>2708100.28</v>
      </c>
      <c r="F62" s="561"/>
      <c r="G62" s="577"/>
      <c r="J62" s="560"/>
      <c r="K62" s="560"/>
    </row>
    <row r="63" spans="1:11" s="576" customFormat="1" ht="24.95" customHeight="1">
      <c r="A63" s="165"/>
      <c r="B63" s="573" t="s">
        <v>2373</v>
      </c>
      <c r="C63" s="574" t="s">
        <v>2374</v>
      </c>
      <c r="D63" s="575">
        <f>+'Alimentazione SP P'!H42</f>
        <v>1557333.21</v>
      </c>
      <c r="E63" s="575">
        <f>+'Alimentazione SP P'!I42</f>
        <v>1476090.19</v>
      </c>
      <c r="F63" s="561"/>
      <c r="G63" s="577"/>
      <c r="J63" s="560"/>
      <c r="K63" s="560"/>
    </row>
    <row r="64" spans="1:11" s="576" customFormat="1" ht="24.95" customHeight="1">
      <c r="A64" s="165"/>
      <c r="B64" s="573" t="s">
        <v>2375</v>
      </c>
      <c r="C64" s="574" t="s">
        <v>2376</v>
      </c>
      <c r="D64" s="575">
        <f>+D65-D66</f>
        <v>284720394.54000002</v>
      </c>
      <c r="E64" s="575">
        <f>+E65-E66</f>
        <v>298001974.88999999</v>
      </c>
      <c r="F64" s="561"/>
      <c r="G64" s="577"/>
      <c r="J64" s="560"/>
      <c r="K64" s="560"/>
    </row>
    <row r="65" spans="1:11" s="576" customFormat="1" ht="24.95" customHeight="1">
      <c r="A65" s="165"/>
      <c r="B65" s="573" t="s">
        <v>2377</v>
      </c>
      <c r="C65" s="574" t="s">
        <v>2378</v>
      </c>
      <c r="D65" s="575">
        <f>+'SP Attivo Alim'!H21</f>
        <v>529548298.66000003</v>
      </c>
      <c r="E65" s="575">
        <f>+'SP Attivo Alim'!I21</f>
        <v>526983815.69</v>
      </c>
      <c r="F65" s="561"/>
      <c r="G65" s="577"/>
      <c r="J65" s="560"/>
      <c r="K65" s="560"/>
    </row>
    <row r="66" spans="1:11" s="576" customFormat="1" ht="24.95" customHeight="1">
      <c r="A66" s="165"/>
      <c r="B66" s="573" t="s">
        <v>2379</v>
      </c>
      <c r="C66" s="574" t="s">
        <v>2380</v>
      </c>
      <c r="D66" s="575">
        <f>+'Alimentazione SP P'!H43</f>
        <v>244827904.12</v>
      </c>
      <c r="E66" s="575">
        <f>+'Alimentazione SP P'!I43</f>
        <v>228981840.80000001</v>
      </c>
      <c r="F66" s="561"/>
      <c r="G66" s="577"/>
      <c r="J66" s="560"/>
      <c r="K66" s="560"/>
    </row>
    <row r="67" spans="1:11" s="576" customFormat="1" ht="24.95" customHeight="1">
      <c r="A67" s="578"/>
      <c r="B67" s="569" t="s">
        <v>2381</v>
      </c>
      <c r="C67" s="570" t="s">
        <v>2382</v>
      </c>
      <c r="D67" s="571">
        <f>+D68-D69</f>
        <v>2304012.0300000012</v>
      </c>
      <c r="E67" s="571">
        <f>+E68-E69</f>
        <v>2432929.8199999928</v>
      </c>
      <c r="F67" s="561"/>
      <c r="G67" s="577"/>
      <c r="J67" s="560"/>
      <c r="K67" s="560"/>
    </row>
    <row r="68" spans="1:11" s="576" customFormat="1" ht="24.95" customHeight="1">
      <c r="A68" s="165"/>
      <c r="B68" s="573" t="s">
        <v>2383</v>
      </c>
      <c r="C68" s="574" t="s">
        <v>2384</v>
      </c>
      <c r="D68" s="575">
        <f>+'SP Attivo Alim'!H22</f>
        <v>50706849.609999999</v>
      </c>
      <c r="E68" s="575">
        <f>+'SP Attivo Alim'!I22</f>
        <v>49963994.25</v>
      </c>
      <c r="F68" s="561"/>
      <c r="G68" s="577"/>
      <c r="J68" s="560"/>
      <c r="K68" s="560"/>
    </row>
    <row r="69" spans="1:11" s="576" customFormat="1" ht="24.95" customHeight="1">
      <c r="A69" s="165"/>
      <c r="B69" s="573" t="s">
        <v>2385</v>
      </c>
      <c r="C69" s="574" t="s">
        <v>2386</v>
      </c>
      <c r="D69" s="575">
        <f>+'Alimentazione SP P'!H44</f>
        <v>48402837.579999998</v>
      </c>
      <c r="E69" s="575">
        <f>+'Alimentazione SP P'!I44</f>
        <v>47531064.430000007</v>
      </c>
      <c r="F69" s="561"/>
      <c r="G69" s="577"/>
      <c r="J69" s="560"/>
      <c r="K69" s="560"/>
    </row>
    <row r="70" spans="1:11" s="576" customFormat="1" ht="24.95" customHeight="1">
      <c r="A70" s="578"/>
      <c r="B70" s="569" t="s">
        <v>2387</v>
      </c>
      <c r="C70" s="570" t="s">
        <v>2388</v>
      </c>
      <c r="D70" s="571">
        <f>+D71-D72</f>
        <v>18210492.090000004</v>
      </c>
      <c r="E70" s="571">
        <f>+E71-E72</f>
        <v>13663911.370000005</v>
      </c>
      <c r="F70" s="561"/>
      <c r="G70" s="577"/>
      <c r="J70" s="560"/>
      <c r="K70" s="560"/>
    </row>
    <row r="71" spans="1:11" s="576" customFormat="1" ht="24.95" customHeight="1">
      <c r="A71" s="165"/>
      <c r="B71" s="573" t="s">
        <v>2389</v>
      </c>
      <c r="C71" s="574" t="s">
        <v>2390</v>
      </c>
      <c r="D71" s="575">
        <f>+'SP Attivo Alim'!H23</f>
        <v>132825633.62</v>
      </c>
      <c r="E71" s="575">
        <f>+'SP Attivo Alim'!I23</f>
        <v>125211344.81</v>
      </c>
      <c r="F71" s="561"/>
      <c r="G71" s="577"/>
      <c r="J71" s="560"/>
      <c r="K71" s="560"/>
    </row>
    <row r="72" spans="1:11" s="576" customFormat="1" ht="24.95" customHeight="1">
      <c r="A72" s="165"/>
      <c r="B72" s="573" t="s">
        <v>2391</v>
      </c>
      <c r="C72" s="574" t="s">
        <v>2392</v>
      </c>
      <c r="D72" s="575">
        <f>+'Alimentazione SP P'!H45</f>
        <v>114615141.53</v>
      </c>
      <c r="E72" s="575">
        <f>+'Alimentazione SP P'!I45</f>
        <v>111547433.44</v>
      </c>
      <c r="F72" s="561"/>
      <c r="G72" s="577"/>
      <c r="J72" s="560"/>
      <c r="K72" s="560"/>
    </row>
    <row r="73" spans="1:11" s="576" customFormat="1" ht="24.95" customHeight="1">
      <c r="A73" s="578"/>
      <c r="B73" s="569" t="s">
        <v>2393</v>
      </c>
      <c r="C73" s="570" t="s">
        <v>2394</v>
      </c>
      <c r="D73" s="571">
        <f>+D74-D75</f>
        <v>989255.03999999911</v>
      </c>
      <c r="E73" s="571">
        <f>+E74-E75</f>
        <v>938051.3200000003</v>
      </c>
      <c r="F73" s="561"/>
      <c r="G73" s="577"/>
      <c r="J73" s="560"/>
      <c r="K73" s="560"/>
    </row>
    <row r="74" spans="1:11" s="576" customFormat="1" ht="24.95" customHeight="1">
      <c r="A74" s="165"/>
      <c r="B74" s="573" t="s">
        <v>2395</v>
      </c>
      <c r="C74" s="574" t="s">
        <v>2396</v>
      </c>
      <c r="D74" s="575">
        <f>+'SP Attivo Alim'!H24</f>
        <v>25009460.789999999</v>
      </c>
      <c r="E74" s="575">
        <f>+'SP Attivo Alim'!I24</f>
        <v>24206024.59</v>
      </c>
      <c r="F74" s="561"/>
      <c r="G74" s="577"/>
      <c r="J74" s="560"/>
      <c r="K74" s="560"/>
    </row>
    <row r="75" spans="1:11" s="576" customFormat="1" ht="24.95" customHeight="1">
      <c r="A75" s="165"/>
      <c r="B75" s="573" t="s">
        <v>2397</v>
      </c>
      <c r="C75" s="574" t="s">
        <v>2398</v>
      </c>
      <c r="D75" s="575">
        <f>+'Alimentazione SP P'!H46</f>
        <v>24020205.75</v>
      </c>
      <c r="E75" s="575">
        <f>+'Alimentazione SP P'!I46</f>
        <v>23267973.27</v>
      </c>
      <c r="F75" s="561"/>
      <c r="G75" s="577"/>
      <c r="J75" s="560"/>
      <c r="K75" s="560"/>
    </row>
    <row r="76" spans="1:11" s="576" customFormat="1" ht="24.95" customHeight="1">
      <c r="A76" s="578"/>
      <c r="B76" s="569" t="s">
        <v>2399</v>
      </c>
      <c r="C76" s="570" t="s">
        <v>2400</v>
      </c>
      <c r="D76" s="571">
        <f>+D77-D78</f>
        <v>675083.78000000026</v>
      </c>
      <c r="E76" s="571">
        <f>+E77-E78</f>
        <v>555965.46</v>
      </c>
      <c r="F76" s="561"/>
      <c r="G76" s="577"/>
      <c r="J76" s="560"/>
      <c r="K76" s="560"/>
    </row>
    <row r="77" spans="1:11" s="576" customFormat="1" ht="24.95" customHeight="1">
      <c r="A77" s="165"/>
      <c r="B77" s="573" t="s">
        <v>2401</v>
      </c>
      <c r="C77" s="574" t="s">
        <v>2402</v>
      </c>
      <c r="D77" s="575">
        <f>+'SP Attivo Alim'!H25</f>
        <v>5290437.17</v>
      </c>
      <c r="E77" s="575">
        <f>+'SP Attivo Alim'!I25</f>
        <v>5008986.12</v>
      </c>
      <c r="F77" s="561"/>
      <c r="G77" s="577"/>
      <c r="J77" s="560"/>
      <c r="K77" s="560"/>
    </row>
    <row r="78" spans="1:11" s="576" customFormat="1" ht="24.95" customHeight="1">
      <c r="A78" s="165"/>
      <c r="B78" s="573" t="s">
        <v>2403</v>
      </c>
      <c r="C78" s="574" t="s">
        <v>2404</v>
      </c>
      <c r="D78" s="575">
        <f>+'Alimentazione SP P'!H47</f>
        <v>4615353.3899999997</v>
      </c>
      <c r="E78" s="575">
        <f>+'Alimentazione SP P'!I47</f>
        <v>4453020.66</v>
      </c>
      <c r="F78" s="561"/>
      <c r="G78" s="577"/>
      <c r="J78" s="560"/>
      <c r="K78" s="560"/>
    </row>
    <row r="79" spans="1:11" s="576" customFormat="1" ht="24.95" customHeight="1">
      <c r="A79" s="165"/>
      <c r="B79" s="579" t="s">
        <v>2405</v>
      </c>
      <c r="C79" s="580" t="s">
        <v>2406</v>
      </c>
      <c r="D79" s="575">
        <f>+'SP Attivo Alim'!H26</f>
        <v>44348.36</v>
      </c>
      <c r="E79" s="575">
        <f>+'SP Attivo Alim'!I26</f>
        <v>41866</v>
      </c>
      <c r="F79" s="561"/>
      <c r="G79" s="577"/>
      <c r="J79" s="560"/>
      <c r="K79" s="560"/>
    </row>
    <row r="80" spans="1:11" s="576" customFormat="1" ht="24.95" customHeight="1">
      <c r="A80" s="578"/>
      <c r="B80" s="569" t="s">
        <v>2407</v>
      </c>
      <c r="C80" s="570" t="s">
        <v>2408</v>
      </c>
      <c r="D80" s="571">
        <f>+D81-D82</f>
        <v>2021811.4899999946</v>
      </c>
      <c r="E80" s="571">
        <f>+E81-E82</f>
        <v>2320335.6600000039</v>
      </c>
      <c r="F80" s="561"/>
      <c r="G80" s="577"/>
      <c r="J80" s="560"/>
      <c r="K80" s="560"/>
    </row>
    <row r="81" spans="1:11" s="576" customFormat="1" ht="24.95" customHeight="1">
      <c r="A81" s="165"/>
      <c r="B81" s="573" t="s">
        <v>2409</v>
      </c>
      <c r="C81" s="574" t="s">
        <v>2410</v>
      </c>
      <c r="D81" s="575">
        <f>+'SP Attivo Alim'!H27</f>
        <v>40050432.909999996</v>
      </c>
      <c r="E81" s="575">
        <f>+'SP Attivo Alim'!I27</f>
        <v>39063103.850000001</v>
      </c>
      <c r="F81" s="561"/>
      <c r="G81" s="577"/>
      <c r="J81" s="560"/>
      <c r="K81" s="560"/>
    </row>
    <row r="82" spans="1:11" s="576" customFormat="1" ht="24.95" customHeight="1">
      <c r="A82" s="165"/>
      <c r="B82" s="573" t="s">
        <v>2411</v>
      </c>
      <c r="C82" s="574" t="s">
        <v>2412</v>
      </c>
      <c r="D82" s="575">
        <f>+'Alimentazione SP P'!H48</f>
        <v>38028621.420000002</v>
      </c>
      <c r="E82" s="575">
        <f>+'Alimentazione SP P'!I48</f>
        <v>36742768.189999998</v>
      </c>
      <c r="F82" s="561"/>
      <c r="G82" s="577"/>
      <c r="J82" s="560"/>
      <c r="K82" s="560"/>
    </row>
    <row r="83" spans="1:11" s="576" customFormat="1" ht="24.95" customHeight="1">
      <c r="A83" s="165"/>
      <c r="B83" s="579" t="s">
        <v>2413</v>
      </c>
      <c r="C83" s="580" t="s">
        <v>2414</v>
      </c>
      <c r="D83" s="575">
        <f>+'SP Attivo Alim'!H28</f>
        <v>14172807.24</v>
      </c>
      <c r="E83" s="575">
        <f>+'SP Attivo Alim'!I28</f>
        <v>8166545.25</v>
      </c>
      <c r="F83" s="561"/>
      <c r="G83" s="577"/>
      <c r="J83" s="560"/>
      <c r="K83" s="560"/>
    </row>
    <row r="84" spans="1:11" s="576" customFormat="1" ht="24.95" customHeight="1">
      <c r="A84" s="578"/>
      <c r="B84" s="569" t="s">
        <v>2415</v>
      </c>
      <c r="C84" s="570" t="s">
        <v>2416</v>
      </c>
      <c r="D84" s="571">
        <f>SUM(D85:D92)</f>
        <v>0</v>
      </c>
      <c r="E84" s="571">
        <f>SUM(E85:E92)</f>
        <v>0</v>
      </c>
      <c r="F84" s="561"/>
      <c r="G84" s="577"/>
      <c r="J84" s="560"/>
      <c r="K84" s="560"/>
    </row>
    <row r="85" spans="1:11" s="576" customFormat="1" ht="24.95" customHeight="1">
      <c r="A85" s="165"/>
      <c r="B85" s="573" t="s">
        <v>2417</v>
      </c>
      <c r="C85" s="574" t="s">
        <v>2418</v>
      </c>
      <c r="D85" s="575">
        <f>+'Alimentazione SP P'!H55+'Alimentazione SP P'!H56</f>
        <v>0</v>
      </c>
      <c r="E85" s="575">
        <f>+'Alimentazione SP P'!I55+'Alimentazione SP P'!I56</f>
        <v>0</v>
      </c>
      <c r="F85" s="561"/>
      <c r="G85" s="577"/>
      <c r="J85" s="560"/>
      <c r="K85" s="560"/>
    </row>
    <row r="86" spans="1:11" s="576" customFormat="1" ht="24.95" customHeight="1">
      <c r="A86" s="165"/>
      <c r="B86" s="573" t="s">
        <v>2419</v>
      </c>
      <c r="C86" s="574" t="s">
        <v>2420</v>
      </c>
      <c r="D86" s="575">
        <f>+'Alimentazione SP P'!H57+'Alimentazione SP P'!H58</f>
        <v>0</v>
      </c>
      <c r="E86" s="575">
        <f>+'Alimentazione SP P'!I57+'Alimentazione SP P'!I58</f>
        <v>0</v>
      </c>
      <c r="F86" s="561"/>
      <c r="G86" s="577"/>
      <c r="J86" s="560"/>
      <c r="K86" s="560"/>
    </row>
    <row r="87" spans="1:11" s="576" customFormat="1" ht="24.95" customHeight="1">
      <c r="A87" s="165"/>
      <c r="B87" s="573" t="s">
        <v>2421</v>
      </c>
      <c r="C87" s="574" t="s">
        <v>2422</v>
      </c>
      <c r="D87" s="575">
        <f>+'Alimentazione SP P'!H59</f>
        <v>0</v>
      </c>
      <c r="E87" s="575">
        <f>+'Alimentazione SP P'!I59</f>
        <v>0</v>
      </c>
      <c r="F87" s="561"/>
      <c r="G87" s="577"/>
      <c r="J87" s="560"/>
      <c r="K87" s="560"/>
    </row>
    <row r="88" spans="1:11" s="576" customFormat="1" ht="24.95" customHeight="1">
      <c r="A88" s="165"/>
      <c r="B88" s="573" t="s">
        <v>2423</v>
      </c>
      <c r="C88" s="574" t="s">
        <v>2424</v>
      </c>
      <c r="D88" s="575">
        <f>+'Alimentazione SP P'!H60</f>
        <v>0</v>
      </c>
      <c r="E88" s="575">
        <f>+'Alimentazione SP P'!I60</f>
        <v>0</v>
      </c>
      <c r="F88" s="561"/>
      <c r="G88" s="577"/>
      <c r="J88" s="560"/>
      <c r="K88" s="560"/>
    </row>
    <row r="89" spans="1:11" s="576" customFormat="1" ht="24.95" customHeight="1">
      <c r="A89" s="165"/>
      <c r="B89" s="573" t="s">
        <v>2425</v>
      </c>
      <c r="C89" s="574" t="s">
        <v>2426</v>
      </c>
      <c r="D89" s="575">
        <f>+'Alimentazione SP P'!H61</f>
        <v>0</v>
      </c>
      <c r="E89" s="575">
        <f>+'Alimentazione SP P'!I61</f>
        <v>0</v>
      </c>
      <c r="F89" s="561"/>
      <c r="G89" s="577"/>
      <c r="J89" s="560"/>
      <c r="K89" s="560"/>
    </row>
    <row r="90" spans="1:11" s="576" customFormat="1" ht="24.95" customHeight="1">
      <c r="A90" s="165"/>
      <c r="B90" s="573" t="s">
        <v>2427</v>
      </c>
      <c r="C90" s="574" t="s">
        <v>2428</v>
      </c>
      <c r="D90" s="575">
        <f>+'Alimentazione SP P'!H62</f>
        <v>0</v>
      </c>
      <c r="E90" s="575">
        <f>+'Alimentazione SP P'!I62</f>
        <v>0</v>
      </c>
      <c r="F90" s="561"/>
      <c r="G90" s="577"/>
      <c r="J90" s="560"/>
      <c r="K90" s="560"/>
    </row>
    <row r="91" spans="1:11" s="576" customFormat="1" ht="24.95" customHeight="1">
      <c r="A91" s="165"/>
      <c r="B91" s="573" t="s">
        <v>2429</v>
      </c>
      <c r="C91" s="574" t="s">
        <v>2430</v>
      </c>
      <c r="D91" s="575">
        <f>+'Alimentazione SP P'!H63</f>
        <v>0</v>
      </c>
      <c r="E91" s="575">
        <f>+'Alimentazione SP P'!I63</f>
        <v>0</v>
      </c>
      <c r="F91" s="561"/>
      <c r="G91" s="577"/>
      <c r="J91" s="560"/>
      <c r="K91" s="560"/>
    </row>
    <row r="92" spans="1:11" s="576" customFormat="1" ht="24.95" customHeight="1" thickBot="1">
      <c r="A92" s="582"/>
      <c r="B92" s="583" t="s">
        <v>2431</v>
      </c>
      <c r="C92" s="584" t="s">
        <v>2432</v>
      </c>
      <c r="D92" s="575">
        <f>+'Alimentazione SP P'!H64</f>
        <v>0</v>
      </c>
      <c r="E92" s="575">
        <f>+'Alimentazione SP P'!I64</f>
        <v>0</v>
      </c>
      <c r="F92" s="561"/>
      <c r="G92" s="577"/>
      <c r="J92" s="560"/>
      <c r="K92" s="560"/>
    </row>
    <row r="93" spans="1:11" s="576" customFormat="1" ht="24.95" customHeight="1">
      <c r="A93" s="585"/>
      <c r="B93" s="586" t="s">
        <v>2433</v>
      </c>
      <c r="C93" s="587" t="s">
        <v>2434</v>
      </c>
      <c r="D93" s="588">
        <f>+D94+D99</f>
        <v>6952182.5899999999</v>
      </c>
      <c r="E93" s="588">
        <f>+E94+E99</f>
        <v>6257360.7800000003</v>
      </c>
      <c r="F93" s="561"/>
      <c r="G93" s="577"/>
      <c r="J93" s="560"/>
      <c r="K93" s="560"/>
    </row>
    <row r="94" spans="1:11" s="576" customFormat="1" ht="24.95" customHeight="1">
      <c r="A94" s="578"/>
      <c r="B94" s="569" t="s">
        <v>2435</v>
      </c>
      <c r="C94" s="570" t="s">
        <v>2436</v>
      </c>
      <c r="D94" s="571">
        <f>SUM(D95:D98)</f>
        <v>6952182.5899999999</v>
      </c>
      <c r="E94" s="571">
        <f>SUM(E95:E98)</f>
        <v>6257360.7800000003</v>
      </c>
      <c r="F94" s="561"/>
      <c r="G94" s="577"/>
      <c r="J94" s="560"/>
      <c r="K94" s="560"/>
    </row>
    <row r="95" spans="1:11" s="576" customFormat="1" ht="24.95" customHeight="1">
      <c r="A95" s="165"/>
      <c r="B95" s="573" t="s">
        <v>2437</v>
      </c>
      <c r="C95" s="574" t="s">
        <v>2438</v>
      </c>
      <c r="D95" s="575">
        <f>+'SP Attivo Alim'!H31-'Alimentazione SP P'!H66</f>
        <v>0</v>
      </c>
      <c r="E95" s="575">
        <f>+'SP Attivo Alim'!I31-'Alimentazione SP P'!I66</f>
        <v>0</v>
      </c>
      <c r="F95" s="561"/>
      <c r="G95" s="577"/>
      <c r="J95" s="560"/>
      <c r="K95" s="560"/>
    </row>
    <row r="96" spans="1:11" s="576" customFormat="1" ht="24.95" customHeight="1">
      <c r="A96" s="165"/>
      <c r="B96" s="573" t="s">
        <v>2439</v>
      </c>
      <c r="C96" s="574" t="s">
        <v>2440</v>
      </c>
      <c r="D96" s="575">
        <f>+'SP Attivo Alim'!H32-'Alimentazione SP P'!H67</f>
        <v>6858338.2800000003</v>
      </c>
      <c r="E96" s="575">
        <f>+'SP Attivo Alim'!I32-'Alimentazione SP P'!I67</f>
        <v>6163516.4700000007</v>
      </c>
      <c r="F96" s="561"/>
      <c r="G96" s="577"/>
      <c r="J96" s="560"/>
      <c r="K96" s="560"/>
    </row>
    <row r="97" spans="1:11" s="576" customFormat="1" ht="24.95" customHeight="1">
      <c r="A97" s="165"/>
      <c r="B97" s="573" t="s">
        <v>2441</v>
      </c>
      <c r="C97" s="574" t="s">
        <v>2442</v>
      </c>
      <c r="D97" s="575">
        <f>+'SP Attivo Alim'!H33-'Alimentazione SP P'!H68</f>
        <v>0</v>
      </c>
      <c r="E97" s="575">
        <f>+'SP Attivo Alim'!I33-'Alimentazione SP P'!I68</f>
        <v>0</v>
      </c>
      <c r="F97" s="561"/>
      <c r="G97" s="577"/>
      <c r="J97" s="560"/>
      <c r="K97" s="560"/>
    </row>
    <row r="98" spans="1:11" s="576" customFormat="1" ht="24.95" customHeight="1">
      <c r="A98" s="165"/>
      <c r="B98" s="573" t="s">
        <v>2443</v>
      </c>
      <c r="C98" s="574" t="s">
        <v>2444</v>
      </c>
      <c r="D98" s="575">
        <f>+'SP Attivo Alim'!H35+'SP Attivo Alim'!H36+'SP Attivo Alim'!H37-'Alimentazione SP P'!H69</f>
        <v>93844.31</v>
      </c>
      <c r="E98" s="575">
        <f>+'SP Attivo Alim'!I35+'SP Attivo Alim'!I36+'SP Attivo Alim'!I37-'Alimentazione SP P'!I69</f>
        <v>93844.31</v>
      </c>
      <c r="F98" s="561"/>
      <c r="G98" s="577"/>
      <c r="J98" s="560"/>
      <c r="K98" s="560"/>
    </row>
    <row r="99" spans="1:11" s="576" customFormat="1" ht="24.95" customHeight="1">
      <c r="A99" s="578"/>
      <c r="B99" s="569" t="s">
        <v>2445</v>
      </c>
      <c r="C99" s="570" t="s">
        <v>2446</v>
      </c>
      <c r="D99" s="571">
        <f>+D100+D101</f>
        <v>0</v>
      </c>
      <c r="E99" s="571">
        <f>+E100+E101</f>
        <v>0</v>
      </c>
      <c r="F99" s="561"/>
      <c r="G99" s="577"/>
      <c r="J99" s="560"/>
      <c r="K99" s="560"/>
    </row>
    <row r="100" spans="1:11" s="576" customFormat="1" ht="24.95" customHeight="1">
      <c r="A100" s="165"/>
      <c r="B100" s="573" t="s">
        <v>2447</v>
      </c>
      <c r="C100" s="574" t="s">
        <v>2448</v>
      </c>
      <c r="D100" s="575">
        <f>+'SP Attivo Alim'!H39</f>
        <v>0</v>
      </c>
      <c r="E100" s="575">
        <f>+'SP Attivo Alim'!I39</f>
        <v>0</v>
      </c>
      <c r="F100" s="561"/>
      <c r="G100" s="577"/>
      <c r="J100" s="560"/>
      <c r="K100" s="560"/>
    </row>
    <row r="101" spans="1:11" s="576" customFormat="1" ht="24.95" customHeight="1">
      <c r="A101" s="165"/>
      <c r="B101" s="573" t="s">
        <v>2449</v>
      </c>
      <c r="C101" s="574" t="s">
        <v>2450</v>
      </c>
      <c r="D101" s="575">
        <f>SUM(D102:D105)</f>
        <v>0</v>
      </c>
      <c r="E101" s="575">
        <f>SUM(E102:E105)</f>
        <v>0</v>
      </c>
      <c r="F101" s="561"/>
      <c r="G101" s="577"/>
      <c r="J101" s="560"/>
      <c r="K101" s="560"/>
    </row>
    <row r="102" spans="1:11" s="576" customFormat="1" ht="24.95" customHeight="1">
      <c r="A102" s="165"/>
      <c r="B102" s="573" t="s">
        <v>2451</v>
      </c>
      <c r="C102" s="574" t="s">
        <v>2452</v>
      </c>
      <c r="D102" s="575">
        <f>+'SP Attivo Alim'!H41</f>
        <v>0</v>
      </c>
      <c r="E102" s="575">
        <f>+'SP Attivo Alim'!I41</f>
        <v>0</v>
      </c>
      <c r="F102" s="561"/>
      <c r="G102" s="577"/>
      <c r="J102" s="560"/>
      <c r="K102" s="560"/>
    </row>
    <row r="103" spans="1:11" s="576" customFormat="1" ht="24.95" customHeight="1">
      <c r="A103" s="165"/>
      <c r="B103" s="573" t="s">
        <v>2453</v>
      </c>
      <c r="C103" s="574" t="s">
        <v>2454</v>
      </c>
      <c r="D103" s="575">
        <f>+'SP Attivo Alim'!H42</f>
        <v>0</v>
      </c>
      <c r="E103" s="575">
        <f>+'SP Attivo Alim'!I42</f>
        <v>0</v>
      </c>
      <c r="F103" s="561"/>
      <c r="G103" s="577"/>
      <c r="J103" s="560"/>
      <c r="K103" s="560"/>
    </row>
    <row r="104" spans="1:11" s="576" customFormat="1" ht="24.95" customHeight="1">
      <c r="A104" s="165"/>
      <c r="B104" s="573" t="s">
        <v>2455</v>
      </c>
      <c r="C104" s="574" t="s">
        <v>2456</v>
      </c>
      <c r="D104" s="575">
        <f>+'SP Attivo Alim'!H43</f>
        <v>0</v>
      </c>
      <c r="E104" s="575">
        <f>+'SP Attivo Alim'!I43</f>
        <v>0</v>
      </c>
      <c r="F104" s="561"/>
      <c r="G104" s="577"/>
      <c r="J104" s="560"/>
      <c r="K104" s="560"/>
    </row>
    <row r="105" spans="1:11" s="576" customFormat="1" ht="24.95" customHeight="1" thickBot="1">
      <c r="A105" s="582"/>
      <c r="B105" s="583" t="s">
        <v>2457</v>
      </c>
      <c r="C105" s="584" t="s">
        <v>2458</v>
      </c>
      <c r="D105" s="575">
        <f>+'SP Attivo Alim'!H44</f>
        <v>0</v>
      </c>
      <c r="E105" s="575">
        <f>+'SP Attivo Alim'!I44</f>
        <v>0</v>
      </c>
      <c r="F105" s="561"/>
      <c r="G105" s="577"/>
      <c r="J105" s="560"/>
      <c r="K105" s="560"/>
    </row>
    <row r="106" spans="1:11" s="576" customFormat="1" ht="24.95" customHeight="1">
      <c r="A106" s="556"/>
      <c r="B106" s="557" t="s">
        <v>2459</v>
      </c>
      <c r="C106" s="558" t="s">
        <v>2460</v>
      </c>
      <c r="D106" s="589">
        <f>+D107+D126+D190+D193</f>
        <v>482629638.90000004</v>
      </c>
      <c r="E106" s="589">
        <f>+E107+E126+E190+E193</f>
        <v>402095002.83743</v>
      </c>
      <c r="F106" s="561"/>
      <c r="G106" s="577"/>
      <c r="J106" s="560"/>
      <c r="K106" s="560"/>
    </row>
    <row r="107" spans="1:11" s="576" customFormat="1" ht="24.95" customHeight="1">
      <c r="A107" s="563"/>
      <c r="B107" s="564" t="s">
        <v>2461</v>
      </c>
      <c r="C107" s="565" t="s">
        <v>2462</v>
      </c>
      <c r="D107" s="566">
        <f>+D108+D118</f>
        <v>6052925.7999999989</v>
      </c>
      <c r="E107" s="566">
        <f>+E108+E118</f>
        <v>4559725.7874300005</v>
      </c>
      <c r="F107" s="561"/>
      <c r="G107" s="577"/>
      <c r="J107" s="560"/>
      <c r="K107" s="560"/>
    </row>
    <row r="108" spans="1:11" s="576" customFormat="1" ht="24.95" customHeight="1">
      <c r="A108" s="578"/>
      <c r="B108" s="569" t="s">
        <v>2463</v>
      </c>
      <c r="C108" s="570" t="s">
        <v>2464</v>
      </c>
      <c r="D108" s="571">
        <f>SUM(D109:D117)</f>
        <v>5440415.6099999994</v>
      </c>
      <c r="E108" s="571">
        <f>SUM(E109:E117)</f>
        <v>4357531.5578300003</v>
      </c>
      <c r="F108" s="561"/>
      <c r="G108" s="577"/>
      <c r="J108" s="560"/>
      <c r="K108" s="560"/>
    </row>
    <row r="109" spans="1:11" s="576" customFormat="1" ht="24.95" customHeight="1">
      <c r="A109" s="165"/>
      <c r="B109" s="573" t="s">
        <v>2465</v>
      </c>
      <c r="C109" s="574" t="s">
        <v>2466</v>
      </c>
      <c r="D109" s="575">
        <f>+'SP Attivo Alim'!H48+'SP Attivo Alim'!H49+'SP Attivo Alim'!H50</f>
        <v>333873.40999999997</v>
      </c>
      <c r="E109" s="575">
        <f>+'SP Attivo Alim'!I48+'SP Attivo Alim'!I49+'SP Attivo Alim'!I50</f>
        <v>915074.90536999993</v>
      </c>
      <c r="F109" s="561"/>
      <c r="G109" s="577"/>
      <c r="J109" s="560"/>
      <c r="K109" s="560"/>
    </row>
    <row r="110" spans="1:11" s="576" customFormat="1" ht="24.95" customHeight="1">
      <c r="A110" s="165"/>
      <c r="B110" s="573" t="s">
        <v>2467</v>
      </c>
      <c r="C110" s="574" t="s">
        <v>2468</v>
      </c>
      <c r="D110" s="575">
        <f>+'SP Attivo Alim'!H51</f>
        <v>0</v>
      </c>
      <c r="E110" s="575">
        <f>+'SP Attivo Alim'!I51</f>
        <v>0</v>
      </c>
      <c r="F110" s="561"/>
      <c r="G110" s="577"/>
      <c r="J110" s="560"/>
      <c r="K110" s="560"/>
    </row>
    <row r="111" spans="1:11" s="576" customFormat="1" ht="24.95" customHeight="1">
      <c r="A111" s="165"/>
      <c r="B111" s="573" t="s">
        <v>2469</v>
      </c>
      <c r="C111" s="574" t="s">
        <v>2470</v>
      </c>
      <c r="D111" s="575">
        <f>+'SP Attivo Alim'!H53+'SP Attivo Alim'!H54+'SP Attivo Alim'!H55</f>
        <v>5013605.4799999995</v>
      </c>
      <c r="E111" s="575">
        <f>+'SP Attivo Alim'!I53+'SP Attivo Alim'!I54+'SP Attivo Alim'!I55</f>
        <v>3383567.4130600002</v>
      </c>
      <c r="F111" s="561"/>
      <c r="G111" s="577"/>
      <c r="J111" s="560"/>
      <c r="K111" s="560"/>
    </row>
    <row r="112" spans="1:11" s="576" customFormat="1" ht="24.95" customHeight="1">
      <c r="A112" s="165"/>
      <c r="B112" s="573" t="s">
        <v>2471</v>
      </c>
      <c r="C112" s="574" t="s">
        <v>2472</v>
      </c>
      <c r="D112" s="575">
        <f>+'SP Attivo Alim'!H56</f>
        <v>19336.57</v>
      </c>
      <c r="E112" s="575">
        <f>+'SP Attivo Alim'!I56</f>
        <v>19225.335200000001</v>
      </c>
      <c r="F112" s="561"/>
      <c r="G112" s="577"/>
      <c r="J112" s="560"/>
      <c r="K112" s="560"/>
    </row>
    <row r="113" spans="1:11" s="576" customFormat="1" ht="24.95" customHeight="1">
      <c r="A113" s="165"/>
      <c r="B113" s="573" t="s">
        <v>2473</v>
      </c>
      <c r="C113" s="574" t="s">
        <v>2474</v>
      </c>
      <c r="D113" s="575">
        <f>+'SP Attivo Alim'!H57</f>
        <v>0</v>
      </c>
      <c r="E113" s="575">
        <f>+'SP Attivo Alim'!I57</f>
        <v>0</v>
      </c>
      <c r="F113" s="561"/>
      <c r="G113" s="577"/>
      <c r="J113" s="560"/>
      <c r="K113" s="560"/>
    </row>
    <row r="114" spans="1:11" s="576" customFormat="1" ht="24.95" customHeight="1">
      <c r="A114" s="165"/>
      <c r="B114" s="573" t="s">
        <v>2475</v>
      </c>
      <c r="C114" s="574" t="s">
        <v>2476</v>
      </c>
      <c r="D114" s="575">
        <f>+'SP Attivo Alim'!H58</f>
        <v>16598.38</v>
      </c>
      <c r="E114" s="575">
        <f>+'SP Attivo Alim'!I58</f>
        <v>15784.74</v>
      </c>
      <c r="F114" s="561"/>
      <c r="G114" s="577"/>
      <c r="J114" s="560"/>
      <c r="K114" s="560"/>
    </row>
    <row r="115" spans="1:11" s="576" customFormat="1" ht="24.95" customHeight="1">
      <c r="A115" s="186"/>
      <c r="B115" s="573" t="s">
        <v>2477</v>
      </c>
      <c r="C115" s="574" t="s">
        <v>2478</v>
      </c>
      <c r="D115" s="575">
        <f>+'SP Attivo Alim'!H59</f>
        <v>288.25</v>
      </c>
      <c r="E115" s="575">
        <f>+'SP Attivo Alim'!I59</f>
        <v>288.25</v>
      </c>
      <c r="F115" s="561"/>
      <c r="G115" s="577"/>
      <c r="J115" s="560"/>
      <c r="K115" s="560"/>
    </row>
    <row r="116" spans="1:11" s="576" customFormat="1" ht="24.95" customHeight="1">
      <c r="A116" s="165"/>
      <c r="B116" s="573" t="s">
        <v>2479</v>
      </c>
      <c r="C116" s="574" t="s">
        <v>2480</v>
      </c>
      <c r="D116" s="575">
        <f>+'SP Attivo Alim'!H60</f>
        <v>56713.52</v>
      </c>
      <c r="E116" s="575">
        <f>+'SP Attivo Alim'!I60</f>
        <v>23590.914199999999</v>
      </c>
      <c r="F116" s="561"/>
      <c r="G116" s="577"/>
      <c r="J116" s="560"/>
      <c r="K116" s="560"/>
    </row>
    <row r="117" spans="1:11" s="576" customFormat="1" ht="24.95" customHeight="1">
      <c r="A117" s="165"/>
      <c r="B117" s="573" t="s">
        <v>2481</v>
      </c>
      <c r="C117" s="574" t="s">
        <v>2482</v>
      </c>
      <c r="D117" s="575">
        <f>+'SP Attivo Alim'!H61</f>
        <v>0</v>
      </c>
      <c r="E117" s="575">
        <f>+'SP Attivo Alim'!I61</f>
        <v>0</v>
      </c>
      <c r="F117" s="561"/>
      <c r="G117" s="577"/>
      <c r="J117" s="560"/>
      <c r="K117" s="560"/>
    </row>
    <row r="118" spans="1:11" s="576" customFormat="1" ht="24.95" customHeight="1">
      <c r="A118" s="578"/>
      <c r="B118" s="569" t="s">
        <v>2483</v>
      </c>
      <c r="C118" s="570" t="s">
        <v>2484</v>
      </c>
      <c r="D118" s="571">
        <f>SUM(D119:D125)</f>
        <v>612510.18999999994</v>
      </c>
      <c r="E118" s="571">
        <f>SUM(E119:E125)</f>
        <v>202194.22959999999</v>
      </c>
      <c r="F118" s="561"/>
      <c r="G118" s="577"/>
      <c r="J118" s="560"/>
      <c r="K118" s="560"/>
    </row>
    <row r="119" spans="1:11" s="576" customFormat="1" ht="24.95" customHeight="1">
      <c r="A119" s="165"/>
      <c r="B119" s="573" t="s">
        <v>2485</v>
      </c>
      <c r="C119" s="574" t="s">
        <v>2486</v>
      </c>
      <c r="D119" s="575">
        <f>+'SP Attivo Alim'!H63</f>
        <v>1771.4</v>
      </c>
      <c r="E119" s="575">
        <f>+'SP Attivo Alim'!I63</f>
        <v>1783.3687999999997</v>
      </c>
      <c r="F119" s="561"/>
      <c r="G119" s="577"/>
      <c r="J119" s="560"/>
      <c r="K119" s="560"/>
    </row>
    <row r="120" spans="1:11" s="576" customFormat="1" ht="24.95" customHeight="1">
      <c r="A120" s="165"/>
      <c r="B120" s="573" t="s">
        <v>2487</v>
      </c>
      <c r="C120" s="574" t="s">
        <v>2488</v>
      </c>
      <c r="D120" s="575">
        <f>+'SP Attivo Alim'!H64</f>
        <v>527381.21</v>
      </c>
      <c r="E120" s="575">
        <f>+'SP Attivo Alim'!I64</f>
        <v>85173.544779999997</v>
      </c>
      <c r="F120" s="561"/>
      <c r="G120" s="577"/>
      <c r="J120" s="560"/>
      <c r="K120" s="560"/>
    </row>
    <row r="121" spans="1:11" s="576" customFormat="1" ht="24.95" customHeight="1">
      <c r="A121" s="165"/>
      <c r="B121" s="573" t="s">
        <v>2489</v>
      </c>
      <c r="C121" s="574" t="s">
        <v>2490</v>
      </c>
      <c r="D121" s="575">
        <f>+'SP Attivo Alim'!H65</f>
        <v>0</v>
      </c>
      <c r="E121" s="575">
        <f>+'SP Attivo Alim'!I65</f>
        <v>0</v>
      </c>
      <c r="F121" s="561"/>
      <c r="G121" s="577"/>
      <c r="J121" s="560"/>
      <c r="K121" s="560"/>
    </row>
    <row r="122" spans="1:11" s="576" customFormat="1" ht="24.95" customHeight="1">
      <c r="A122" s="165"/>
      <c r="B122" s="573" t="s">
        <v>2491</v>
      </c>
      <c r="C122" s="574" t="s">
        <v>2492</v>
      </c>
      <c r="D122" s="575">
        <f>+'SP Attivo Alim'!H66</f>
        <v>67852.33</v>
      </c>
      <c r="E122" s="575">
        <f>+'SP Attivo Alim'!I66</f>
        <v>57397.686020000001</v>
      </c>
      <c r="F122" s="561"/>
      <c r="G122" s="577"/>
      <c r="J122" s="560"/>
      <c r="K122" s="560"/>
    </row>
    <row r="123" spans="1:11" s="576" customFormat="1" ht="24.95" customHeight="1">
      <c r="A123" s="165"/>
      <c r="B123" s="573" t="s">
        <v>2493</v>
      </c>
      <c r="C123" s="574" t="s">
        <v>2494</v>
      </c>
      <c r="D123" s="575">
        <f>+'SP Attivo Alim'!H67</f>
        <v>3943.53</v>
      </c>
      <c r="E123" s="575">
        <f>+'SP Attivo Alim'!I67</f>
        <v>51513.38</v>
      </c>
      <c r="F123" s="561"/>
      <c r="G123" s="577"/>
      <c r="J123" s="560"/>
      <c r="K123" s="560"/>
    </row>
    <row r="124" spans="1:11" s="576" customFormat="1" ht="24.95" customHeight="1">
      <c r="A124" s="165"/>
      <c r="B124" s="573" t="s">
        <v>2495</v>
      </c>
      <c r="C124" s="574" t="s">
        <v>2496</v>
      </c>
      <c r="D124" s="575">
        <f>+'SP Attivo Alim'!H68</f>
        <v>11561.72</v>
      </c>
      <c r="E124" s="575">
        <f>+'SP Attivo Alim'!I68</f>
        <v>6326.25</v>
      </c>
      <c r="F124" s="561"/>
      <c r="G124" s="577"/>
      <c r="J124" s="560"/>
      <c r="K124" s="560"/>
    </row>
    <row r="125" spans="1:11" s="576" customFormat="1" ht="24.95" customHeight="1" thickBot="1">
      <c r="A125" s="582"/>
      <c r="B125" s="583" t="s">
        <v>2497</v>
      </c>
      <c r="C125" s="584" t="s">
        <v>2498</v>
      </c>
      <c r="D125" s="575">
        <f>+'SP Attivo Alim'!H69</f>
        <v>0</v>
      </c>
      <c r="E125" s="575">
        <f>+'SP Attivo Alim'!I69</f>
        <v>0</v>
      </c>
      <c r="F125" s="561"/>
      <c r="G125" s="577"/>
      <c r="J125" s="560"/>
      <c r="K125" s="560"/>
    </row>
    <row r="126" spans="1:11" s="576" customFormat="1" ht="24.95" customHeight="1">
      <c r="A126" s="585"/>
      <c r="B126" s="586" t="s">
        <v>2499</v>
      </c>
      <c r="C126" s="587" t="s">
        <v>2500</v>
      </c>
      <c r="D126" s="588">
        <f>+D127+D143+D164+D165+D174++D178+D179</f>
        <v>237286609.99000001</v>
      </c>
      <c r="E126" s="588">
        <f>+E127+E143+E164+E165+E174++E178+E179</f>
        <v>217372667.49000001</v>
      </c>
      <c r="F126" s="561"/>
      <c r="G126" s="577"/>
      <c r="J126" s="560"/>
      <c r="K126" s="560"/>
    </row>
    <row r="127" spans="1:11" s="576" customFormat="1" ht="24.95" customHeight="1">
      <c r="A127" s="578"/>
      <c r="B127" s="569" t="s">
        <v>2501</v>
      </c>
      <c r="C127" s="570" t="s">
        <v>2502</v>
      </c>
      <c r="D127" s="571">
        <f>SUM(D128:D137,D142)</f>
        <v>62189.010000000068</v>
      </c>
      <c r="E127" s="571">
        <f>SUM(E128:E137,E142)</f>
        <v>291710.84000000008</v>
      </c>
      <c r="F127" s="561"/>
      <c r="G127" s="577"/>
      <c r="J127" s="560"/>
      <c r="K127" s="560"/>
    </row>
    <row r="128" spans="1:11" s="592" customFormat="1" ht="24.95" customHeight="1">
      <c r="A128" s="181" t="s">
        <v>1599</v>
      </c>
      <c r="B128" s="590" t="s">
        <v>2503</v>
      </c>
      <c r="C128" s="591" t="s">
        <v>2504</v>
      </c>
      <c r="D128" s="575">
        <f>+'SP Attivo Alim'!H72-'Alimentazione SP P'!H70</f>
        <v>0</v>
      </c>
      <c r="E128" s="575">
        <f>+'SP Attivo Alim'!I72-'Alimentazione SP P'!I70</f>
        <v>0</v>
      </c>
      <c r="F128" s="567"/>
      <c r="G128" s="593"/>
      <c r="J128" s="560"/>
      <c r="K128" s="560"/>
    </row>
    <row r="129" spans="1:11" s="592" customFormat="1" ht="24.95" customHeight="1">
      <c r="A129" s="181" t="s">
        <v>1599</v>
      </c>
      <c r="B129" s="590" t="s">
        <v>2505</v>
      </c>
      <c r="C129" s="591" t="s">
        <v>2506</v>
      </c>
      <c r="D129" s="575">
        <f>+'SP Attivo Alim'!H73-'Alimentazione SP P'!H71</f>
        <v>0</v>
      </c>
      <c r="E129" s="575">
        <f>+'SP Attivo Alim'!I73-'Alimentazione SP P'!I71</f>
        <v>0</v>
      </c>
      <c r="F129" s="238"/>
      <c r="G129" s="594"/>
      <c r="J129" s="560"/>
      <c r="K129" s="560"/>
    </row>
    <row r="130" spans="1:11" s="592" customFormat="1" ht="24.95" customHeight="1">
      <c r="A130" s="181" t="s">
        <v>1595</v>
      </c>
      <c r="B130" s="590" t="s">
        <v>2507</v>
      </c>
      <c r="C130" s="591" t="s">
        <v>2508</v>
      </c>
      <c r="D130" s="575">
        <f>+'SP Attivo Alim'!H74-'Alimentazione SP P'!H72</f>
        <v>0</v>
      </c>
      <c r="E130" s="575">
        <f>+'SP Attivo Alim'!I74-'Alimentazione SP P'!I72</f>
        <v>0</v>
      </c>
      <c r="F130" s="238"/>
      <c r="G130" s="594"/>
      <c r="J130" s="560"/>
      <c r="K130" s="560"/>
    </row>
    <row r="131" spans="1:11" s="592" customFormat="1" ht="24.95" customHeight="1">
      <c r="A131" s="595"/>
      <c r="B131" s="590" t="s">
        <v>2509</v>
      </c>
      <c r="C131" s="591" t="s">
        <v>2510</v>
      </c>
      <c r="D131" s="575">
        <f>+'SP Attivo Alim'!H75-'Alimentazione SP P'!H73</f>
        <v>0</v>
      </c>
      <c r="E131" s="575">
        <f>+'SP Attivo Alim'!I75-'Alimentazione SP P'!I73</f>
        <v>0</v>
      </c>
      <c r="F131" s="238"/>
      <c r="G131" s="594"/>
      <c r="J131" s="560"/>
      <c r="K131" s="560"/>
    </row>
    <row r="132" spans="1:11" s="592" customFormat="1" ht="30" customHeight="1">
      <c r="A132" s="181" t="s">
        <v>1599</v>
      </c>
      <c r="B132" s="590" t="s">
        <v>2511</v>
      </c>
      <c r="C132" s="591" t="s">
        <v>2512</v>
      </c>
      <c r="D132" s="575">
        <f>+'SP Attivo Alim'!H76-'Alimentazione SP P'!H74</f>
        <v>0</v>
      </c>
      <c r="E132" s="575">
        <f>+'SP Attivo Alim'!I76-'Alimentazione SP P'!I74</f>
        <v>0</v>
      </c>
      <c r="F132" s="238"/>
      <c r="G132" s="594"/>
      <c r="J132" s="560"/>
      <c r="K132" s="560"/>
    </row>
    <row r="133" spans="1:11" s="592" customFormat="1" ht="24.95" customHeight="1">
      <c r="A133" s="181" t="s">
        <v>1599</v>
      </c>
      <c r="B133" s="590" t="s">
        <v>2513</v>
      </c>
      <c r="C133" s="591" t="s">
        <v>2514</v>
      </c>
      <c r="D133" s="575">
        <f>+'SP Attivo Alim'!H77-'Alimentazione SP P'!H75</f>
        <v>0</v>
      </c>
      <c r="E133" s="575">
        <f>+'SP Attivo Alim'!I77-'Alimentazione SP P'!I75</f>
        <v>0</v>
      </c>
      <c r="F133" s="238"/>
      <c r="G133" s="594"/>
      <c r="J133" s="560"/>
      <c r="K133" s="560"/>
    </row>
    <row r="134" spans="1:11" s="592" customFormat="1" ht="24.95" customHeight="1">
      <c r="A134" s="181" t="s">
        <v>1599</v>
      </c>
      <c r="B134" s="590" t="s">
        <v>2515</v>
      </c>
      <c r="C134" s="591" t="s">
        <v>2516</v>
      </c>
      <c r="D134" s="575">
        <f>+'SP Attivo Alim'!H79+'SP Attivo Alim'!H80+'SP Attivo Alim'!H81-'Alimentazione SP P'!H76</f>
        <v>52693.070000000065</v>
      </c>
      <c r="E134" s="575">
        <f>+'SP Attivo Alim'!I79+'SP Attivo Alim'!I80+'SP Attivo Alim'!I81-'Alimentazione SP P'!I76</f>
        <v>259144.80000000005</v>
      </c>
      <c r="F134" s="238"/>
      <c r="G134" s="594"/>
      <c r="J134" s="560"/>
      <c r="K134" s="560"/>
    </row>
    <row r="135" spans="1:11" s="238" customFormat="1" ht="24.95" customHeight="1">
      <c r="A135" s="181" t="s">
        <v>1599</v>
      </c>
      <c r="B135" s="590" t="s">
        <v>2517</v>
      </c>
      <c r="C135" s="591" t="s">
        <v>2518</v>
      </c>
      <c r="D135" s="575">
        <f>+'SP Attivo Alim'!H82-'Alimentazione SP P'!H77</f>
        <v>0</v>
      </c>
      <c r="E135" s="575">
        <f>+'SP Attivo Alim'!I82-'Alimentazione SP P'!I77</f>
        <v>0</v>
      </c>
      <c r="G135" s="593"/>
      <c r="J135" s="560"/>
      <c r="K135" s="560"/>
    </row>
    <row r="136" spans="1:11" s="592" customFormat="1" ht="24.95" customHeight="1">
      <c r="A136" s="181" t="s">
        <v>1599</v>
      </c>
      <c r="B136" s="590" t="s">
        <v>2519</v>
      </c>
      <c r="C136" s="591" t="s">
        <v>2520</v>
      </c>
      <c r="D136" s="575">
        <f>+'SP Attivo Alim'!H83-'Alimentazione SP P'!H78</f>
        <v>0</v>
      </c>
      <c r="E136" s="575">
        <f>+'SP Attivo Alim'!I83-'Alimentazione SP P'!I78</f>
        <v>0</v>
      </c>
      <c r="F136" s="567"/>
      <c r="G136" s="593"/>
      <c r="J136" s="560"/>
      <c r="K136" s="560"/>
    </row>
    <row r="137" spans="1:11" s="592" customFormat="1" ht="24.95" customHeight="1">
      <c r="A137" s="596"/>
      <c r="B137" s="597" t="s">
        <v>2521</v>
      </c>
      <c r="C137" s="598" t="s">
        <v>2522</v>
      </c>
      <c r="D137" s="599">
        <f>+D138+D139+D140+D141</f>
        <v>7183.68</v>
      </c>
      <c r="E137" s="599">
        <f>+E138+E139+E140+E141</f>
        <v>27542.759999999995</v>
      </c>
      <c r="F137" s="567"/>
      <c r="G137" s="593"/>
      <c r="J137" s="560"/>
      <c r="K137" s="560"/>
    </row>
    <row r="138" spans="1:11" s="592" customFormat="1" ht="24.95" customHeight="1">
      <c r="A138" s="181" t="s">
        <v>1599</v>
      </c>
      <c r="B138" s="590" t="s">
        <v>2523</v>
      </c>
      <c r="C138" s="591" t="s">
        <v>2524</v>
      </c>
      <c r="D138" s="575">
        <f>+'SP Attivo Alim'!H85-'Alimentazione SP P'!H79</f>
        <v>0</v>
      </c>
      <c r="E138" s="575">
        <f>+'SP Attivo Alim'!I85-'Alimentazione SP P'!I79</f>
        <v>7876.1999999999989</v>
      </c>
      <c r="F138" s="567"/>
      <c r="G138" s="593"/>
      <c r="J138" s="560"/>
      <c r="K138" s="560"/>
    </row>
    <row r="139" spans="1:11" s="592" customFormat="1" ht="24.95" customHeight="1">
      <c r="A139" s="181" t="s">
        <v>1599</v>
      </c>
      <c r="B139" s="590" t="s">
        <v>2525</v>
      </c>
      <c r="C139" s="591" t="s">
        <v>2526</v>
      </c>
      <c r="D139" s="575">
        <f>+'SP Attivo Alim'!H86-'Alimentazione SP P'!H80</f>
        <v>0</v>
      </c>
      <c r="E139" s="575">
        <f>+'SP Attivo Alim'!I86-'Alimentazione SP P'!I80</f>
        <v>0</v>
      </c>
      <c r="F139" s="567"/>
      <c r="G139" s="593"/>
      <c r="J139" s="560"/>
      <c r="K139" s="560"/>
    </row>
    <row r="140" spans="1:11" s="592" customFormat="1" ht="24.95" customHeight="1">
      <c r="A140" s="181" t="s">
        <v>1599</v>
      </c>
      <c r="B140" s="590" t="s">
        <v>2527</v>
      </c>
      <c r="C140" s="591" t="s">
        <v>2528</v>
      </c>
      <c r="D140" s="575">
        <f>+'SP Attivo Alim'!H88+'SP Attivo Alim'!H89+'SP Attivo Alim'!H90-'Alimentazione SP P'!H81</f>
        <v>7183.68</v>
      </c>
      <c r="E140" s="575">
        <f>+'SP Attivo Alim'!I88+'SP Attivo Alim'!I89+'SP Attivo Alim'!I90-'Alimentazione SP P'!I81</f>
        <v>19666.559999999998</v>
      </c>
      <c r="F140" s="567"/>
      <c r="G140" s="593"/>
      <c r="J140" s="560"/>
      <c r="K140" s="560"/>
    </row>
    <row r="141" spans="1:11" s="592" customFormat="1" ht="24.95" customHeight="1">
      <c r="A141" s="181" t="s">
        <v>1599</v>
      </c>
      <c r="B141" s="590" t="s">
        <v>2529</v>
      </c>
      <c r="C141" s="591" t="s">
        <v>2530</v>
      </c>
      <c r="D141" s="575">
        <f>+'SP Attivo Alim'!H91-'Alimentazione SP P'!H82</f>
        <v>0</v>
      </c>
      <c r="E141" s="575">
        <f>+'SP Attivo Alim'!I91-'Alimentazione SP P'!I82</f>
        <v>0</v>
      </c>
      <c r="F141" s="567"/>
      <c r="G141" s="593"/>
      <c r="J141" s="560"/>
      <c r="K141" s="560"/>
    </row>
    <row r="142" spans="1:11" s="592" customFormat="1" ht="24.95" customHeight="1">
      <c r="A142" s="181"/>
      <c r="B142" s="590" t="s">
        <v>2531</v>
      </c>
      <c r="C142" s="591" t="s">
        <v>2532</v>
      </c>
      <c r="D142" s="575">
        <f>+'SP Attivo Alim'!H93+'SP Attivo Alim'!H94+'SP Attivo Alim'!H95-'Alimentazione SP P'!H83</f>
        <v>2312.2600000000002</v>
      </c>
      <c r="E142" s="575">
        <f>+'SP Attivo Alim'!I93+'SP Attivo Alim'!I94+'SP Attivo Alim'!I95-'Alimentazione SP P'!I83</f>
        <v>5023.28</v>
      </c>
      <c r="F142" s="567"/>
      <c r="G142" s="593"/>
      <c r="J142" s="560"/>
      <c r="K142" s="560"/>
    </row>
    <row r="143" spans="1:11" s="592" customFormat="1" ht="24.95" customHeight="1">
      <c r="A143" s="578"/>
      <c r="B143" s="569" t="s">
        <v>2533</v>
      </c>
      <c r="C143" s="570" t="s">
        <v>2534</v>
      </c>
      <c r="D143" s="571">
        <f>+D144+D155+D162+D163</f>
        <v>170664020.59</v>
      </c>
      <c r="E143" s="571">
        <f>+E144+E155+E162+E163</f>
        <v>167045997.20999998</v>
      </c>
      <c r="F143" s="567"/>
      <c r="G143" s="593"/>
      <c r="J143" s="560"/>
      <c r="K143" s="560"/>
    </row>
    <row r="144" spans="1:11" s="592" customFormat="1" ht="24.95" customHeight="1">
      <c r="A144" s="596"/>
      <c r="B144" s="597" t="s">
        <v>2535</v>
      </c>
      <c r="C144" s="598" t="s">
        <v>2536</v>
      </c>
      <c r="D144" s="599">
        <f>SUM(D145:D154)</f>
        <v>9040253.0700000003</v>
      </c>
      <c r="E144" s="599">
        <f>SUM(E145:E154)</f>
        <v>7085140.9099999992</v>
      </c>
      <c r="F144" s="567"/>
      <c r="G144" s="593"/>
      <c r="J144" s="560"/>
      <c r="K144" s="560"/>
    </row>
    <row r="145" spans="1:11" s="592" customFormat="1" ht="33.75" customHeight="1">
      <c r="A145" s="181" t="s">
        <v>2537</v>
      </c>
      <c r="B145" s="590" t="s">
        <v>2538</v>
      </c>
      <c r="C145" s="591" t="s">
        <v>2539</v>
      </c>
      <c r="D145" s="575">
        <f>+'SP Attivo Alim'!H98-'Alimentazione SP P'!H84</f>
        <v>72448.53</v>
      </c>
      <c r="E145" s="575">
        <f>+'SP Attivo Alim'!I98-'Alimentazione SP P'!I84</f>
        <v>221347.47</v>
      </c>
      <c r="F145" s="567"/>
      <c r="G145" s="593"/>
      <c r="J145" s="560"/>
      <c r="K145" s="560"/>
    </row>
    <row r="146" spans="1:11" s="592" customFormat="1" ht="33.75" customHeight="1">
      <c r="A146" s="181" t="s">
        <v>1550</v>
      </c>
      <c r="B146" s="590" t="s">
        <v>2540</v>
      </c>
      <c r="C146" s="591" t="s">
        <v>2541</v>
      </c>
      <c r="D146" s="575">
        <f>+'SP Attivo Alim'!H99-'Alimentazione SP P'!H85</f>
        <v>0</v>
      </c>
      <c r="E146" s="575">
        <f>+'SP Attivo Alim'!I99-'Alimentazione SP P'!I85</f>
        <v>0</v>
      </c>
      <c r="F146" s="567"/>
      <c r="G146" s="593"/>
      <c r="J146" s="560"/>
      <c r="K146" s="560"/>
    </row>
    <row r="147" spans="1:11" s="238" customFormat="1" ht="33.75" customHeight="1">
      <c r="A147" s="181" t="s">
        <v>2537</v>
      </c>
      <c r="B147" s="590" t="s">
        <v>2542</v>
      </c>
      <c r="C147" s="600" t="s">
        <v>2543</v>
      </c>
      <c r="D147" s="575">
        <f>+'SP Attivo Alim'!H100-'Alimentazione SP P'!H86</f>
        <v>2062756.88</v>
      </c>
      <c r="E147" s="575">
        <f>+'SP Attivo Alim'!I100-'Alimentazione SP P'!I86</f>
        <v>2062756.88</v>
      </c>
      <c r="F147" s="592"/>
      <c r="G147" s="593"/>
      <c r="J147" s="560"/>
      <c r="K147" s="560"/>
    </row>
    <row r="148" spans="1:11" s="592" customFormat="1" ht="33.75" customHeight="1">
      <c r="A148" s="181" t="s">
        <v>2537</v>
      </c>
      <c r="B148" s="590" t="s">
        <v>2544</v>
      </c>
      <c r="C148" s="591" t="s">
        <v>2545</v>
      </c>
      <c r="D148" s="575">
        <f>+'SP Attivo Alim'!H101-'Alimentazione SP P'!H87</f>
        <v>0</v>
      </c>
      <c r="E148" s="575">
        <f>+'SP Attivo Alim'!I101-'Alimentazione SP P'!I87</f>
        <v>0</v>
      </c>
      <c r="F148" s="238"/>
      <c r="G148" s="594"/>
      <c r="J148" s="560"/>
      <c r="K148" s="560"/>
    </row>
    <row r="149" spans="1:11" s="592" customFormat="1" ht="33.75" customHeight="1">
      <c r="A149" s="181" t="s">
        <v>2537</v>
      </c>
      <c r="B149" s="590" t="s">
        <v>2546</v>
      </c>
      <c r="C149" s="591" t="s">
        <v>2547</v>
      </c>
      <c r="D149" s="575">
        <f>+'SP Attivo Alim'!H102-'Alimentazione SP P'!H88</f>
        <v>0</v>
      </c>
      <c r="E149" s="575">
        <f>+'SP Attivo Alim'!I102-'Alimentazione SP P'!I88</f>
        <v>0</v>
      </c>
      <c r="F149" s="238"/>
      <c r="G149" s="594"/>
      <c r="J149" s="560"/>
      <c r="K149" s="560"/>
    </row>
    <row r="150" spans="1:11" s="592" customFormat="1" ht="33.75" customHeight="1">
      <c r="A150" s="181" t="s">
        <v>2537</v>
      </c>
      <c r="B150" s="590" t="s">
        <v>2548</v>
      </c>
      <c r="C150" s="591" t="s">
        <v>2549</v>
      </c>
      <c r="D150" s="575">
        <f>+'SP Attivo Alim'!H103-'Alimentazione SP P'!H89</f>
        <v>0</v>
      </c>
      <c r="E150" s="575">
        <f>+'SP Attivo Alim'!I103-'Alimentazione SP P'!I89</f>
        <v>0</v>
      </c>
      <c r="F150" s="238"/>
      <c r="G150" s="594"/>
      <c r="J150" s="560"/>
      <c r="K150" s="560"/>
    </row>
    <row r="151" spans="1:11" s="592" customFormat="1" ht="33.75" customHeight="1">
      <c r="A151" s="181" t="s">
        <v>2537</v>
      </c>
      <c r="B151" s="590" t="s">
        <v>2550</v>
      </c>
      <c r="C151" s="591" t="s">
        <v>2551</v>
      </c>
      <c r="D151" s="575">
        <f>+'SP Attivo Alim'!H105+'SP Attivo Alim'!H106+'SP Attivo Alim'!H107-'Alimentazione SP P'!H90</f>
        <v>4785966.09</v>
      </c>
      <c r="E151" s="575">
        <f>+'SP Attivo Alim'!I105+'SP Attivo Alim'!I106+'SP Attivo Alim'!I107-'Alimentazione SP P'!I90</f>
        <v>2781281.1999999993</v>
      </c>
      <c r="F151" s="238"/>
      <c r="G151" s="594"/>
      <c r="J151" s="560"/>
      <c r="K151" s="560"/>
    </row>
    <row r="152" spans="1:11" s="238" customFormat="1" ht="33.75" customHeight="1">
      <c r="A152" s="601" t="s">
        <v>2537</v>
      </c>
      <c r="B152" s="590" t="s">
        <v>2552</v>
      </c>
      <c r="C152" s="600" t="s">
        <v>2553</v>
      </c>
      <c r="D152" s="575">
        <f>+'SP Attivo Alim'!H108-'Alimentazione SP P'!H91</f>
        <v>0</v>
      </c>
      <c r="E152" s="575">
        <f>+'SP Attivo Alim'!I108-'Alimentazione SP P'!I91</f>
        <v>0</v>
      </c>
      <c r="G152" s="593"/>
      <c r="J152" s="560"/>
      <c r="K152" s="560"/>
    </row>
    <row r="153" spans="1:11" s="592" customFormat="1" ht="33.75" customHeight="1">
      <c r="A153" s="601" t="s">
        <v>2537</v>
      </c>
      <c r="B153" s="590" t="s">
        <v>2554</v>
      </c>
      <c r="C153" s="600" t="s">
        <v>2555</v>
      </c>
      <c r="D153" s="575">
        <f>+'SP Attivo Alim'!H110+'SP Attivo Alim'!H111+'SP Attivo Alim'!H112+'SP Attivo Alim'!H113-'Alimentazione SP P'!H92</f>
        <v>2119081.5699999998</v>
      </c>
      <c r="E153" s="575">
        <f>+'SP Attivo Alim'!I110+'SP Attivo Alim'!I111+'SP Attivo Alim'!I112+'SP Attivo Alim'!I113-'Alimentazione SP P'!I92</f>
        <v>2019755.36</v>
      </c>
      <c r="F153" s="238"/>
      <c r="G153" s="594"/>
      <c r="J153" s="560"/>
      <c r="K153" s="560"/>
    </row>
    <row r="154" spans="1:11" s="238" customFormat="1" ht="33.75" customHeight="1">
      <c r="A154" s="601" t="s">
        <v>2537</v>
      </c>
      <c r="B154" s="590" t="s">
        <v>2556</v>
      </c>
      <c r="C154" s="600" t="s">
        <v>2557</v>
      </c>
      <c r="D154" s="575">
        <f>+'SP Attivo Alim'!H114-'Alimentazione SP P'!H93</f>
        <v>0</v>
      </c>
      <c r="E154" s="575">
        <f>+'SP Attivo Alim'!I114-'Alimentazione SP P'!I93</f>
        <v>0</v>
      </c>
      <c r="G154" s="593"/>
      <c r="J154" s="560"/>
      <c r="K154" s="560"/>
    </row>
    <row r="155" spans="1:11" s="576" customFormat="1" ht="33.75" customHeight="1">
      <c r="A155" s="602"/>
      <c r="B155" s="597" t="s">
        <v>2558</v>
      </c>
      <c r="C155" s="603" t="s">
        <v>2559</v>
      </c>
      <c r="D155" s="599">
        <f>SUM(D156:D161)</f>
        <v>161623767.52000001</v>
      </c>
      <c r="E155" s="599">
        <f>SUM(E156:E161)</f>
        <v>159960856.29999998</v>
      </c>
      <c r="F155" s="604"/>
      <c r="G155" s="605"/>
      <c r="J155" s="560"/>
      <c r="K155" s="560"/>
    </row>
    <row r="156" spans="1:11" s="576" customFormat="1" ht="33.75" customHeight="1">
      <c r="A156" s="606" t="s">
        <v>2537</v>
      </c>
      <c r="B156" s="573" t="s">
        <v>2560</v>
      </c>
      <c r="C156" s="607" t="s">
        <v>2561</v>
      </c>
      <c r="D156" s="575">
        <f>+'SP Attivo Alim'!H116-'Alimentazione SP P'!H94</f>
        <v>161623767.52000001</v>
      </c>
      <c r="E156" s="575">
        <f>+'SP Attivo Alim'!I116-'Alimentazione SP P'!I94</f>
        <v>159960856.29999998</v>
      </c>
      <c r="F156" s="604"/>
      <c r="G156" s="605"/>
      <c r="J156" s="560"/>
      <c r="K156" s="560"/>
    </row>
    <row r="157" spans="1:11" s="576" customFormat="1" ht="33.75" customHeight="1">
      <c r="A157" s="606" t="s">
        <v>2537</v>
      </c>
      <c r="B157" s="573" t="s">
        <v>2562</v>
      </c>
      <c r="C157" s="574" t="s">
        <v>2563</v>
      </c>
      <c r="D157" s="575">
        <f>+'SP Attivo Alim'!H117-'Alimentazione SP P'!H95</f>
        <v>0</v>
      </c>
      <c r="E157" s="575">
        <f>+'SP Attivo Alim'!I117-'Alimentazione SP P'!I95</f>
        <v>0</v>
      </c>
      <c r="F157" s="604"/>
      <c r="G157" s="605"/>
      <c r="J157" s="560"/>
      <c r="K157" s="560"/>
    </row>
    <row r="158" spans="1:11" s="576" customFormat="1" ht="33.75" customHeight="1">
      <c r="A158" s="606" t="s">
        <v>2537</v>
      </c>
      <c r="B158" s="573" t="s">
        <v>2564</v>
      </c>
      <c r="C158" s="607" t="s">
        <v>2565</v>
      </c>
      <c r="D158" s="575">
        <f>+'SP Attivo Alim'!H118-'Alimentazione SP P'!H96</f>
        <v>0</v>
      </c>
      <c r="E158" s="575">
        <f>+'SP Attivo Alim'!I118-'Alimentazione SP P'!I96</f>
        <v>0</v>
      </c>
      <c r="F158" s="604"/>
      <c r="G158" s="605"/>
      <c r="J158" s="560"/>
      <c r="K158" s="560"/>
    </row>
    <row r="159" spans="1:11" s="576" customFormat="1" ht="33.75" customHeight="1">
      <c r="A159" s="601" t="s">
        <v>2537</v>
      </c>
      <c r="B159" s="590" t="s">
        <v>2566</v>
      </c>
      <c r="C159" s="600" t="s">
        <v>2567</v>
      </c>
      <c r="D159" s="575">
        <f>+'SP Attivo Alim'!H119</f>
        <v>0</v>
      </c>
      <c r="E159" s="575">
        <f>+'SP Attivo Alim'!I119</f>
        <v>0</v>
      </c>
      <c r="F159" s="604"/>
      <c r="G159" s="605"/>
      <c r="J159" s="560"/>
      <c r="K159" s="560"/>
    </row>
    <row r="160" spans="1:11" s="576" customFormat="1" ht="33.75" customHeight="1">
      <c r="A160" s="601" t="s">
        <v>2537</v>
      </c>
      <c r="B160" s="590" t="s">
        <v>2568</v>
      </c>
      <c r="C160" s="600" t="s">
        <v>2569</v>
      </c>
      <c r="D160" s="575">
        <f>+'SP Attivo Alim'!H120-'Alimentazione SP P'!H97</f>
        <v>0</v>
      </c>
      <c r="E160" s="575">
        <f>+'SP Attivo Alim'!I120-'Alimentazione SP P'!I97</f>
        <v>0</v>
      </c>
      <c r="F160" s="604"/>
      <c r="G160" s="605"/>
      <c r="J160" s="560"/>
      <c r="K160" s="560"/>
    </row>
    <row r="161" spans="1:11" s="576" customFormat="1" ht="33.75" customHeight="1">
      <c r="A161" s="601" t="s">
        <v>2537</v>
      </c>
      <c r="B161" s="590" t="s">
        <v>2570</v>
      </c>
      <c r="C161" s="600" t="s">
        <v>2571</v>
      </c>
      <c r="D161" s="575">
        <f>+'SP Attivo Alim'!H121-'Alimentazione SP P'!H98</f>
        <v>0</v>
      </c>
      <c r="E161" s="575">
        <f>+'SP Attivo Alim'!I121-'Alimentazione SP P'!I98</f>
        <v>0</v>
      </c>
      <c r="F161" s="604"/>
      <c r="G161" s="605"/>
      <c r="J161" s="560"/>
      <c r="K161" s="560"/>
    </row>
    <row r="162" spans="1:11" s="604" customFormat="1" ht="33.75" customHeight="1">
      <c r="A162" s="608"/>
      <c r="B162" s="573" t="s">
        <v>2572</v>
      </c>
      <c r="C162" s="607" t="s">
        <v>2573</v>
      </c>
      <c r="D162" s="575">
        <f>+'SP Attivo Alim'!H122</f>
        <v>0</v>
      </c>
      <c r="E162" s="575">
        <f>+'SP Attivo Alim'!I122</f>
        <v>0</v>
      </c>
      <c r="G162" s="577"/>
      <c r="J162" s="560"/>
      <c r="K162" s="560"/>
    </row>
    <row r="163" spans="1:11" s="604" customFormat="1" ht="33.75" customHeight="1">
      <c r="A163" s="608" t="s">
        <v>2537</v>
      </c>
      <c r="B163" s="573" t="s">
        <v>2574</v>
      </c>
      <c r="C163" s="607" t="s">
        <v>2575</v>
      </c>
      <c r="D163" s="575">
        <f>+'SP Attivo Alim'!H123</f>
        <v>0</v>
      </c>
      <c r="E163" s="575">
        <f>+'SP Attivo Alim'!I123</f>
        <v>0</v>
      </c>
      <c r="G163" s="577"/>
      <c r="J163" s="560"/>
      <c r="K163" s="560"/>
    </row>
    <row r="164" spans="1:11" s="576" customFormat="1" ht="24.95" customHeight="1">
      <c r="A164" s="165"/>
      <c r="B164" s="579" t="s">
        <v>2576</v>
      </c>
      <c r="C164" s="580" t="s">
        <v>2577</v>
      </c>
      <c r="D164" s="575">
        <f>+'SP Attivo Alim'!H125+'SP Attivo Alim'!H126+'SP Attivo Alim'!H127-'Alimentazione SP P'!H99</f>
        <v>372574.81</v>
      </c>
      <c r="E164" s="575">
        <f>+'SP Attivo Alim'!I125+'SP Attivo Alim'!I126+'SP Attivo Alim'!I127-'Alimentazione SP P'!I99</f>
        <v>587689.89999999991</v>
      </c>
      <c r="F164" s="561"/>
      <c r="G164" s="577"/>
      <c r="J164" s="560"/>
      <c r="K164" s="560"/>
    </row>
    <row r="165" spans="1:11" s="576" customFormat="1" ht="24.95" customHeight="1">
      <c r="A165" s="609"/>
      <c r="B165" s="569" t="s">
        <v>2578</v>
      </c>
      <c r="C165" s="570" t="s">
        <v>2579</v>
      </c>
      <c r="D165" s="571">
        <f>+D166+D170+D171+D172+D173</f>
        <v>48709576.559999995</v>
      </c>
      <c r="E165" s="571">
        <f>+E166+E170+E171+E172+E173</f>
        <v>38135917.920000002</v>
      </c>
      <c r="F165" s="561"/>
      <c r="G165" s="577"/>
      <c r="J165" s="560"/>
      <c r="K165" s="560"/>
    </row>
    <row r="166" spans="1:11" s="576" customFormat="1" ht="24.95" customHeight="1">
      <c r="A166" s="596"/>
      <c r="B166" s="597" t="s">
        <v>2580</v>
      </c>
      <c r="C166" s="598" t="s">
        <v>2581</v>
      </c>
      <c r="D166" s="599">
        <f>+D167+D168+D169</f>
        <v>48426596.669999994</v>
      </c>
      <c r="E166" s="599">
        <f>+E167+E168+E169</f>
        <v>37936766.68</v>
      </c>
      <c r="F166" s="604"/>
      <c r="G166" s="605"/>
      <c r="J166" s="560"/>
      <c r="K166" s="560"/>
    </row>
    <row r="167" spans="1:11" s="576" customFormat="1" ht="24.95" customHeight="1">
      <c r="A167" s="165" t="s">
        <v>1550</v>
      </c>
      <c r="B167" s="573" t="s">
        <v>2582</v>
      </c>
      <c r="C167" s="574" t="s">
        <v>2583</v>
      </c>
      <c r="D167" s="575">
        <f>+'SP Attivo Alim'!H130-'Alimentazione SP P'!H100</f>
        <v>31272</v>
      </c>
      <c r="E167" s="575">
        <f>+'SP Attivo Alim'!I130-'Alimentazione SP P'!I100</f>
        <v>3045192</v>
      </c>
      <c r="F167" s="604"/>
      <c r="G167" s="605"/>
      <c r="J167" s="560"/>
      <c r="K167" s="560"/>
    </row>
    <row r="168" spans="1:11" s="576" customFormat="1" ht="24.95" customHeight="1">
      <c r="A168" s="181" t="s">
        <v>1550</v>
      </c>
      <c r="B168" s="590" t="s">
        <v>2584</v>
      </c>
      <c r="C168" s="591" t="s">
        <v>2585</v>
      </c>
      <c r="D168" s="575">
        <f>+'SP Attivo Alim'!H132+'SP Attivo Alim'!H133+'SP Attivo Alim'!H134-'Alimentazione SP P'!H101</f>
        <v>9161280.2200000007</v>
      </c>
      <c r="E168" s="575">
        <f>+'SP Attivo Alim'!I132+'SP Attivo Alim'!I133+'SP Attivo Alim'!I134-'Alimentazione SP P'!I101</f>
        <v>10071634.52</v>
      </c>
      <c r="F168" s="604"/>
      <c r="G168" s="605"/>
      <c r="J168" s="560"/>
      <c r="K168" s="560"/>
    </row>
    <row r="169" spans="1:11" s="576" customFormat="1" ht="24.95" customHeight="1">
      <c r="A169" s="181" t="s">
        <v>1550</v>
      </c>
      <c r="B169" s="590" t="s">
        <v>2586</v>
      </c>
      <c r="C169" s="591" t="s">
        <v>2587</v>
      </c>
      <c r="D169" s="575">
        <f>+'SP Attivo Alim'!H136+'SP Attivo Alim'!H137+'SP Attivo Alim'!H138-'Alimentazione SP P'!H102</f>
        <v>39234044.449999996</v>
      </c>
      <c r="E169" s="575">
        <f>+'SP Attivo Alim'!I136+'SP Attivo Alim'!I137+'SP Attivo Alim'!I138-'Alimentazione SP P'!I102</f>
        <v>24819940.16</v>
      </c>
      <c r="F169" s="604"/>
      <c r="G169" s="605"/>
      <c r="J169" s="560"/>
      <c r="K169" s="560"/>
    </row>
    <row r="170" spans="1:11" s="576" customFormat="1" ht="24.95" customHeight="1">
      <c r="A170" s="181" t="s">
        <v>2537</v>
      </c>
      <c r="B170" s="590" t="s">
        <v>2588</v>
      </c>
      <c r="C170" s="591" t="s">
        <v>2589</v>
      </c>
      <c r="D170" s="575">
        <f>+'SP Attivo Alim'!H139-'Alimentazione SP P'!H103</f>
        <v>0</v>
      </c>
      <c r="E170" s="575">
        <f>+'SP Attivo Alim'!I139-'Alimentazione SP P'!I103</f>
        <v>0</v>
      </c>
      <c r="F170" s="604"/>
      <c r="G170" s="605"/>
      <c r="J170" s="560"/>
      <c r="K170" s="560"/>
    </row>
    <row r="171" spans="1:11" s="576" customFormat="1" ht="26.25" customHeight="1">
      <c r="A171" s="181" t="s">
        <v>2537</v>
      </c>
      <c r="B171" s="590" t="s">
        <v>2590</v>
      </c>
      <c r="C171" s="591" t="s">
        <v>2591</v>
      </c>
      <c r="D171" s="575">
        <f>+'SP Attivo Alim'!H140</f>
        <v>0</v>
      </c>
      <c r="E171" s="575">
        <f>+'SP Attivo Alim'!I140</f>
        <v>0</v>
      </c>
      <c r="F171" s="604"/>
      <c r="G171" s="605"/>
      <c r="J171" s="560"/>
      <c r="K171" s="560"/>
    </row>
    <row r="172" spans="1:11" s="576" customFormat="1" ht="24.95" customHeight="1">
      <c r="A172" s="181" t="s">
        <v>1599</v>
      </c>
      <c r="B172" s="590" t="s">
        <v>2592</v>
      </c>
      <c r="C172" s="591" t="s">
        <v>2593</v>
      </c>
      <c r="D172" s="575">
        <f>+'SP Attivo Alim'!H142+'SP Attivo Alim'!H143+'SP Attivo Alim'!H144-'Alimentazione SP P'!H104</f>
        <v>282979.89</v>
      </c>
      <c r="E172" s="575">
        <f>+'SP Attivo Alim'!I142+'SP Attivo Alim'!I143+'SP Attivo Alim'!I144-'Alimentazione SP P'!I104</f>
        <v>199151.24</v>
      </c>
      <c r="F172" s="604"/>
      <c r="G172" s="605"/>
      <c r="J172" s="560"/>
      <c r="K172" s="560"/>
    </row>
    <row r="173" spans="1:11" s="576" customFormat="1" ht="24.95" customHeight="1">
      <c r="A173" s="601" t="s">
        <v>1550</v>
      </c>
      <c r="B173" s="590" t="s">
        <v>2594</v>
      </c>
      <c r="C173" s="178" t="s">
        <v>2595</v>
      </c>
      <c r="D173" s="575">
        <f>+'SP Attivo Alim'!H145</f>
        <v>0</v>
      </c>
      <c r="E173" s="575">
        <f>+'SP Attivo Alim'!I145</f>
        <v>0</v>
      </c>
      <c r="F173" s="604"/>
      <c r="G173" s="605"/>
      <c r="J173" s="560"/>
      <c r="K173" s="560"/>
    </row>
    <row r="174" spans="1:11" s="576" customFormat="1" ht="24.95" customHeight="1">
      <c r="A174" s="578"/>
      <c r="B174" s="569" t="s">
        <v>2596</v>
      </c>
      <c r="C174" s="570" t="s">
        <v>2597</v>
      </c>
      <c r="D174" s="571">
        <f>+D175+D176+D177</f>
        <v>3530.11</v>
      </c>
      <c r="E174" s="571">
        <f>+E175+E176+E177</f>
        <v>144.94999999999999</v>
      </c>
      <c r="F174" s="561"/>
      <c r="G174" s="577"/>
      <c r="J174" s="560"/>
      <c r="K174" s="560"/>
    </row>
    <row r="175" spans="1:11" s="576" customFormat="1" ht="24.95" customHeight="1">
      <c r="A175" s="165"/>
      <c r="B175" s="573" t="s">
        <v>2598</v>
      </c>
      <c r="C175" s="574" t="s">
        <v>2599</v>
      </c>
      <c r="D175" s="575">
        <f>+'SP Attivo Alim'!H147-'Alimentazione SP P'!H105</f>
        <v>3530.11</v>
      </c>
      <c r="E175" s="575">
        <f>+'SP Attivo Alim'!I147-'Alimentazione SP P'!I105</f>
        <v>144.94999999999999</v>
      </c>
      <c r="F175" s="561"/>
      <c r="G175" s="577"/>
      <c r="J175" s="560"/>
      <c r="K175" s="560"/>
    </row>
    <row r="176" spans="1:11" s="576" customFormat="1" ht="24.95" customHeight="1">
      <c r="A176" s="165"/>
      <c r="B176" s="573" t="s">
        <v>2600</v>
      </c>
      <c r="C176" s="574" t="s">
        <v>2601</v>
      </c>
      <c r="D176" s="575">
        <f>+'SP Attivo Alim'!H148-'Alimentazione SP P'!H106</f>
        <v>0</v>
      </c>
      <c r="E176" s="575">
        <f>+'SP Attivo Alim'!I148-'Alimentazione SP P'!I106</f>
        <v>0</v>
      </c>
      <c r="F176" s="561"/>
      <c r="G176" s="577"/>
      <c r="J176" s="560"/>
      <c r="K176" s="560"/>
    </row>
    <row r="177" spans="1:11" s="576" customFormat="1" ht="24.95" customHeight="1">
      <c r="A177" s="165"/>
      <c r="B177" s="573" t="s">
        <v>2602</v>
      </c>
      <c r="C177" s="574" t="s">
        <v>2603</v>
      </c>
      <c r="D177" s="575">
        <f>+'SP Attivo Alim'!H150+'SP Attivo Alim'!H151+'SP Attivo Alim'!H152-'Alimentazione SP P'!H107</f>
        <v>0</v>
      </c>
      <c r="E177" s="575">
        <f>+'SP Attivo Alim'!I150+'SP Attivo Alim'!I151+'SP Attivo Alim'!I152-'Alimentazione SP P'!I107</f>
        <v>0</v>
      </c>
      <c r="F177" s="561"/>
      <c r="G177" s="577"/>
      <c r="J177" s="560"/>
      <c r="K177" s="560"/>
    </row>
    <row r="178" spans="1:11" s="576" customFormat="1" ht="24.95" customHeight="1">
      <c r="A178" s="165"/>
      <c r="B178" s="579" t="s">
        <v>2604</v>
      </c>
      <c r="C178" s="580" t="s">
        <v>2605</v>
      </c>
      <c r="D178" s="575">
        <f>+'SP Attivo Alim'!H154+'SP Attivo Alim'!H155+'SP Attivo Alim'!H156+'SP Attivo Alim'!H157+'SP Attivo Alim'!H158+'SP Attivo Alim'!H159-'Alimentazione SP P'!H108</f>
        <v>43374.66</v>
      </c>
      <c r="E178" s="575">
        <f>+'SP Attivo Alim'!I154+'SP Attivo Alim'!I155+'SP Attivo Alim'!I156+'SP Attivo Alim'!I157+'SP Attivo Alim'!I158+'SP Attivo Alim'!I159-'Alimentazione SP P'!I108</f>
        <v>7045.68</v>
      </c>
      <c r="F178" s="561"/>
      <c r="G178" s="577"/>
      <c r="J178" s="560"/>
      <c r="K178" s="560"/>
    </row>
    <row r="179" spans="1:11" s="576" customFormat="1" ht="24.95" customHeight="1">
      <c r="A179" s="578"/>
      <c r="B179" s="569" t="s">
        <v>2606</v>
      </c>
      <c r="C179" s="570" t="s">
        <v>2607</v>
      </c>
      <c r="D179" s="571">
        <f>+D180+D181+D182+D183+D184+D187</f>
        <v>17431344.25</v>
      </c>
      <c r="E179" s="571">
        <f>+E180+E181+E182+E183+E184+E187</f>
        <v>11304160.99</v>
      </c>
      <c r="F179" s="561"/>
      <c r="G179" s="577"/>
      <c r="J179" s="560"/>
      <c r="K179" s="560"/>
    </row>
    <row r="180" spans="1:11" s="576" customFormat="1" ht="24.95" customHeight="1">
      <c r="A180" s="165"/>
      <c r="B180" s="573" t="s">
        <v>2608</v>
      </c>
      <c r="C180" s="574" t="s">
        <v>2609</v>
      </c>
      <c r="D180" s="575">
        <f>+'SP Attivo Alim'!H162+'SP Attivo Alim'!H163+'SP Attivo Alim'!H164+'SP Attivo Alim'!H165+'SP Attivo Alim'!H166-'Alimentazione SP P'!H109</f>
        <v>4882578.8600000003</v>
      </c>
      <c r="E180" s="575">
        <f>+'SP Attivo Alim'!I162+'SP Attivo Alim'!I163+'SP Attivo Alim'!I164+'SP Attivo Alim'!I165+'SP Attivo Alim'!I166-'Alimentazione SP P'!I109</f>
        <v>5731347.6099999994</v>
      </c>
      <c r="F180" s="561"/>
      <c r="G180" s="577"/>
      <c r="J180" s="560"/>
      <c r="K180" s="560"/>
    </row>
    <row r="181" spans="1:11" s="576" customFormat="1" ht="24.95" customHeight="1">
      <c r="A181" s="165"/>
      <c r="B181" s="573" t="s">
        <v>2610</v>
      </c>
      <c r="C181" s="574" t="s">
        <v>2611</v>
      </c>
      <c r="D181" s="575">
        <f>+'SP Attivo Alim'!H167-'Alimentazione SP P'!H110</f>
        <v>0</v>
      </c>
      <c r="E181" s="575">
        <f>+'SP Attivo Alim'!I167-'Alimentazione SP P'!I110</f>
        <v>0</v>
      </c>
      <c r="F181" s="561"/>
      <c r="G181" s="577"/>
      <c r="J181" s="560"/>
      <c r="K181" s="560"/>
    </row>
    <row r="182" spans="1:11" s="576" customFormat="1" ht="24.95" customHeight="1">
      <c r="A182" s="165"/>
      <c r="B182" s="573" t="s">
        <v>2612</v>
      </c>
      <c r="C182" s="574" t="s">
        <v>2613</v>
      </c>
      <c r="D182" s="575">
        <f>+'SP Attivo Alim'!H169+'SP Attivo Alim'!H170+'SP Attivo Alim'!H171+'SP Attivo Alim'!H172-'Alimentazione SP P'!H111</f>
        <v>2010480.98</v>
      </c>
      <c r="E182" s="575">
        <f>+'SP Attivo Alim'!I169+'SP Attivo Alim'!I170+'SP Attivo Alim'!I171+'SP Attivo Alim'!I172-'Alimentazione SP P'!I111</f>
        <v>1909026.56</v>
      </c>
      <c r="F182" s="561"/>
      <c r="G182" s="577"/>
      <c r="J182" s="560"/>
      <c r="K182" s="560"/>
    </row>
    <row r="183" spans="1:11" s="576" customFormat="1" ht="24.95" customHeight="1">
      <c r="A183" s="165"/>
      <c r="B183" s="573" t="s">
        <v>2614</v>
      </c>
      <c r="C183" s="574" t="s">
        <v>2615</v>
      </c>
      <c r="D183" s="575">
        <f>+'SP Attivo Alim'!H173-'Alimentazione SP P'!H112</f>
        <v>0</v>
      </c>
      <c r="E183" s="575">
        <f>+'SP Attivo Alim'!I173-'Alimentazione SP P'!I112</f>
        <v>0</v>
      </c>
      <c r="F183" s="561"/>
      <c r="G183" s="577"/>
      <c r="J183" s="560"/>
      <c r="K183" s="560"/>
    </row>
    <row r="184" spans="1:11" s="576" customFormat="1" ht="24.95" customHeight="1">
      <c r="A184" s="596"/>
      <c r="B184" s="597" t="s">
        <v>2616</v>
      </c>
      <c r="C184" s="598" t="s">
        <v>2617</v>
      </c>
      <c r="D184" s="599">
        <f>+D185+D186</f>
        <v>6250500.4099999992</v>
      </c>
      <c r="E184" s="599">
        <f>+E185+E186</f>
        <v>3663786.8200000003</v>
      </c>
      <c r="F184" s="561"/>
      <c r="G184" s="577"/>
      <c r="J184" s="560"/>
      <c r="K184" s="560"/>
    </row>
    <row r="185" spans="1:11" s="576" customFormat="1" ht="24.95" customHeight="1">
      <c r="A185" s="581"/>
      <c r="B185" s="610" t="s">
        <v>2618</v>
      </c>
      <c r="C185" s="611" t="s">
        <v>2619</v>
      </c>
      <c r="D185" s="575">
        <f>+'SP Attivo Alim'!H177+'SP Attivo Alim'!H178+'SP Attivo Alim'!H179+'SP Attivo Alim'!H180+'SP Attivo Alim'!H181+'SP Attivo Alim'!H182-'Alimentazione SP P'!H113</f>
        <v>6250500.4099999992</v>
      </c>
      <c r="E185" s="575">
        <f>+'SP Attivo Alim'!I177+'SP Attivo Alim'!I178+'SP Attivo Alim'!I179+'SP Attivo Alim'!I180+'SP Attivo Alim'!I181+'SP Attivo Alim'!I182-'Alimentazione SP P'!I113</f>
        <v>3663786.8200000003</v>
      </c>
      <c r="F185" s="561"/>
      <c r="G185" s="577"/>
      <c r="J185" s="560"/>
      <c r="K185" s="560"/>
    </row>
    <row r="186" spans="1:11" s="576" customFormat="1" ht="24.95" customHeight="1">
      <c r="A186" s="165"/>
      <c r="B186" s="612" t="s">
        <v>2620</v>
      </c>
      <c r="C186" s="613" t="s">
        <v>2621</v>
      </c>
      <c r="D186" s="575">
        <f>+'SP Attivo Alim'!H183</f>
        <v>0</v>
      </c>
      <c r="E186" s="575">
        <f>+'SP Attivo Alim'!I183</f>
        <v>0</v>
      </c>
      <c r="F186" s="561"/>
      <c r="G186" s="577"/>
      <c r="J186" s="560"/>
      <c r="K186" s="560"/>
    </row>
    <row r="187" spans="1:11" s="576" customFormat="1" ht="24.95" customHeight="1">
      <c r="A187" s="596"/>
      <c r="B187" s="614" t="s">
        <v>2622</v>
      </c>
      <c r="C187" s="615" t="s">
        <v>2623</v>
      </c>
      <c r="D187" s="599">
        <f>+D188+D189</f>
        <v>4287784</v>
      </c>
      <c r="E187" s="599">
        <f>+E188+E189</f>
        <v>0</v>
      </c>
      <c r="F187" s="561"/>
      <c r="G187" s="577"/>
      <c r="J187" s="560"/>
      <c r="K187" s="560"/>
    </row>
    <row r="188" spans="1:11" s="576" customFormat="1" ht="24.95" customHeight="1">
      <c r="A188" s="581"/>
      <c r="B188" s="610" t="s">
        <v>2624</v>
      </c>
      <c r="C188" s="613" t="s">
        <v>2625</v>
      </c>
      <c r="D188" s="575">
        <f>+'SP Attivo Alim'!H185-'Alimentazione SP P'!H114</f>
        <v>4287784</v>
      </c>
      <c r="E188" s="575">
        <f>+'SP Attivo Alim'!I185-'Alimentazione SP P'!I114</f>
        <v>0</v>
      </c>
      <c r="F188" s="561"/>
      <c r="G188" s="577"/>
      <c r="J188" s="560"/>
      <c r="K188" s="560"/>
    </row>
    <row r="189" spans="1:11" s="576" customFormat="1" ht="24.95" customHeight="1">
      <c r="A189" s="165"/>
      <c r="B189" s="610" t="s">
        <v>2626</v>
      </c>
      <c r="C189" s="613" t="s">
        <v>2627</v>
      </c>
      <c r="D189" s="575">
        <f>+'SP Attivo Alim'!H186</f>
        <v>0</v>
      </c>
      <c r="E189" s="575">
        <f>+'SP Attivo Alim'!I186</f>
        <v>0</v>
      </c>
      <c r="F189" s="561"/>
      <c r="G189" s="577"/>
      <c r="J189" s="560"/>
      <c r="K189" s="560"/>
    </row>
    <row r="190" spans="1:11" s="576" customFormat="1" ht="24.95" customHeight="1">
      <c r="A190" s="585"/>
      <c r="B190" s="616" t="s">
        <v>2628</v>
      </c>
      <c r="C190" s="617" t="s">
        <v>2629</v>
      </c>
      <c r="D190" s="618">
        <f>+D191+D192</f>
        <v>0</v>
      </c>
      <c r="E190" s="618">
        <f>+E191+E192</f>
        <v>0</v>
      </c>
      <c r="F190" s="561"/>
      <c r="G190" s="577"/>
      <c r="J190" s="560"/>
      <c r="K190" s="560"/>
    </row>
    <row r="191" spans="1:11" s="576" customFormat="1" ht="24.95" customHeight="1">
      <c r="A191" s="165"/>
      <c r="B191" s="579" t="s">
        <v>2630</v>
      </c>
      <c r="C191" s="580" t="s">
        <v>2631</v>
      </c>
      <c r="D191" s="575">
        <f>+'SP Attivo Alim'!H189+'SP Attivo Alim'!H190+'SP Attivo Alim'!H191</f>
        <v>0</v>
      </c>
      <c r="E191" s="575">
        <f>+'SP Attivo Alim'!I189+'SP Attivo Alim'!I190+'SP Attivo Alim'!I191</f>
        <v>0</v>
      </c>
      <c r="F191" s="561"/>
      <c r="G191" s="577"/>
      <c r="J191" s="560"/>
      <c r="K191" s="560"/>
    </row>
    <row r="192" spans="1:11" s="576" customFormat="1" ht="24.95" customHeight="1" thickBot="1">
      <c r="A192" s="582"/>
      <c r="B192" s="619" t="s">
        <v>2632</v>
      </c>
      <c r="C192" s="620" t="s">
        <v>2633</v>
      </c>
      <c r="D192" s="575">
        <f>+'SP Attivo Alim'!H192</f>
        <v>0</v>
      </c>
      <c r="E192" s="575">
        <f>+'SP Attivo Alim'!I192</f>
        <v>0</v>
      </c>
      <c r="F192" s="561"/>
      <c r="G192" s="577"/>
      <c r="J192" s="560"/>
      <c r="K192" s="560"/>
    </row>
    <row r="193" spans="1:11" s="576" customFormat="1" ht="24.95" customHeight="1">
      <c r="A193" s="585"/>
      <c r="B193" s="586" t="s">
        <v>2634</v>
      </c>
      <c r="C193" s="587" t="s">
        <v>2635</v>
      </c>
      <c r="D193" s="588">
        <f>+D194+D195+D196+D197</f>
        <v>239290103.11000001</v>
      </c>
      <c r="E193" s="588">
        <f>+E194+E195+E196+E197</f>
        <v>180162609.56</v>
      </c>
      <c r="F193" s="561"/>
      <c r="G193" s="577"/>
      <c r="J193" s="560"/>
      <c r="K193" s="560"/>
    </row>
    <row r="194" spans="1:11" s="576" customFormat="1" ht="24.95" customHeight="1">
      <c r="A194" s="165"/>
      <c r="B194" s="579" t="s">
        <v>2636</v>
      </c>
      <c r="C194" s="580" t="s">
        <v>2637</v>
      </c>
      <c r="D194" s="575">
        <f>+SUM('SP Attivo Alim'!H196:H213)</f>
        <v>97103.56</v>
      </c>
      <c r="E194" s="575">
        <f>+SUM('SP Attivo Alim'!I196:I213)</f>
        <v>126321.04</v>
      </c>
      <c r="F194" s="561"/>
      <c r="G194" s="577"/>
      <c r="J194" s="560"/>
      <c r="K194" s="560"/>
    </row>
    <row r="195" spans="1:11" s="576" customFormat="1" ht="24.95" customHeight="1">
      <c r="A195" s="165"/>
      <c r="B195" s="579" t="s">
        <v>2638</v>
      </c>
      <c r="C195" s="580" t="s">
        <v>2639</v>
      </c>
      <c r="D195" s="575">
        <f>+'SP Attivo Alim'!H215+'SP Attivo Alim'!H216+'SP Attivo Alim'!H217</f>
        <v>239115355.11000001</v>
      </c>
      <c r="E195" s="575">
        <f>+'SP Attivo Alim'!I215+'SP Attivo Alim'!I216+'SP Attivo Alim'!I217</f>
        <v>179923676.42000002</v>
      </c>
      <c r="F195" s="561"/>
      <c r="G195" s="577"/>
      <c r="J195" s="560"/>
      <c r="K195" s="560"/>
    </row>
    <row r="196" spans="1:11" s="576" customFormat="1" ht="24.95" customHeight="1">
      <c r="A196" s="165"/>
      <c r="B196" s="579" t="s">
        <v>2640</v>
      </c>
      <c r="C196" s="580" t="s">
        <v>2641</v>
      </c>
      <c r="D196" s="575">
        <f>+'SP Attivo Alim'!H218</f>
        <v>0</v>
      </c>
      <c r="E196" s="575">
        <f>+'SP Attivo Alim'!I218</f>
        <v>0</v>
      </c>
      <c r="F196" s="561"/>
      <c r="G196" s="577"/>
      <c r="J196" s="560"/>
      <c r="K196" s="560"/>
    </row>
    <row r="197" spans="1:11" s="576" customFormat="1" ht="24.95" customHeight="1" thickBot="1">
      <c r="A197" s="582"/>
      <c r="B197" s="619" t="s">
        <v>2642</v>
      </c>
      <c r="C197" s="620" t="s">
        <v>2643</v>
      </c>
      <c r="D197" s="575">
        <f>+SUM('SP Attivo Alim'!H220:H226)</f>
        <v>77644.44</v>
      </c>
      <c r="E197" s="575">
        <f>+SUM('SP Attivo Alim'!I220:I226)</f>
        <v>112612.1</v>
      </c>
      <c r="F197" s="561"/>
      <c r="G197" s="577"/>
      <c r="J197" s="560"/>
      <c r="K197" s="560"/>
    </row>
    <row r="198" spans="1:11" s="576" customFormat="1" ht="24.95" customHeight="1">
      <c r="A198" s="556"/>
      <c r="B198" s="557" t="s">
        <v>2644</v>
      </c>
      <c r="C198" s="558" t="s">
        <v>2645</v>
      </c>
      <c r="D198" s="589">
        <f>+D199+D202</f>
        <v>96209.39</v>
      </c>
      <c r="E198" s="589">
        <f>+E199+E202</f>
        <v>416589.7</v>
      </c>
      <c r="F198" s="561"/>
      <c r="G198" s="577"/>
      <c r="J198" s="560"/>
      <c r="K198" s="560"/>
    </row>
    <row r="199" spans="1:11" s="576" customFormat="1" ht="24.95" customHeight="1">
      <c r="A199" s="563"/>
      <c r="B199" s="564" t="s">
        <v>2646</v>
      </c>
      <c r="C199" s="565" t="s">
        <v>2647</v>
      </c>
      <c r="D199" s="566">
        <f>+D200+D201</f>
        <v>2250</v>
      </c>
      <c r="E199" s="566">
        <f>+E200+E201</f>
        <v>0</v>
      </c>
      <c r="F199" s="561"/>
      <c r="G199" s="577"/>
      <c r="J199" s="560"/>
      <c r="K199" s="560"/>
    </row>
    <row r="200" spans="1:11" s="576" customFormat="1" ht="24.95" customHeight="1">
      <c r="A200" s="186"/>
      <c r="B200" s="579" t="s">
        <v>2648</v>
      </c>
      <c r="C200" s="580" t="s">
        <v>2649</v>
      </c>
      <c r="D200" s="575">
        <f>+'SP Attivo Alim'!H242</f>
        <v>2250</v>
      </c>
      <c r="E200" s="575">
        <f>+'SP Attivo Alim'!I242</f>
        <v>0</v>
      </c>
      <c r="F200" s="561"/>
      <c r="G200" s="577"/>
      <c r="J200" s="560"/>
      <c r="K200" s="560"/>
    </row>
    <row r="201" spans="1:11" s="576" customFormat="1" ht="24.95" customHeight="1">
      <c r="A201" s="184" t="s">
        <v>1550</v>
      </c>
      <c r="B201" s="579" t="s">
        <v>2650</v>
      </c>
      <c r="C201" s="580" t="s">
        <v>2651</v>
      </c>
      <c r="D201" s="575">
        <f>+'SP Attivo Alim'!H243</f>
        <v>0</v>
      </c>
      <c r="E201" s="575">
        <f>+'SP Attivo Alim'!I243</f>
        <v>0</v>
      </c>
      <c r="F201" s="561"/>
      <c r="G201" s="577"/>
      <c r="J201" s="560"/>
      <c r="K201" s="560"/>
    </row>
    <row r="202" spans="1:11" s="576" customFormat="1" ht="24.95" customHeight="1">
      <c r="A202" s="563"/>
      <c r="B202" s="564" t="s">
        <v>2652</v>
      </c>
      <c r="C202" s="565" t="s">
        <v>2653</v>
      </c>
      <c r="D202" s="566">
        <f>+D203+D204</f>
        <v>93959.39</v>
      </c>
      <c r="E202" s="566">
        <f>+E203+E204</f>
        <v>416589.7</v>
      </c>
      <c r="F202" s="561"/>
      <c r="G202" s="577"/>
      <c r="J202" s="560"/>
      <c r="K202" s="560"/>
    </row>
    <row r="203" spans="1:11" s="576" customFormat="1" ht="24.95" customHeight="1">
      <c r="A203" s="165"/>
      <c r="B203" s="579" t="s">
        <v>2654</v>
      </c>
      <c r="C203" s="580" t="s">
        <v>2655</v>
      </c>
      <c r="D203" s="575">
        <f>+'SP Attivo Alim'!H245</f>
        <v>93959.39</v>
      </c>
      <c r="E203" s="575">
        <f>+'SP Attivo Alim'!I245</f>
        <v>416589.7</v>
      </c>
      <c r="F203" s="561"/>
      <c r="G203" s="577"/>
      <c r="J203" s="560"/>
      <c r="K203" s="560"/>
    </row>
    <row r="204" spans="1:11" s="576" customFormat="1" ht="24.95" customHeight="1" thickBot="1">
      <c r="A204" s="621" t="s">
        <v>1550</v>
      </c>
      <c r="B204" s="619" t="s">
        <v>2656</v>
      </c>
      <c r="C204" s="620" t="s">
        <v>2657</v>
      </c>
      <c r="D204" s="575">
        <f>+'SP Attivo Alim'!H246</f>
        <v>0</v>
      </c>
      <c r="E204" s="575">
        <f>+'SP Attivo Alim'!I246</f>
        <v>0</v>
      </c>
      <c r="F204" s="561"/>
      <c r="G204" s="577"/>
      <c r="J204" s="560"/>
      <c r="K204" s="560"/>
    </row>
    <row r="205" spans="1:11" s="576" customFormat="1" ht="24.95" customHeight="1" thickBot="1">
      <c r="A205" s="622"/>
      <c r="B205" s="623" t="s">
        <v>2658</v>
      </c>
      <c r="C205" s="624" t="s">
        <v>2659</v>
      </c>
      <c r="D205" s="625">
        <f>+D28+D106+D198</f>
        <v>817219476.70000017</v>
      </c>
      <c r="E205" s="625">
        <f>+E28+E106+E198</f>
        <v>739369784.75742996</v>
      </c>
      <c r="F205" s="561"/>
      <c r="G205" s="577"/>
      <c r="J205" s="560"/>
      <c r="K205" s="560"/>
    </row>
    <row r="206" spans="1:11" s="576" customFormat="1" ht="24.95" customHeight="1">
      <c r="A206" s="626"/>
      <c r="B206" s="557" t="s">
        <v>2660</v>
      </c>
      <c r="C206" s="627" t="s">
        <v>2661</v>
      </c>
      <c r="D206" s="628">
        <f>+D207+D208+D209+D210+D211</f>
        <v>37902885.280000001</v>
      </c>
      <c r="E206" s="628">
        <f>+E207+E208+E209+E210+E211</f>
        <v>26349984.41</v>
      </c>
      <c r="F206" s="561"/>
      <c r="G206" s="577"/>
      <c r="J206" s="560"/>
      <c r="K206" s="560"/>
    </row>
    <row r="207" spans="1:11" s="576" customFormat="1" ht="24.95" customHeight="1">
      <c r="A207" s="165"/>
      <c r="B207" s="629" t="s">
        <v>2662</v>
      </c>
      <c r="C207" s="630" t="s">
        <v>2663</v>
      </c>
      <c r="D207" s="575">
        <f>+'SP Attivo Alim'!H249</f>
        <v>0</v>
      </c>
      <c r="E207" s="575">
        <f>+'SP Attivo Alim'!I249</f>
        <v>0</v>
      </c>
      <c r="F207" s="561"/>
      <c r="G207" s="577"/>
      <c r="J207" s="560"/>
      <c r="K207" s="560"/>
    </row>
    <row r="208" spans="1:11" s="576" customFormat="1" ht="24.95" customHeight="1">
      <c r="A208" s="165"/>
      <c r="B208" s="629" t="s">
        <v>2664</v>
      </c>
      <c r="C208" s="630" t="s">
        <v>2665</v>
      </c>
      <c r="D208" s="575">
        <f>+'SP Attivo Alim'!H250</f>
        <v>539194.87</v>
      </c>
      <c r="E208" s="575">
        <f>+'SP Attivo Alim'!I250</f>
        <v>5237.47</v>
      </c>
      <c r="F208" s="561"/>
      <c r="G208" s="577"/>
      <c r="J208" s="560"/>
      <c r="K208" s="560"/>
    </row>
    <row r="209" spans="1:11" s="576" customFormat="1" ht="24.95" customHeight="1">
      <c r="A209" s="165"/>
      <c r="B209" s="629" t="s">
        <v>2666</v>
      </c>
      <c r="C209" s="630" t="s">
        <v>2667</v>
      </c>
      <c r="D209" s="575">
        <f>+'SP Attivo Alim'!H251</f>
        <v>2715845.78</v>
      </c>
      <c r="E209" s="575">
        <f>+'SP Attivo Alim'!I251</f>
        <v>453686.63</v>
      </c>
      <c r="F209" s="561"/>
      <c r="G209" s="577"/>
      <c r="J209" s="560"/>
      <c r="K209" s="560"/>
    </row>
    <row r="210" spans="1:11" s="576" customFormat="1" ht="24.95" customHeight="1">
      <c r="A210" s="631"/>
      <c r="B210" s="629" t="s">
        <v>2668</v>
      </c>
      <c r="C210" s="630" t="s">
        <v>2669</v>
      </c>
      <c r="D210" s="575">
        <f>+'SP Attivo Alim'!H252</f>
        <v>0</v>
      </c>
      <c r="E210" s="575">
        <f>+'SP Attivo Alim'!I252</f>
        <v>0</v>
      </c>
      <c r="F210" s="561"/>
      <c r="G210" s="577"/>
      <c r="J210" s="560"/>
      <c r="K210" s="560"/>
    </row>
    <row r="211" spans="1:11" s="576" customFormat="1" ht="24.95" customHeight="1" thickBot="1">
      <c r="A211" s="582"/>
      <c r="B211" s="632" t="s">
        <v>2670</v>
      </c>
      <c r="C211" s="633" t="s">
        <v>2671</v>
      </c>
      <c r="D211" s="575">
        <f>+'SP Attivo Alim'!H254+'SP Attivo Alim'!H255+'SP Attivo Alim'!H256+'SP Attivo Alim'!H257+'SP Attivo Alim'!H258+'SP Attivo Alim'!H259+'SP Attivo Alim'!H260</f>
        <v>34647844.630000003</v>
      </c>
      <c r="E211" s="575">
        <f>+'SP Attivo Alim'!I254+'SP Attivo Alim'!I255+'SP Attivo Alim'!I256+'SP Attivo Alim'!I257+'SP Attivo Alim'!I258+'SP Attivo Alim'!I259+'SP Attivo Alim'!I260</f>
        <v>25891060.309999999</v>
      </c>
      <c r="F211" s="561"/>
      <c r="G211" s="577"/>
      <c r="J211" s="560"/>
      <c r="K211" s="560"/>
    </row>
    <row r="212" spans="1:11" s="576" customFormat="1" ht="24.95" customHeight="1">
      <c r="A212" s="634"/>
      <c r="B212" s="557" t="s">
        <v>2672</v>
      </c>
      <c r="C212" s="558" t="s">
        <v>2673</v>
      </c>
      <c r="D212" s="589">
        <f>+D213+D214+D223+D224+D230+D234+D235</f>
        <v>479590019.74000007</v>
      </c>
      <c r="E212" s="589">
        <f>+E213+E214+E223+E224+E230+E234+E235</f>
        <v>477872738.75959998</v>
      </c>
      <c r="F212" s="561"/>
      <c r="G212" s="577"/>
      <c r="J212" s="560"/>
      <c r="K212" s="560"/>
    </row>
    <row r="213" spans="1:11" s="576" customFormat="1" ht="24.95" customHeight="1">
      <c r="A213" s="186"/>
      <c r="B213" s="635" t="s">
        <v>2674</v>
      </c>
      <c r="C213" s="636" t="s">
        <v>2675</v>
      </c>
      <c r="D213" s="575">
        <f>+'Alimentazione SP P'!H4</f>
        <v>704665.54</v>
      </c>
      <c r="E213" s="575">
        <f>+'Alimentazione SP P'!I4</f>
        <v>704665.54</v>
      </c>
      <c r="F213" s="561"/>
      <c r="G213" s="577"/>
      <c r="J213" s="560"/>
      <c r="K213" s="560"/>
    </row>
    <row r="214" spans="1:11" s="576" customFormat="1" ht="24.95" customHeight="1">
      <c r="A214" s="637"/>
      <c r="B214" s="564" t="s">
        <v>2676</v>
      </c>
      <c r="C214" s="565" t="s">
        <v>2677</v>
      </c>
      <c r="D214" s="566">
        <f>+D215+D216+D220+D221+D222</f>
        <v>455458030.45000005</v>
      </c>
      <c r="E214" s="566">
        <f>+E215+E216+E220+E221+E222</f>
        <v>455516695.75999999</v>
      </c>
      <c r="F214" s="561"/>
      <c r="G214" s="577"/>
      <c r="J214" s="560"/>
      <c r="K214" s="560"/>
    </row>
    <row r="215" spans="1:11" s="576" customFormat="1" ht="24.95" customHeight="1">
      <c r="A215" s="186"/>
      <c r="B215" s="579" t="s">
        <v>2678</v>
      </c>
      <c r="C215" s="580" t="s">
        <v>2679</v>
      </c>
      <c r="D215" s="575">
        <f>+'Alimentazione SP P'!H6</f>
        <v>124429047.03</v>
      </c>
      <c r="E215" s="575">
        <f>+'Alimentazione SP P'!I6</f>
        <v>158603980.30000001</v>
      </c>
      <c r="F215" s="561"/>
      <c r="G215" s="577"/>
      <c r="J215" s="560"/>
      <c r="K215" s="560"/>
    </row>
    <row r="216" spans="1:11" s="576" customFormat="1" ht="24.95" customHeight="1">
      <c r="A216" s="638"/>
      <c r="B216" s="569" t="s">
        <v>2680</v>
      </c>
      <c r="C216" s="570" t="s">
        <v>2681</v>
      </c>
      <c r="D216" s="571">
        <f>+D217+D218+D219</f>
        <v>0</v>
      </c>
      <c r="E216" s="571">
        <f>+E217+E218+E219</f>
        <v>0</v>
      </c>
      <c r="F216" s="561"/>
      <c r="G216" s="577"/>
      <c r="J216" s="560"/>
      <c r="K216" s="560"/>
    </row>
    <row r="217" spans="1:11" s="576" customFormat="1" ht="24.95" customHeight="1">
      <c r="A217" s="186"/>
      <c r="B217" s="573" t="s">
        <v>2682</v>
      </c>
      <c r="C217" s="574" t="s">
        <v>2683</v>
      </c>
      <c r="D217" s="575">
        <f>+'Alimentazione SP P'!H8</f>
        <v>0</v>
      </c>
      <c r="E217" s="575">
        <f>+'Alimentazione SP P'!I8</f>
        <v>0</v>
      </c>
      <c r="F217" s="561"/>
      <c r="G217" s="577"/>
      <c r="J217" s="560"/>
      <c r="K217" s="560"/>
    </row>
    <row r="218" spans="1:11" s="576" customFormat="1" ht="24.95" customHeight="1">
      <c r="A218" s="186"/>
      <c r="B218" s="573" t="s">
        <v>2684</v>
      </c>
      <c r="C218" s="574" t="s">
        <v>2685</v>
      </c>
      <c r="D218" s="575">
        <f>+'Alimentazione SP P'!H9</f>
        <v>0</v>
      </c>
      <c r="E218" s="575">
        <f>+'Alimentazione SP P'!I9</f>
        <v>0</v>
      </c>
      <c r="F218" s="561"/>
      <c r="G218" s="577"/>
      <c r="J218" s="560"/>
      <c r="K218" s="560"/>
    </row>
    <row r="219" spans="1:11" s="576" customFormat="1" ht="24.95" customHeight="1">
      <c r="A219" s="186"/>
      <c r="B219" s="573" t="s">
        <v>2686</v>
      </c>
      <c r="C219" s="574" t="s">
        <v>2687</v>
      </c>
      <c r="D219" s="575">
        <f>+'Alimentazione SP P'!H10</f>
        <v>0</v>
      </c>
      <c r="E219" s="575">
        <f>+'Alimentazione SP P'!I10</f>
        <v>0</v>
      </c>
      <c r="F219" s="561"/>
      <c r="G219" s="577"/>
      <c r="J219" s="560"/>
      <c r="K219" s="560"/>
    </row>
    <row r="220" spans="1:11" s="576" customFormat="1" ht="24.95" customHeight="1">
      <c r="A220" s="186"/>
      <c r="B220" s="579" t="s">
        <v>2688</v>
      </c>
      <c r="C220" s="580" t="s">
        <v>2689</v>
      </c>
      <c r="D220" s="575">
        <f>+'Alimentazione SP P'!H12+'Alimentazione SP P'!H13</f>
        <v>322225684.10000002</v>
      </c>
      <c r="E220" s="575">
        <f>+'Alimentazione SP P'!I12+'Alimentazione SP P'!I13</f>
        <v>285855713.45999998</v>
      </c>
      <c r="F220" s="561"/>
      <c r="G220" s="577"/>
      <c r="J220" s="560"/>
      <c r="K220" s="560"/>
    </row>
    <row r="221" spans="1:11" s="576" customFormat="1" ht="24.95" customHeight="1">
      <c r="A221" s="186"/>
      <c r="B221" s="579" t="s">
        <v>2690</v>
      </c>
      <c r="C221" s="580" t="s">
        <v>2691</v>
      </c>
      <c r="D221" s="575">
        <f>+'Alimentazione SP P'!H15+'Alimentazione SP P'!H16</f>
        <v>8784473.5999999996</v>
      </c>
      <c r="E221" s="575">
        <f>+'Alimentazione SP P'!I15+'Alimentazione SP P'!I16</f>
        <v>11033906.6</v>
      </c>
      <c r="F221" s="561"/>
      <c r="G221" s="577"/>
      <c r="J221" s="560"/>
      <c r="K221" s="560"/>
    </row>
    <row r="222" spans="1:11" s="576" customFormat="1" ht="24.95" customHeight="1">
      <c r="A222" s="186"/>
      <c r="B222" s="579" t="s">
        <v>2692</v>
      </c>
      <c r="C222" s="580" t="s">
        <v>2693</v>
      </c>
      <c r="D222" s="575">
        <f>+'Alimentazione SP P'!H17</f>
        <v>18825.72</v>
      </c>
      <c r="E222" s="575">
        <f>+'Alimentazione SP P'!I17</f>
        <v>23095.4</v>
      </c>
      <c r="F222" s="561"/>
      <c r="G222" s="577"/>
      <c r="J222" s="560"/>
      <c r="K222" s="560"/>
    </row>
    <row r="223" spans="1:11" s="576" customFormat="1" ht="24.95" customHeight="1">
      <c r="A223" s="186"/>
      <c r="B223" s="635" t="s">
        <v>2694</v>
      </c>
      <c r="C223" s="636" t="s">
        <v>2695</v>
      </c>
      <c r="D223" s="575">
        <f>+'Alimentazione SP P'!H18</f>
        <v>17827103.129999999</v>
      </c>
      <c r="E223" s="575">
        <f>+'Alimentazione SP P'!I18</f>
        <v>14041901.139999999</v>
      </c>
      <c r="F223" s="561"/>
      <c r="G223" s="577"/>
      <c r="J223" s="560"/>
      <c r="K223" s="560"/>
    </row>
    <row r="224" spans="1:11" s="576" customFormat="1" ht="24.95" customHeight="1">
      <c r="A224" s="563"/>
      <c r="B224" s="564" t="s">
        <v>2696</v>
      </c>
      <c r="C224" s="565" t="s">
        <v>2697</v>
      </c>
      <c r="D224" s="566">
        <f>+D225+D226+D227+D228+D229</f>
        <v>5522375.1799999997</v>
      </c>
      <c r="E224" s="566">
        <f>+E225+E226+E227+E228+E229</f>
        <v>7208512.4399999995</v>
      </c>
      <c r="F224" s="561"/>
      <c r="G224" s="577"/>
      <c r="J224" s="560"/>
      <c r="K224" s="560"/>
    </row>
    <row r="225" spans="1:11" s="576" customFormat="1" ht="24.95" customHeight="1">
      <c r="A225" s="165"/>
      <c r="B225" s="579" t="s">
        <v>2698</v>
      </c>
      <c r="C225" s="580" t="s">
        <v>2699</v>
      </c>
      <c r="D225" s="575">
        <f>+'Alimentazione SP P'!H20</f>
        <v>0</v>
      </c>
      <c r="E225" s="575">
        <f>+'Alimentazione SP P'!I20</f>
        <v>0</v>
      </c>
      <c r="F225" s="561"/>
      <c r="G225" s="577"/>
      <c r="J225" s="560"/>
      <c r="K225" s="560"/>
    </row>
    <row r="226" spans="1:11" s="576" customFormat="1" ht="24.95" customHeight="1">
      <c r="A226" s="165"/>
      <c r="B226" s="579" t="s">
        <v>2700</v>
      </c>
      <c r="C226" s="580" t="s">
        <v>2701</v>
      </c>
      <c r="D226" s="575">
        <f>+'Alimentazione SP P'!H21</f>
        <v>12438.11</v>
      </c>
      <c r="E226" s="575">
        <f>+'Alimentazione SP P'!I21</f>
        <v>12438.11</v>
      </c>
      <c r="F226" s="561"/>
      <c r="G226" s="577"/>
      <c r="J226" s="560"/>
      <c r="K226" s="560"/>
    </row>
    <row r="227" spans="1:11" s="576" customFormat="1" ht="24.95" customHeight="1">
      <c r="A227" s="165"/>
      <c r="B227" s="579" t="s">
        <v>2702</v>
      </c>
      <c r="C227" s="580" t="s">
        <v>2703</v>
      </c>
      <c r="D227" s="575">
        <f>+'Alimentazione SP P'!H22</f>
        <v>7098.32</v>
      </c>
      <c r="E227" s="575">
        <f>+'Alimentazione SP P'!I22</f>
        <v>7433.74</v>
      </c>
      <c r="F227" s="561"/>
      <c r="G227" s="577"/>
      <c r="J227" s="560"/>
      <c r="K227" s="560"/>
    </row>
    <row r="228" spans="1:11" s="576" customFormat="1" ht="24.95" customHeight="1">
      <c r="A228" s="165"/>
      <c r="B228" s="579" t="s">
        <v>2704</v>
      </c>
      <c r="C228" s="580" t="s">
        <v>2705</v>
      </c>
      <c r="D228" s="575">
        <f>+'Alimentazione SP P'!H23</f>
        <v>1445970.11</v>
      </c>
      <c r="E228" s="575">
        <f>+'Alimentazione SP P'!I23</f>
        <v>1217244.67</v>
      </c>
      <c r="F228" s="561"/>
      <c r="G228" s="577"/>
      <c r="J228" s="560"/>
      <c r="K228" s="560"/>
    </row>
    <row r="229" spans="1:11" s="576" customFormat="1" ht="24.95" customHeight="1">
      <c r="A229" s="165"/>
      <c r="B229" s="579" t="s">
        <v>2706</v>
      </c>
      <c r="C229" s="580" t="s">
        <v>2707</v>
      </c>
      <c r="D229" s="575">
        <f>+'Alimentazione SP P'!H24</f>
        <v>4056868.64</v>
      </c>
      <c r="E229" s="575">
        <f>+'Alimentazione SP P'!I24</f>
        <v>5971395.9199999999</v>
      </c>
      <c r="F229" s="561"/>
      <c r="G229" s="577"/>
      <c r="J229" s="560"/>
      <c r="K229" s="560"/>
    </row>
    <row r="230" spans="1:11" s="576" customFormat="1" ht="24.95" customHeight="1">
      <c r="A230" s="637"/>
      <c r="B230" s="564" t="s">
        <v>2708</v>
      </c>
      <c r="C230" s="565" t="s">
        <v>2709</v>
      </c>
      <c r="D230" s="566">
        <f>+D231+D232+D233</f>
        <v>0</v>
      </c>
      <c r="E230" s="566">
        <f>+E231+E232+E233</f>
        <v>0</v>
      </c>
      <c r="F230" s="561"/>
      <c r="G230" s="577"/>
      <c r="J230" s="560"/>
      <c r="K230" s="560"/>
    </row>
    <row r="231" spans="1:11" s="576" customFormat="1" ht="24.95" customHeight="1">
      <c r="A231" s="165"/>
      <c r="B231" s="579" t="s">
        <v>2710</v>
      </c>
      <c r="C231" s="580" t="s">
        <v>2711</v>
      </c>
      <c r="D231" s="575">
        <f>+'Alimentazione SP P'!H26</f>
        <v>0</v>
      </c>
      <c r="E231" s="575">
        <f>+'Alimentazione SP P'!I26</f>
        <v>0</v>
      </c>
      <c r="F231" s="561"/>
      <c r="G231" s="577"/>
      <c r="J231" s="560"/>
      <c r="K231" s="560"/>
    </row>
    <row r="232" spans="1:11" s="576" customFormat="1" ht="24.95" customHeight="1">
      <c r="A232" s="165"/>
      <c r="B232" s="579" t="s">
        <v>2712</v>
      </c>
      <c r="C232" s="580" t="s">
        <v>2713</v>
      </c>
      <c r="D232" s="575">
        <f>+'Alimentazione SP P'!H27</f>
        <v>0</v>
      </c>
      <c r="E232" s="575">
        <f>+'Alimentazione SP P'!I27</f>
        <v>0</v>
      </c>
      <c r="F232" s="561"/>
      <c r="G232" s="577"/>
      <c r="J232" s="560"/>
      <c r="K232" s="560"/>
    </row>
    <row r="233" spans="1:11" s="576" customFormat="1" ht="24.95" customHeight="1">
      <c r="A233" s="165"/>
      <c r="B233" s="579" t="s">
        <v>2714</v>
      </c>
      <c r="C233" s="580" t="s">
        <v>2715</v>
      </c>
      <c r="D233" s="575">
        <f>+'Alimentazione SP P'!H28</f>
        <v>0</v>
      </c>
      <c r="E233" s="575">
        <f>+'Alimentazione SP P'!I28</f>
        <v>0</v>
      </c>
      <c r="F233" s="561"/>
      <c r="G233" s="577"/>
      <c r="J233" s="560"/>
      <c r="K233" s="560"/>
    </row>
    <row r="234" spans="1:11" s="576" customFormat="1" ht="24.95" customHeight="1">
      <c r="A234" s="165"/>
      <c r="B234" s="635" t="s">
        <v>2716</v>
      </c>
      <c r="C234" s="636" t="s">
        <v>2717</v>
      </c>
      <c r="D234" s="575">
        <f>+'Alimentazione SP P'!H29</f>
        <v>0</v>
      </c>
      <c r="E234" s="575">
        <f>+'Alimentazione SP P'!I29</f>
        <v>0</v>
      </c>
      <c r="F234" s="561"/>
      <c r="G234" s="577"/>
      <c r="J234" s="560"/>
      <c r="K234" s="560"/>
    </row>
    <row r="235" spans="1:11" s="576" customFormat="1" ht="24.95" customHeight="1" thickBot="1">
      <c r="A235" s="582"/>
      <c r="B235" s="639" t="s">
        <v>2718</v>
      </c>
      <c r="C235" s="640" t="s">
        <v>2719</v>
      </c>
      <c r="D235" s="575">
        <f>+'Alimentazione SP P'!H30</f>
        <v>77845.440000000002</v>
      </c>
      <c r="E235" s="575">
        <f>+'Alimentazione SP P'!I30</f>
        <v>400963.87959999999</v>
      </c>
      <c r="F235" s="561"/>
      <c r="G235" s="577"/>
      <c r="J235" s="560"/>
      <c r="K235" s="560"/>
    </row>
    <row r="236" spans="1:11" s="576" customFormat="1" ht="24.95" customHeight="1">
      <c r="A236" s="556"/>
      <c r="B236" s="557" t="s">
        <v>2720</v>
      </c>
      <c r="C236" s="558" t="s">
        <v>2721</v>
      </c>
      <c r="D236" s="589">
        <f>+D237+D238+D246+D255+D261</f>
        <v>61539517.119999997</v>
      </c>
      <c r="E236" s="589">
        <f>+E237+E238+E246+E255+E261</f>
        <v>35816757.196799196</v>
      </c>
      <c r="F236" s="561"/>
      <c r="G236" s="577"/>
      <c r="J236" s="560"/>
      <c r="K236" s="560"/>
    </row>
    <row r="237" spans="1:11" s="576" customFormat="1" ht="24.95" customHeight="1">
      <c r="A237" s="165"/>
      <c r="B237" s="635" t="s">
        <v>2722</v>
      </c>
      <c r="C237" s="636" t="s">
        <v>2723</v>
      </c>
      <c r="D237" s="575">
        <f>+'Alimentazione SP P'!H116</f>
        <v>318314.21000000002</v>
      </c>
      <c r="E237" s="575">
        <f>+'Alimentazione SP P'!I116</f>
        <v>318314.21000000002</v>
      </c>
      <c r="F237" s="561"/>
      <c r="G237" s="577"/>
      <c r="J237" s="560"/>
      <c r="K237" s="560"/>
    </row>
    <row r="238" spans="1:11" s="576" customFormat="1" ht="24.95" customHeight="1">
      <c r="A238" s="563"/>
      <c r="B238" s="564" t="s">
        <v>2724</v>
      </c>
      <c r="C238" s="565" t="s">
        <v>2725</v>
      </c>
      <c r="D238" s="566">
        <f>SUM(D239:D245)</f>
        <v>9922010.8200000003</v>
      </c>
      <c r="E238" s="566">
        <f>SUM(E239:E245)</f>
        <v>6829975.46</v>
      </c>
      <c r="F238" s="561"/>
      <c r="G238" s="577"/>
      <c r="J238" s="560"/>
      <c r="K238" s="560"/>
    </row>
    <row r="239" spans="1:11" s="576" customFormat="1" ht="24.95" customHeight="1">
      <c r="A239" s="165"/>
      <c r="B239" s="579" t="s">
        <v>2726</v>
      </c>
      <c r="C239" s="580" t="s">
        <v>2727</v>
      </c>
      <c r="D239" s="575">
        <f>+'Alimentazione SP P'!H118</f>
        <v>7236618.6600000001</v>
      </c>
      <c r="E239" s="575">
        <f>+'Alimentazione SP P'!I118</f>
        <v>4905211.7799999993</v>
      </c>
      <c r="F239" s="561"/>
      <c r="G239" s="577"/>
      <c r="J239" s="560"/>
      <c r="K239" s="560"/>
    </row>
    <row r="240" spans="1:11" s="576" customFormat="1" ht="24.95" customHeight="1">
      <c r="A240" s="165"/>
      <c r="B240" s="579" t="s">
        <v>2728</v>
      </c>
      <c r="C240" s="580" t="s">
        <v>2729</v>
      </c>
      <c r="D240" s="575">
        <f>+'Alimentazione SP P'!H119</f>
        <v>748885.44</v>
      </c>
      <c r="E240" s="575">
        <f>+'Alimentazione SP P'!I119</f>
        <v>564415.87</v>
      </c>
      <c r="F240" s="561"/>
      <c r="G240" s="577"/>
      <c r="J240" s="560"/>
      <c r="K240" s="560"/>
    </row>
    <row r="241" spans="1:11" s="576" customFormat="1" ht="24.95" customHeight="1">
      <c r="A241" s="165"/>
      <c r="B241" s="579" t="s">
        <v>2730</v>
      </c>
      <c r="C241" s="580" t="s">
        <v>2731</v>
      </c>
      <c r="D241" s="575">
        <f>+'Alimentazione SP P'!H120</f>
        <v>1250872.6599999999</v>
      </c>
      <c r="E241" s="575">
        <f>+'Alimentazione SP P'!I120</f>
        <v>1025537.66</v>
      </c>
      <c r="F241" s="561"/>
      <c r="G241" s="577"/>
      <c r="J241" s="560"/>
      <c r="K241" s="560"/>
    </row>
    <row r="242" spans="1:11" s="576" customFormat="1" ht="24.95" customHeight="1">
      <c r="A242" s="165"/>
      <c r="B242" s="579" t="s">
        <v>2732</v>
      </c>
      <c r="C242" s="580" t="s">
        <v>2733</v>
      </c>
      <c r="D242" s="575">
        <f>+'Alimentazione SP P'!H121</f>
        <v>0</v>
      </c>
      <c r="E242" s="575">
        <f>+'Alimentazione SP P'!I121</f>
        <v>0</v>
      </c>
      <c r="F242" s="561"/>
      <c r="G242" s="577"/>
      <c r="J242" s="560"/>
      <c r="K242" s="560"/>
    </row>
    <row r="243" spans="1:11" s="576" customFormat="1" ht="24.95" customHeight="1">
      <c r="A243" s="165"/>
      <c r="B243" s="641" t="s">
        <v>2734</v>
      </c>
      <c r="C243" s="642" t="s">
        <v>2735</v>
      </c>
      <c r="D243" s="575">
        <f>+'Alimentazione SP P'!H122</f>
        <v>0</v>
      </c>
      <c r="E243" s="575">
        <f>+'Alimentazione SP P'!I122</f>
        <v>0</v>
      </c>
      <c r="F243" s="561"/>
      <c r="G243" s="577"/>
      <c r="J243" s="560"/>
      <c r="K243" s="560"/>
    </row>
    <row r="244" spans="1:11" s="576" customFormat="1" ht="24.95" customHeight="1">
      <c r="A244" s="165"/>
      <c r="B244" s="641" t="s">
        <v>2736</v>
      </c>
      <c r="C244" s="642" t="s">
        <v>2737</v>
      </c>
      <c r="D244" s="575">
        <f>+'Alimentazione SP P'!H123</f>
        <v>0</v>
      </c>
      <c r="E244" s="575">
        <f>+'Alimentazione SP P'!I123</f>
        <v>0</v>
      </c>
      <c r="F244" s="561"/>
      <c r="G244" s="577"/>
      <c r="J244" s="560"/>
      <c r="K244" s="560"/>
    </row>
    <row r="245" spans="1:11" s="576" customFormat="1" ht="24.95" customHeight="1">
      <c r="A245" s="165"/>
      <c r="B245" s="641" t="s">
        <v>2738</v>
      </c>
      <c r="C245" s="642" t="s">
        <v>2739</v>
      </c>
      <c r="D245" s="575">
        <f>+'Alimentazione SP P'!H125+'Alimentazione SP P'!H126+'Alimentazione SP P'!H127</f>
        <v>685634.06</v>
      </c>
      <c r="E245" s="575">
        <f>+'Alimentazione SP P'!I125+'Alimentazione SP P'!I126+'Alimentazione SP P'!I127</f>
        <v>334810.15000000002</v>
      </c>
      <c r="F245" s="561"/>
      <c r="G245" s="577"/>
      <c r="J245" s="560"/>
      <c r="K245" s="560"/>
    </row>
    <row r="246" spans="1:11" s="576" customFormat="1" ht="24.95" customHeight="1">
      <c r="A246" s="563"/>
      <c r="B246" s="564" t="s">
        <v>2740</v>
      </c>
      <c r="C246" s="565" t="s">
        <v>2741</v>
      </c>
      <c r="D246" s="566">
        <f>SUM(D247:D254)</f>
        <v>0</v>
      </c>
      <c r="E246" s="566">
        <f>SUM(E247:E254)</f>
        <v>0</v>
      </c>
      <c r="F246" s="561"/>
      <c r="G246" s="577"/>
      <c r="J246" s="560"/>
      <c r="K246" s="560"/>
    </row>
    <row r="247" spans="1:11" s="576" customFormat="1" ht="24.95" customHeight="1">
      <c r="A247" s="165"/>
      <c r="B247" s="579" t="s">
        <v>2742</v>
      </c>
      <c r="C247" s="580" t="s">
        <v>2743</v>
      </c>
      <c r="D247" s="575">
        <f>+'Alimentazione SP P'!H129</f>
        <v>0</v>
      </c>
      <c r="E247" s="575">
        <f>+'Alimentazione SP P'!I129</f>
        <v>0</v>
      </c>
      <c r="F247" s="561"/>
      <c r="G247" s="577"/>
      <c r="J247" s="560"/>
      <c r="K247" s="560"/>
    </row>
    <row r="248" spans="1:11" s="576" customFormat="1" ht="24.95" customHeight="1">
      <c r="A248" s="165"/>
      <c r="B248" s="579" t="s">
        <v>2744</v>
      </c>
      <c r="C248" s="580" t="s">
        <v>2745</v>
      </c>
      <c r="D248" s="575">
        <f>+'Alimentazione SP P'!H130</f>
        <v>0</v>
      </c>
      <c r="E248" s="575">
        <f>+'Alimentazione SP P'!I130</f>
        <v>0</v>
      </c>
      <c r="F248" s="561"/>
      <c r="G248" s="577"/>
      <c r="J248" s="560"/>
      <c r="K248" s="560"/>
    </row>
    <row r="249" spans="1:11" s="576" customFormat="1" ht="24.95" customHeight="1">
      <c r="A249" s="165"/>
      <c r="B249" s="579" t="s">
        <v>2746</v>
      </c>
      <c r="C249" s="580" t="s">
        <v>2747</v>
      </c>
      <c r="D249" s="575">
        <f>+'Alimentazione SP P'!H131</f>
        <v>0</v>
      </c>
      <c r="E249" s="575">
        <f>+'Alimentazione SP P'!I131</f>
        <v>0</v>
      </c>
      <c r="F249" s="561"/>
      <c r="G249" s="577"/>
      <c r="J249" s="560"/>
      <c r="K249" s="560"/>
    </row>
    <row r="250" spans="1:11" s="576" customFormat="1" ht="24.95" customHeight="1">
      <c r="A250" s="165"/>
      <c r="B250" s="579" t="s">
        <v>2748</v>
      </c>
      <c r="C250" s="580" t="s">
        <v>2749</v>
      </c>
      <c r="D250" s="575">
        <f>+'Alimentazione SP P'!H132</f>
        <v>0</v>
      </c>
      <c r="E250" s="575">
        <f>+'Alimentazione SP P'!I132</f>
        <v>0</v>
      </c>
      <c r="F250" s="561"/>
      <c r="G250" s="577"/>
      <c r="J250" s="560"/>
      <c r="K250" s="560"/>
    </row>
    <row r="251" spans="1:11" s="576" customFormat="1" ht="24.95" customHeight="1">
      <c r="A251" s="165"/>
      <c r="B251" s="579" t="s">
        <v>2750</v>
      </c>
      <c r="C251" s="580" t="s">
        <v>2751</v>
      </c>
      <c r="D251" s="575">
        <f>+'Alimentazione SP P'!H133</f>
        <v>0</v>
      </c>
      <c r="E251" s="575">
        <f>+'Alimentazione SP P'!I133</f>
        <v>0</v>
      </c>
      <c r="F251" s="561"/>
      <c r="G251" s="577"/>
      <c r="J251" s="560"/>
      <c r="K251" s="560"/>
    </row>
    <row r="252" spans="1:11" s="576" customFormat="1" ht="24.95" customHeight="1">
      <c r="A252" s="165"/>
      <c r="B252" s="579" t="s">
        <v>2752</v>
      </c>
      <c r="C252" s="580" t="s">
        <v>2753</v>
      </c>
      <c r="D252" s="575">
        <f>+'Alimentazione SP P'!H134</f>
        <v>0</v>
      </c>
      <c r="E252" s="575">
        <f>+'Alimentazione SP P'!I134</f>
        <v>0</v>
      </c>
      <c r="F252" s="561"/>
      <c r="G252" s="577"/>
      <c r="J252" s="560"/>
      <c r="K252" s="560"/>
    </row>
    <row r="253" spans="1:11" s="576" customFormat="1" ht="24.95" customHeight="1">
      <c r="A253" s="165"/>
      <c r="B253" s="579" t="s">
        <v>2754</v>
      </c>
      <c r="C253" s="580" t="s">
        <v>2755</v>
      </c>
      <c r="D253" s="575">
        <f>+'Alimentazione SP P'!H135</f>
        <v>0</v>
      </c>
      <c r="E253" s="575">
        <f>+'Alimentazione SP P'!I135</f>
        <v>0</v>
      </c>
      <c r="F253" s="561"/>
      <c r="G253" s="577"/>
      <c r="J253" s="560"/>
      <c r="K253" s="560"/>
    </row>
    <row r="254" spans="1:11" s="576" customFormat="1" ht="33.75" customHeight="1">
      <c r="A254" s="165"/>
      <c r="B254" s="643" t="s">
        <v>2756</v>
      </c>
      <c r="C254" s="644" t="s">
        <v>2757</v>
      </c>
      <c r="D254" s="575">
        <f>+'Alimentazione SP P'!H136</f>
        <v>0</v>
      </c>
      <c r="E254" s="575">
        <f>+'Alimentazione SP P'!I136</f>
        <v>0</v>
      </c>
      <c r="F254" s="561"/>
      <c r="G254" s="577"/>
      <c r="J254" s="560"/>
      <c r="K254" s="560"/>
    </row>
    <row r="255" spans="1:11" s="576" customFormat="1" ht="24.95" customHeight="1">
      <c r="A255" s="563"/>
      <c r="B255" s="564" t="s">
        <v>2758</v>
      </c>
      <c r="C255" s="565" t="s">
        <v>2759</v>
      </c>
      <c r="D255" s="566">
        <f>SUM(D256:D260)</f>
        <v>33403104.41</v>
      </c>
      <c r="E255" s="566">
        <f>SUM(E256:E260)</f>
        <v>12549290.976799196</v>
      </c>
      <c r="F255" s="561"/>
      <c r="G255" s="577"/>
      <c r="J255" s="560"/>
      <c r="K255" s="560"/>
    </row>
    <row r="256" spans="1:11" s="604" customFormat="1" ht="24.95" customHeight="1">
      <c r="A256" s="165"/>
      <c r="B256" s="641" t="s">
        <v>2760</v>
      </c>
      <c r="C256" s="642" t="s">
        <v>2761</v>
      </c>
      <c r="D256" s="575">
        <f>+'Alimentazione SP P'!H138</f>
        <v>14055857.43</v>
      </c>
      <c r="E256" s="575">
        <f>+'Alimentazione SP P'!I138</f>
        <v>0</v>
      </c>
      <c r="F256" s="561"/>
      <c r="G256" s="577"/>
      <c r="J256" s="560"/>
      <c r="K256" s="560"/>
    </row>
    <row r="257" spans="1:11" s="576" customFormat="1" ht="24.95" customHeight="1">
      <c r="A257" s="165"/>
      <c r="B257" s="579" t="s">
        <v>2762</v>
      </c>
      <c r="C257" s="580" t="s">
        <v>2763</v>
      </c>
      <c r="D257" s="575">
        <f>+'Alimentazione SP P'!H139</f>
        <v>3860014.36</v>
      </c>
      <c r="E257" s="575">
        <f>+'Alimentazione SP P'!I139</f>
        <v>1447339.92</v>
      </c>
      <c r="F257" s="561"/>
      <c r="G257" s="577"/>
      <c r="J257" s="560"/>
      <c r="K257" s="560"/>
    </row>
    <row r="258" spans="1:11" s="576" customFormat="1" ht="24.95" customHeight="1">
      <c r="A258" s="165"/>
      <c r="B258" s="579" t="s">
        <v>2764</v>
      </c>
      <c r="C258" s="580" t="s">
        <v>2765</v>
      </c>
      <c r="D258" s="575">
        <f>+'Alimentazione SP P'!H140</f>
        <v>9749357.4299999997</v>
      </c>
      <c r="E258" s="575">
        <f>+'Alimentazione SP P'!I140</f>
        <v>5625372.3895999994</v>
      </c>
      <c r="F258" s="561"/>
      <c r="G258" s="577"/>
      <c r="J258" s="560"/>
      <c r="K258" s="560"/>
    </row>
    <row r="259" spans="1:11" s="576" customFormat="1" ht="24.95" customHeight="1">
      <c r="A259" s="165"/>
      <c r="B259" s="579" t="s">
        <v>2766</v>
      </c>
      <c r="C259" s="580" t="s">
        <v>2767</v>
      </c>
      <c r="D259" s="575">
        <f>+'Alimentazione SP P'!H141</f>
        <v>0</v>
      </c>
      <c r="E259" s="575">
        <f>+'Alimentazione SP P'!I141</f>
        <v>0</v>
      </c>
      <c r="F259" s="561"/>
      <c r="G259" s="577"/>
      <c r="J259" s="560"/>
      <c r="K259" s="560"/>
    </row>
    <row r="260" spans="1:11" s="576" customFormat="1" ht="24.95" customHeight="1">
      <c r="A260" s="165"/>
      <c r="B260" s="579" t="s">
        <v>2768</v>
      </c>
      <c r="C260" s="580" t="s">
        <v>2769</v>
      </c>
      <c r="D260" s="575">
        <f>+'Alimentazione SP P'!H143+'Alimentazione SP P'!H144</f>
        <v>5737875.1900000004</v>
      </c>
      <c r="E260" s="575">
        <f>+'Alimentazione SP P'!I143+'Alimentazione SP P'!I144</f>
        <v>5476578.6671991963</v>
      </c>
      <c r="F260" s="561"/>
      <c r="G260" s="577"/>
      <c r="J260" s="560"/>
      <c r="K260" s="560"/>
    </row>
    <row r="261" spans="1:11" s="576" customFormat="1" ht="24.95" customHeight="1">
      <c r="A261" s="563"/>
      <c r="B261" s="564" t="s">
        <v>2770</v>
      </c>
      <c r="C261" s="565" t="s">
        <v>2771</v>
      </c>
      <c r="D261" s="566">
        <f>+D262+D263+D267+D268</f>
        <v>17896087.68</v>
      </c>
      <c r="E261" s="566">
        <f>+E262+E263+E267+E268</f>
        <v>16119176.550000001</v>
      </c>
      <c r="F261" s="561"/>
      <c r="G261" s="577"/>
      <c r="J261" s="560"/>
      <c r="K261" s="560"/>
    </row>
    <row r="262" spans="1:11" s="576" customFormat="1" ht="24.95" customHeight="1">
      <c r="A262" s="165"/>
      <c r="B262" s="579" t="s">
        <v>2772</v>
      </c>
      <c r="C262" s="580" t="s">
        <v>2773</v>
      </c>
      <c r="D262" s="575">
        <f>+'Alimentazione SP P'!H146</f>
        <v>0</v>
      </c>
      <c r="E262" s="575">
        <f>+'Alimentazione SP P'!I146</f>
        <v>0</v>
      </c>
      <c r="F262" s="561"/>
      <c r="G262" s="577"/>
      <c r="J262" s="560"/>
      <c r="K262" s="560"/>
    </row>
    <row r="263" spans="1:11" s="576" customFormat="1" ht="24.95" customHeight="1">
      <c r="A263" s="578"/>
      <c r="B263" s="569" t="s">
        <v>2774</v>
      </c>
      <c r="C263" s="570" t="s">
        <v>2775</v>
      </c>
      <c r="D263" s="571">
        <f>+D264+D265+D266</f>
        <v>13226273.51</v>
      </c>
      <c r="E263" s="571">
        <f>+E264+E265+E266</f>
        <v>11202923.630000001</v>
      </c>
      <c r="F263" s="561"/>
      <c r="G263" s="577"/>
      <c r="J263" s="560"/>
      <c r="K263" s="560"/>
    </row>
    <row r="264" spans="1:11" s="576" customFormat="1" ht="24.95" customHeight="1">
      <c r="A264" s="165"/>
      <c r="B264" s="573" t="s">
        <v>2776</v>
      </c>
      <c r="C264" s="574" t="s">
        <v>2777</v>
      </c>
      <c r="D264" s="575">
        <f>+'Alimentazione SP P'!H148</f>
        <v>9049473.8699999992</v>
      </c>
      <c r="E264" s="575">
        <f>+'Alimentazione SP P'!I148</f>
        <v>6735803.0600000005</v>
      </c>
      <c r="F264" s="561"/>
      <c r="G264" s="577"/>
      <c r="J264" s="560"/>
      <c r="K264" s="560"/>
    </row>
    <row r="265" spans="1:11" s="576" customFormat="1" ht="24.95" customHeight="1">
      <c r="A265" s="165"/>
      <c r="B265" s="573" t="s">
        <v>2778</v>
      </c>
      <c r="C265" s="574" t="s">
        <v>2779</v>
      </c>
      <c r="D265" s="575">
        <f>+'Alimentazione SP P'!H149</f>
        <v>3761251.43</v>
      </c>
      <c r="E265" s="575">
        <f>+'Alimentazione SP P'!I149</f>
        <v>4117146.99</v>
      </c>
      <c r="F265" s="561"/>
      <c r="G265" s="577"/>
      <c r="J265" s="560"/>
      <c r="K265" s="560"/>
    </row>
    <row r="266" spans="1:11" s="576" customFormat="1" ht="24.95" customHeight="1">
      <c r="A266" s="165"/>
      <c r="B266" s="573" t="s">
        <v>2780</v>
      </c>
      <c r="C266" s="574" t="s">
        <v>2781</v>
      </c>
      <c r="D266" s="575">
        <f>+'Alimentazione SP P'!H150</f>
        <v>415548.21</v>
      </c>
      <c r="E266" s="575">
        <f>+'Alimentazione SP P'!I150</f>
        <v>349973.57999999996</v>
      </c>
      <c r="F266" s="561"/>
      <c r="G266" s="577"/>
      <c r="J266" s="560"/>
      <c r="K266" s="560"/>
    </row>
    <row r="267" spans="1:11" s="576" customFormat="1" ht="24.95" customHeight="1">
      <c r="A267" s="631"/>
      <c r="B267" s="645" t="s">
        <v>2782</v>
      </c>
      <c r="C267" s="646" t="s">
        <v>2783</v>
      </c>
      <c r="D267" s="575">
        <f>+'Alimentazione SP P'!H152+'Alimentazione SP P'!H153</f>
        <v>4314916.26</v>
      </c>
      <c r="E267" s="575">
        <f>+'Alimentazione SP P'!I152+'Alimentazione SP P'!I153</f>
        <v>4492943.5599999996</v>
      </c>
      <c r="F267" s="561"/>
      <c r="G267" s="577"/>
      <c r="J267" s="560"/>
      <c r="K267" s="560"/>
    </row>
    <row r="268" spans="1:11" s="604" customFormat="1" ht="24.95" customHeight="1">
      <c r="A268" s="185"/>
      <c r="B268" s="647" t="s">
        <v>2784</v>
      </c>
      <c r="C268" s="648" t="s">
        <v>2785</v>
      </c>
      <c r="D268" s="575">
        <f>+'Alimentazione SP P'!H154</f>
        <v>354897.91</v>
      </c>
      <c r="E268" s="575">
        <f>+'Alimentazione SP P'!I154</f>
        <v>423309.36</v>
      </c>
      <c r="F268" s="561"/>
      <c r="G268" s="577"/>
      <c r="J268" s="560"/>
      <c r="K268" s="560"/>
    </row>
    <row r="269" spans="1:11" s="576" customFormat="1" ht="24.95" customHeight="1">
      <c r="A269" s="556"/>
      <c r="B269" s="649" t="s">
        <v>2786</v>
      </c>
      <c r="C269" s="627" t="s">
        <v>2787</v>
      </c>
      <c r="D269" s="628">
        <f>+D270+D271+D272</f>
        <v>3449494.43</v>
      </c>
      <c r="E269" s="628">
        <f>+E270+E271+E272</f>
        <v>3316528.42</v>
      </c>
      <c r="F269" s="561"/>
      <c r="G269" s="577"/>
      <c r="J269" s="560"/>
      <c r="K269" s="560"/>
    </row>
    <row r="270" spans="1:11" s="576" customFormat="1" ht="24.95" customHeight="1">
      <c r="A270" s="165"/>
      <c r="B270" s="635" t="s">
        <v>2788</v>
      </c>
      <c r="C270" s="636" t="s">
        <v>2789</v>
      </c>
      <c r="D270" s="575">
        <f>+'Alimentazione SP P'!H156</f>
        <v>3449494.43</v>
      </c>
      <c r="E270" s="575">
        <f>+'Alimentazione SP P'!I156</f>
        <v>3316528.42</v>
      </c>
      <c r="F270" s="561"/>
      <c r="G270" s="577"/>
      <c r="J270" s="560"/>
      <c r="K270" s="560"/>
    </row>
    <row r="271" spans="1:11" s="576" customFormat="1" ht="24.95" customHeight="1">
      <c r="A271" s="165"/>
      <c r="B271" s="635" t="s">
        <v>2790</v>
      </c>
      <c r="C271" s="636" t="s">
        <v>2791</v>
      </c>
      <c r="D271" s="575">
        <f>+'Alimentazione SP P'!H157</f>
        <v>0</v>
      </c>
      <c r="E271" s="575">
        <f>+'Alimentazione SP P'!I157</f>
        <v>0</v>
      </c>
      <c r="F271" s="561"/>
      <c r="G271" s="577"/>
      <c r="J271" s="560"/>
      <c r="K271" s="560"/>
    </row>
    <row r="272" spans="1:11" s="576" customFormat="1" ht="24.95" customHeight="1" thickBot="1">
      <c r="A272" s="582"/>
      <c r="B272" s="639" t="s">
        <v>2792</v>
      </c>
      <c r="C272" s="640" t="s">
        <v>2793</v>
      </c>
      <c r="D272" s="575">
        <f>+'Alimentazione SP P'!H158</f>
        <v>0</v>
      </c>
      <c r="E272" s="575">
        <f>+'Alimentazione SP P'!I158</f>
        <v>0</v>
      </c>
      <c r="F272" s="561"/>
      <c r="G272" s="577"/>
      <c r="J272" s="560"/>
      <c r="K272" s="560"/>
    </row>
    <row r="273" spans="1:11" s="576" customFormat="1" ht="24.95" customHeight="1">
      <c r="A273" s="650"/>
      <c r="B273" s="651" t="s">
        <v>2794</v>
      </c>
      <c r="C273" s="558" t="s">
        <v>2795</v>
      </c>
      <c r="D273" s="589">
        <f>+D274+D275+D281+D292+D293+D311+D315+D322+D323+D324+D325</f>
        <v>272640445.41000003</v>
      </c>
      <c r="E273" s="589">
        <f>+E274+E275+E281+E292+E293+E311+E315+E322+E323+E324+E325</f>
        <v>222355530.66000003</v>
      </c>
      <c r="F273" s="561"/>
      <c r="G273" s="577"/>
      <c r="J273" s="560"/>
      <c r="K273" s="560"/>
    </row>
    <row r="274" spans="1:11" s="576" customFormat="1" ht="24.95" customHeight="1">
      <c r="A274" s="165"/>
      <c r="B274" s="635" t="s">
        <v>2796</v>
      </c>
      <c r="C274" s="636" t="s">
        <v>2797</v>
      </c>
      <c r="D274" s="575">
        <f>+'Alimentazione SP P'!H160</f>
        <v>0</v>
      </c>
      <c r="E274" s="575">
        <f>+'Alimentazione SP P'!I160</f>
        <v>0</v>
      </c>
      <c r="F274" s="561"/>
      <c r="G274" s="577"/>
      <c r="J274" s="560"/>
      <c r="K274" s="560"/>
    </row>
    <row r="275" spans="1:11" s="576" customFormat="1" ht="24.95" customHeight="1">
      <c r="A275" s="165"/>
      <c r="B275" s="635" t="s">
        <v>2798</v>
      </c>
      <c r="C275" s="636" t="s">
        <v>2799</v>
      </c>
      <c r="D275" s="575">
        <f>SUM(D276:D280)</f>
        <v>408.52</v>
      </c>
      <c r="E275" s="575">
        <f>SUM(E276:E280)</f>
        <v>277.51</v>
      </c>
      <c r="F275" s="561"/>
      <c r="G275" s="577"/>
      <c r="J275" s="560"/>
      <c r="K275" s="560"/>
    </row>
    <row r="276" spans="1:11" s="576" customFormat="1" ht="24.95" customHeight="1">
      <c r="A276" s="195" t="s">
        <v>1595</v>
      </c>
      <c r="B276" s="641" t="s">
        <v>2800</v>
      </c>
      <c r="C276" s="642" t="s">
        <v>2801</v>
      </c>
      <c r="D276" s="575">
        <f>+'Alimentazione SP P'!H162</f>
        <v>0</v>
      </c>
      <c r="E276" s="575">
        <f>+'Alimentazione SP P'!I162</f>
        <v>0</v>
      </c>
      <c r="F276" s="561"/>
      <c r="G276" s="577"/>
      <c r="J276" s="560"/>
      <c r="K276" s="560"/>
    </row>
    <row r="277" spans="1:11" s="576" customFormat="1" ht="24.95" customHeight="1">
      <c r="A277" s="195"/>
      <c r="B277" s="641" t="s">
        <v>2802</v>
      </c>
      <c r="C277" s="642" t="s">
        <v>2803</v>
      </c>
      <c r="D277" s="575">
        <f>+'Alimentazione SP P'!H163</f>
        <v>0</v>
      </c>
      <c r="E277" s="575">
        <f>+'Alimentazione SP P'!I163</f>
        <v>0</v>
      </c>
      <c r="F277" s="561"/>
      <c r="G277" s="577"/>
      <c r="J277" s="560"/>
      <c r="K277" s="560"/>
    </row>
    <row r="278" spans="1:11" s="576" customFormat="1" ht="24.95" customHeight="1">
      <c r="A278" s="184" t="s">
        <v>1599</v>
      </c>
      <c r="B278" s="641" t="s">
        <v>2804</v>
      </c>
      <c r="C278" s="642" t="s">
        <v>2805</v>
      </c>
      <c r="D278" s="575">
        <f>+'Alimentazione SP P'!H164</f>
        <v>0</v>
      </c>
      <c r="E278" s="575">
        <f>+'Alimentazione SP P'!I164</f>
        <v>0</v>
      </c>
      <c r="F278" s="561"/>
      <c r="G278" s="577"/>
      <c r="J278" s="560"/>
      <c r="K278" s="560"/>
    </row>
    <row r="279" spans="1:11" s="576" customFormat="1" ht="24.95" customHeight="1">
      <c r="A279" s="184" t="s">
        <v>1599</v>
      </c>
      <c r="B279" s="641" t="s">
        <v>2806</v>
      </c>
      <c r="C279" s="642" t="s">
        <v>2807</v>
      </c>
      <c r="D279" s="575">
        <f>+'Alimentazione SP P'!H165</f>
        <v>0</v>
      </c>
      <c r="E279" s="575">
        <f>+'Alimentazione SP P'!I165</f>
        <v>0</v>
      </c>
      <c r="F279" s="561"/>
      <c r="G279" s="577"/>
      <c r="J279" s="560"/>
      <c r="K279" s="560"/>
    </row>
    <row r="280" spans="1:11" s="576" customFormat="1" ht="24.95" customHeight="1">
      <c r="A280" s="184" t="s">
        <v>1599</v>
      </c>
      <c r="B280" s="641" t="s">
        <v>2808</v>
      </c>
      <c r="C280" s="642" t="s">
        <v>2809</v>
      </c>
      <c r="D280" s="575">
        <f>+'Alimentazione SP P'!H167+'Alimentazione SP P'!H168+'Alimentazione SP P'!H169+'Alimentazione SP P'!H170</f>
        <v>408.52</v>
      </c>
      <c r="E280" s="575">
        <f>+'Alimentazione SP P'!I167+'Alimentazione SP P'!I168+'Alimentazione SP P'!I169+'Alimentazione SP P'!I170</f>
        <v>277.51</v>
      </c>
      <c r="F280" s="561"/>
      <c r="G280" s="577"/>
      <c r="J280" s="560"/>
      <c r="K280" s="560"/>
    </row>
    <row r="281" spans="1:11" s="576" customFormat="1" ht="24.95" customHeight="1">
      <c r="A281" s="165"/>
      <c r="B281" s="635" t="s">
        <v>2810</v>
      </c>
      <c r="C281" s="636" t="s">
        <v>2811</v>
      </c>
      <c r="D281" s="575">
        <f>SUM(D282:D291)</f>
        <v>37235568.939999998</v>
      </c>
      <c r="E281" s="575">
        <f>SUM(E282:E291)</f>
        <v>23866072.050000001</v>
      </c>
      <c r="F281" s="561"/>
      <c r="G281" s="577"/>
      <c r="J281" s="560"/>
      <c r="K281" s="560"/>
    </row>
    <row r="282" spans="1:11" s="604" customFormat="1" ht="24.95" customHeight="1">
      <c r="A282" s="184" t="s">
        <v>2537</v>
      </c>
      <c r="B282" s="579" t="s">
        <v>2812</v>
      </c>
      <c r="C282" s="580" t="s">
        <v>2813</v>
      </c>
      <c r="D282" s="575">
        <f>'Alimentazione SP P'!H172</f>
        <v>0</v>
      </c>
      <c r="E282" s="575">
        <f>'Alimentazione SP P'!I172</f>
        <v>12842583.300000001</v>
      </c>
      <c r="F282" s="561"/>
      <c r="G282" s="577"/>
      <c r="J282" s="560"/>
      <c r="K282" s="560"/>
    </row>
    <row r="283" spans="1:11" s="604" customFormat="1" ht="24.95" customHeight="1">
      <c r="A283" s="184"/>
      <c r="B283" s="579" t="s">
        <v>2814</v>
      </c>
      <c r="C283" s="580" t="s">
        <v>2815</v>
      </c>
      <c r="D283" s="575">
        <f>'Alimentazione SP P'!H173</f>
        <v>8982792.0700000003</v>
      </c>
      <c r="E283" s="575">
        <f>'Alimentazione SP P'!I173</f>
        <v>0</v>
      </c>
      <c r="F283" s="561"/>
      <c r="G283" s="577"/>
      <c r="J283" s="560"/>
      <c r="K283" s="560"/>
    </row>
    <row r="284" spans="1:11" s="576" customFormat="1" ht="24.95" customHeight="1">
      <c r="A284" s="184" t="s">
        <v>1550</v>
      </c>
      <c r="B284" s="579" t="s">
        <v>2816</v>
      </c>
      <c r="C284" s="580" t="s">
        <v>2817</v>
      </c>
      <c r="D284" s="575">
        <f>+'Alimentazione SP P'!H174</f>
        <v>0</v>
      </c>
      <c r="E284" s="575">
        <f>+'Alimentazione SP P'!I174</f>
        <v>0</v>
      </c>
      <c r="F284" s="561"/>
      <c r="G284" s="577"/>
      <c r="J284" s="560"/>
      <c r="K284" s="560"/>
    </row>
    <row r="285" spans="1:11" s="576" customFormat="1" ht="24.95" customHeight="1">
      <c r="A285" s="195" t="s">
        <v>2537</v>
      </c>
      <c r="B285" s="641" t="s">
        <v>2818</v>
      </c>
      <c r="C285" s="642" t="s">
        <v>2819</v>
      </c>
      <c r="D285" s="575">
        <f>+'Alimentazione SP P'!H175</f>
        <v>804755.18</v>
      </c>
      <c r="E285" s="575">
        <f>+'Alimentazione SP P'!I175</f>
        <v>804755.18</v>
      </c>
      <c r="F285" s="561"/>
      <c r="G285" s="577"/>
      <c r="J285" s="560"/>
      <c r="K285" s="560"/>
    </row>
    <row r="286" spans="1:11" s="604" customFormat="1" ht="24.95" customHeight="1">
      <c r="A286" s="601" t="s">
        <v>2537</v>
      </c>
      <c r="B286" s="652" t="s">
        <v>2820</v>
      </c>
      <c r="C286" s="653" t="s">
        <v>2821</v>
      </c>
      <c r="D286" s="575">
        <f>+'Alimentazione SP P'!H176</f>
        <v>0</v>
      </c>
      <c r="E286" s="575">
        <f>+'Alimentazione SP P'!I176</f>
        <v>0</v>
      </c>
      <c r="F286" s="561"/>
      <c r="G286" s="577"/>
      <c r="J286" s="560"/>
      <c r="K286" s="560"/>
    </row>
    <row r="287" spans="1:11" s="576" customFormat="1" ht="24.95" customHeight="1">
      <c r="A287" s="601" t="s">
        <v>2537</v>
      </c>
      <c r="B287" s="652" t="s">
        <v>2822</v>
      </c>
      <c r="C287" s="653" t="s">
        <v>2823</v>
      </c>
      <c r="D287" s="575">
        <f>+'Alimentazione SP P'!H177</f>
        <v>0</v>
      </c>
      <c r="E287" s="575">
        <f>+'Alimentazione SP P'!I177</f>
        <v>0</v>
      </c>
      <c r="F287" s="561"/>
      <c r="G287" s="577"/>
      <c r="J287" s="560"/>
      <c r="K287" s="560"/>
    </row>
    <row r="288" spans="1:11" s="576" customFormat="1" ht="24.95" customHeight="1">
      <c r="A288" s="601" t="s">
        <v>2537</v>
      </c>
      <c r="B288" s="652" t="s">
        <v>2824</v>
      </c>
      <c r="C288" s="653" t="s">
        <v>2825</v>
      </c>
      <c r="D288" s="575">
        <f>+'Alimentazione SP P'!H178</f>
        <v>0</v>
      </c>
      <c r="E288" s="575">
        <f>+'Alimentazione SP P'!I178</f>
        <v>0</v>
      </c>
      <c r="F288" s="561"/>
      <c r="G288" s="577"/>
      <c r="J288" s="560"/>
      <c r="K288" s="560"/>
    </row>
    <row r="289" spans="1:11" s="576" customFormat="1" ht="24.95" customHeight="1">
      <c r="A289" s="654"/>
      <c r="B289" s="655" t="s">
        <v>2826</v>
      </c>
      <c r="C289" s="656" t="s">
        <v>2827</v>
      </c>
      <c r="D289" s="575">
        <f>+'Alimentazione SP P'!H179</f>
        <v>0</v>
      </c>
      <c r="E289" s="575">
        <f>+'Alimentazione SP P'!I179</f>
        <v>0</v>
      </c>
      <c r="F289" s="561"/>
      <c r="G289" s="577"/>
      <c r="J289" s="560"/>
      <c r="K289" s="560"/>
    </row>
    <row r="290" spans="1:11" s="604" customFormat="1" ht="24.95" customHeight="1">
      <c r="A290" s="657" t="s">
        <v>2537</v>
      </c>
      <c r="B290" s="652" t="s">
        <v>2828</v>
      </c>
      <c r="C290" s="653" t="s">
        <v>2829</v>
      </c>
      <c r="D290" s="575">
        <f>+'Alimentazione SP P'!H180</f>
        <v>0</v>
      </c>
      <c r="E290" s="575">
        <f>+'Alimentazione SP P'!I180</f>
        <v>0</v>
      </c>
      <c r="F290" s="561"/>
      <c r="G290" s="577"/>
      <c r="J290" s="560"/>
      <c r="K290" s="560"/>
    </row>
    <row r="291" spans="1:11" s="604" customFormat="1" ht="24.95" customHeight="1">
      <c r="A291" s="657"/>
      <c r="B291" s="652" t="s">
        <v>2830</v>
      </c>
      <c r="C291" s="653" t="s">
        <v>2831</v>
      </c>
      <c r="D291" s="575">
        <f>+'Alimentazione SP P'!H182+'Alimentazione SP P'!H183+'Alimentazione SP P'!H184+'Alimentazione SP P'!H185+'Alimentazione SP P'!H186</f>
        <v>27448021.690000001</v>
      </c>
      <c r="E291" s="575">
        <f>+'Alimentazione SP P'!I182+'Alimentazione SP P'!I183+'Alimentazione SP P'!I184+'Alimentazione SP P'!I185+'Alimentazione SP P'!I186</f>
        <v>10218733.57</v>
      </c>
      <c r="F291" s="561"/>
      <c r="G291" s="577"/>
      <c r="J291" s="560"/>
      <c r="K291" s="560"/>
    </row>
    <row r="292" spans="1:11" s="576" customFormat="1" ht="24.95" customHeight="1">
      <c r="A292" s="165"/>
      <c r="B292" s="635" t="s">
        <v>2832</v>
      </c>
      <c r="C292" s="636" t="s">
        <v>2833</v>
      </c>
      <c r="D292" s="575">
        <f>+'Alimentazione SP P'!H188+'Alimentazione SP P'!H189+'Alimentazione SP P'!H190+'Alimentazione SP P'!H191</f>
        <v>3200745.49</v>
      </c>
      <c r="E292" s="575">
        <f>+'Alimentazione SP P'!I188+'Alimentazione SP P'!I189+'Alimentazione SP P'!I190+'Alimentazione SP P'!I191</f>
        <v>5281047.7699999996</v>
      </c>
      <c r="F292" s="561"/>
      <c r="G292" s="577"/>
      <c r="J292" s="560"/>
      <c r="K292" s="560"/>
    </row>
    <row r="293" spans="1:11" s="576" customFormat="1" ht="24.95" customHeight="1">
      <c r="A293" s="165"/>
      <c r="B293" s="635" t="s">
        <v>2834</v>
      </c>
      <c r="C293" s="636" t="s">
        <v>2835</v>
      </c>
      <c r="D293" s="575">
        <f>+D294+D304+D305</f>
        <v>70607191.269999996</v>
      </c>
      <c r="E293" s="575">
        <f>+E294+E304+E305</f>
        <v>68943139.879999995</v>
      </c>
      <c r="F293" s="561"/>
      <c r="G293" s="577"/>
      <c r="J293" s="560"/>
      <c r="K293" s="560"/>
    </row>
    <row r="294" spans="1:11" s="576" customFormat="1" ht="24.95" customHeight="1">
      <c r="A294" s="165"/>
      <c r="B294" s="579" t="s">
        <v>2836</v>
      </c>
      <c r="C294" s="580" t="s">
        <v>2837</v>
      </c>
      <c r="D294" s="575">
        <f>SUM(D295:D303)</f>
        <v>69249679.129999995</v>
      </c>
      <c r="E294" s="575">
        <f>SUM(E295:E303)</f>
        <v>68498650.030000001</v>
      </c>
      <c r="F294" s="561"/>
      <c r="G294" s="577"/>
      <c r="J294" s="560"/>
      <c r="K294" s="560"/>
    </row>
    <row r="295" spans="1:11" s="576" customFormat="1" ht="24.95" customHeight="1">
      <c r="A295" s="165" t="s">
        <v>2537</v>
      </c>
      <c r="B295" s="573" t="s">
        <v>2838</v>
      </c>
      <c r="C295" s="574" t="s">
        <v>2839</v>
      </c>
      <c r="D295" s="575">
        <f>+'Alimentazione SP P'!H194</f>
        <v>0</v>
      </c>
      <c r="E295" s="575">
        <f>+'Alimentazione SP P'!I194</f>
        <v>0</v>
      </c>
      <c r="F295" s="561"/>
      <c r="G295" s="577"/>
      <c r="J295" s="560"/>
      <c r="K295" s="560"/>
    </row>
    <row r="296" spans="1:11" s="576" customFormat="1" ht="24.95" customHeight="1">
      <c r="A296" s="165" t="s">
        <v>2537</v>
      </c>
      <c r="B296" s="573" t="s">
        <v>2840</v>
      </c>
      <c r="C296" s="574" t="s">
        <v>2841</v>
      </c>
      <c r="D296" s="575">
        <f>+'Alimentazione SP P'!H195</f>
        <v>0</v>
      </c>
      <c r="E296" s="575">
        <f>+'Alimentazione SP P'!I195</f>
        <v>0</v>
      </c>
      <c r="F296" s="561"/>
      <c r="G296" s="577"/>
      <c r="J296" s="560"/>
      <c r="K296" s="560"/>
    </row>
    <row r="297" spans="1:11" s="576" customFormat="1" ht="24.95" customHeight="1">
      <c r="A297" s="165" t="s">
        <v>2537</v>
      </c>
      <c r="B297" s="573" t="s">
        <v>2842</v>
      </c>
      <c r="C297" s="574" t="s">
        <v>2843</v>
      </c>
      <c r="D297" s="575">
        <f>+'Alimentazione SP P'!H196</f>
        <v>0</v>
      </c>
      <c r="E297" s="575">
        <f>+'Alimentazione SP P'!I196</f>
        <v>0</v>
      </c>
      <c r="F297" s="561"/>
      <c r="G297" s="577"/>
      <c r="J297" s="560"/>
      <c r="K297" s="560"/>
    </row>
    <row r="298" spans="1:11" s="576" customFormat="1" ht="24.95" customHeight="1">
      <c r="A298" s="165" t="s">
        <v>1550</v>
      </c>
      <c r="B298" s="573" t="s">
        <v>2844</v>
      </c>
      <c r="C298" s="574" t="s">
        <v>2845</v>
      </c>
      <c r="D298" s="575">
        <f>+'Alimentazione SP P'!H197</f>
        <v>451861.9</v>
      </c>
      <c r="E298" s="575">
        <f>+'Alimentazione SP P'!I197</f>
        <v>2256483</v>
      </c>
      <c r="F298" s="561"/>
      <c r="G298" s="577"/>
      <c r="J298" s="560"/>
      <c r="K298" s="560"/>
    </row>
    <row r="299" spans="1:11" s="576" customFormat="1" ht="24.95" customHeight="1">
      <c r="A299" s="181" t="s">
        <v>1550</v>
      </c>
      <c r="B299" s="573" t="s">
        <v>2846</v>
      </c>
      <c r="C299" s="574" t="s">
        <v>2847</v>
      </c>
      <c r="D299" s="575">
        <f>+'Alimentazione SP P'!H199+'Alimentazione SP P'!H200+'Alimentazione SP P'!H201</f>
        <v>8286418.3200000003</v>
      </c>
      <c r="E299" s="575">
        <f>+'Alimentazione SP P'!I199+'Alimentazione SP P'!I200+'Alimentazione SP P'!I201</f>
        <v>13104615.76</v>
      </c>
      <c r="F299" s="561"/>
      <c r="G299" s="577"/>
      <c r="J299" s="560"/>
      <c r="K299" s="560"/>
    </row>
    <row r="300" spans="1:11" s="576" customFormat="1" ht="24.95" customHeight="1">
      <c r="A300" s="181" t="s">
        <v>1550</v>
      </c>
      <c r="B300" s="573" t="s">
        <v>2848</v>
      </c>
      <c r="C300" s="574" t="s">
        <v>2849</v>
      </c>
      <c r="D300" s="575">
        <f>+'Alimentazione SP P'!H203+'Alimentazione SP P'!H204+'Alimentazione SP P'!H205</f>
        <v>60511398.909999996</v>
      </c>
      <c r="E300" s="575">
        <f>+'Alimentazione SP P'!I203+'Alimentazione SP P'!I204+'Alimentazione SP P'!I205</f>
        <v>53137551.269999996</v>
      </c>
      <c r="F300" s="561"/>
      <c r="G300" s="577"/>
      <c r="J300" s="560"/>
      <c r="K300" s="560"/>
    </row>
    <row r="301" spans="1:11" s="604" customFormat="1" ht="24.95" customHeight="1">
      <c r="A301" s="606" t="s">
        <v>2537</v>
      </c>
      <c r="B301" s="573" t="s">
        <v>2850</v>
      </c>
      <c r="C301" s="607" t="s">
        <v>2851</v>
      </c>
      <c r="D301" s="575">
        <f>+'Alimentazione SP P'!H206</f>
        <v>0</v>
      </c>
      <c r="E301" s="575">
        <f>+'Alimentazione SP P'!I206</f>
        <v>0</v>
      </c>
      <c r="G301" s="577"/>
      <c r="J301" s="560"/>
      <c r="K301" s="560"/>
    </row>
    <row r="302" spans="1:11" s="576" customFormat="1" ht="24.95" customHeight="1">
      <c r="A302" s="658" t="s">
        <v>1550</v>
      </c>
      <c r="B302" s="573" t="s">
        <v>2852</v>
      </c>
      <c r="C302" s="178" t="s">
        <v>2853</v>
      </c>
      <c r="D302" s="575">
        <f>+'Alimentazione SP P'!H207</f>
        <v>0</v>
      </c>
      <c r="E302" s="575">
        <f>+'Alimentazione SP P'!I207</f>
        <v>0</v>
      </c>
      <c r="F302" s="561"/>
      <c r="G302" s="577"/>
      <c r="J302" s="560"/>
      <c r="K302" s="560"/>
    </row>
    <row r="303" spans="1:11" s="604" customFormat="1" ht="24.95" customHeight="1">
      <c r="A303" s="608" t="s">
        <v>2537</v>
      </c>
      <c r="B303" s="659" t="s">
        <v>2854</v>
      </c>
      <c r="C303" s="178" t="s">
        <v>2855</v>
      </c>
      <c r="D303" s="575">
        <f>+'Alimentazione SP P'!H208</f>
        <v>0</v>
      </c>
      <c r="E303" s="575">
        <f>+'Alimentazione SP P'!I208</f>
        <v>0</v>
      </c>
      <c r="G303" s="577"/>
      <c r="J303" s="560"/>
      <c r="K303" s="560"/>
    </row>
    <row r="304" spans="1:11" s="576" customFormat="1" ht="24.95" customHeight="1">
      <c r="A304" s="184" t="s">
        <v>1599</v>
      </c>
      <c r="B304" s="579" t="s">
        <v>2856</v>
      </c>
      <c r="C304" s="580" t="s">
        <v>2857</v>
      </c>
      <c r="D304" s="575">
        <f>+'Alimentazione SP P'!H210+'Alimentazione SP P'!H211+'Alimentazione SP P'!H212</f>
        <v>1357512.14</v>
      </c>
      <c r="E304" s="575">
        <f>+'Alimentazione SP P'!I210+'Alimentazione SP P'!I211+'Alimentazione SP P'!I212</f>
        <v>444489.85000000003</v>
      </c>
      <c r="F304" s="561"/>
      <c r="G304" s="577"/>
      <c r="J304" s="560"/>
      <c r="K304" s="560"/>
    </row>
    <row r="305" spans="1:11" s="576" customFormat="1" ht="24.95" customHeight="1">
      <c r="A305" s="192"/>
      <c r="B305" s="579" t="s">
        <v>2858</v>
      </c>
      <c r="C305" s="580" t="s">
        <v>2859</v>
      </c>
      <c r="D305" s="575">
        <f>SUM(D306:D310)</f>
        <v>0</v>
      </c>
      <c r="E305" s="575">
        <f>SUM(E306:E310)</f>
        <v>0</v>
      </c>
      <c r="F305" s="561"/>
      <c r="G305" s="577"/>
      <c r="J305" s="560"/>
      <c r="K305" s="560"/>
    </row>
    <row r="306" spans="1:11" s="576" customFormat="1" ht="24.95" customHeight="1">
      <c r="A306" s="192" t="s">
        <v>2537</v>
      </c>
      <c r="B306" s="590" t="s">
        <v>2860</v>
      </c>
      <c r="C306" s="591" t="s">
        <v>2861</v>
      </c>
      <c r="D306" s="575">
        <f>+'Alimentazione SP P'!H214</f>
        <v>0</v>
      </c>
      <c r="E306" s="575">
        <f>+'Alimentazione SP P'!I214</f>
        <v>0</v>
      </c>
      <c r="F306" s="561"/>
      <c r="G306" s="577"/>
      <c r="J306" s="560"/>
      <c r="K306" s="560"/>
    </row>
    <row r="307" spans="1:11" s="576" customFormat="1" ht="24.95" customHeight="1">
      <c r="A307" s="192" t="s">
        <v>2537</v>
      </c>
      <c r="B307" s="590" t="s">
        <v>2862</v>
      </c>
      <c r="C307" s="591" t="s">
        <v>2863</v>
      </c>
      <c r="D307" s="575">
        <f>+'Alimentazione SP P'!H215</f>
        <v>0</v>
      </c>
      <c r="E307" s="575">
        <f>+'Alimentazione SP P'!I215</f>
        <v>0</v>
      </c>
      <c r="F307" s="561"/>
      <c r="G307" s="577"/>
      <c r="J307" s="560"/>
      <c r="K307" s="560"/>
    </row>
    <row r="308" spans="1:11" s="576" customFormat="1" ht="24.95" customHeight="1">
      <c r="A308" s="192" t="s">
        <v>2537</v>
      </c>
      <c r="B308" s="590" t="s">
        <v>2864</v>
      </c>
      <c r="C308" s="591" t="s">
        <v>2865</v>
      </c>
      <c r="D308" s="575">
        <f>+'Alimentazione SP P'!H216</f>
        <v>0</v>
      </c>
      <c r="E308" s="575">
        <f>+'Alimentazione SP P'!I216</f>
        <v>0</v>
      </c>
      <c r="F308" s="561"/>
      <c r="G308" s="577"/>
      <c r="J308" s="560"/>
      <c r="K308" s="560"/>
    </row>
    <row r="309" spans="1:11" s="576" customFormat="1" ht="24.95" customHeight="1">
      <c r="A309" s="192" t="s">
        <v>2537</v>
      </c>
      <c r="B309" s="590" t="s">
        <v>2866</v>
      </c>
      <c r="C309" s="591" t="s">
        <v>2867</v>
      </c>
      <c r="D309" s="575">
        <f>+'Alimentazione SP P'!H217</f>
        <v>0</v>
      </c>
      <c r="E309" s="575">
        <f>+'Alimentazione SP P'!I217</f>
        <v>0</v>
      </c>
      <c r="F309" s="561"/>
      <c r="G309" s="577"/>
      <c r="J309" s="560"/>
      <c r="K309" s="560"/>
    </row>
    <row r="310" spans="1:11" s="576" customFormat="1" ht="24.95" customHeight="1">
      <c r="A310" s="192" t="s">
        <v>2537</v>
      </c>
      <c r="B310" s="590" t="s">
        <v>2868</v>
      </c>
      <c r="C310" s="591" t="s">
        <v>2869</v>
      </c>
      <c r="D310" s="575">
        <f>+'Alimentazione SP P'!H218</f>
        <v>0</v>
      </c>
      <c r="E310" s="575">
        <f>+'Alimentazione SP P'!I218</f>
        <v>0</v>
      </c>
      <c r="F310" s="561"/>
      <c r="G310" s="577"/>
      <c r="J310" s="560"/>
      <c r="K310" s="560"/>
    </row>
    <row r="311" spans="1:11" s="576" customFormat="1" ht="24.95" customHeight="1">
      <c r="A311" s="165"/>
      <c r="B311" s="635" t="s">
        <v>2870</v>
      </c>
      <c r="C311" s="636" t="s">
        <v>2871</v>
      </c>
      <c r="D311" s="575">
        <f>+D312+D313+D314</f>
        <v>1699.59</v>
      </c>
      <c r="E311" s="575">
        <f>+E312+E313+E314</f>
        <v>1699.59</v>
      </c>
      <c r="F311" s="561"/>
      <c r="G311" s="577"/>
      <c r="J311" s="560"/>
      <c r="K311" s="560"/>
    </row>
    <row r="312" spans="1:11" s="576" customFormat="1" ht="24.95" customHeight="1">
      <c r="A312" s="165"/>
      <c r="B312" s="579" t="s">
        <v>2872</v>
      </c>
      <c r="C312" s="580" t="s">
        <v>2873</v>
      </c>
      <c r="D312" s="575">
        <f>+'Alimentazione SP P'!H220</f>
        <v>1699.59</v>
      </c>
      <c r="E312" s="575">
        <f>+'Alimentazione SP P'!I220</f>
        <v>1699.59</v>
      </c>
      <c r="F312" s="561"/>
      <c r="G312" s="577"/>
      <c r="J312" s="560"/>
      <c r="K312" s="560"/>
    </row>
    <row r="313" spans="1:11" s="576" customFormat="1" ht="24.95" customHeight="1">
      <c r="A313" s="165"/>
      <c r="B313" s="579" t="s">
        <v>2874</v>
      </c>
      <c r="C313" s="580" t="s">
        <v>2875</v>
      </c>
      <c r="D313" s="575">
        <f>+'Alimentazione SP P'!H221</f>
        <v>0</v>
      </c>
      <c r="E313" s="575">
        <f>+'Alimentazione SP P'!I221</f>
        <v>0</v>
      </c>
      <c r="F313" s="561"/>
      <c r="G313" s="577"/>
      <c r="J313" s="560"/>
      <c r="K313" s="560"/>
    </row>
    <row r="314" spans="1:11" s="576" customFormat="1" ht="24.95" customHeight="1">
      <c r="A314" s="165"/>
      <c r="B314" s="579" t="s">
        <v>2876</v>
      </c>
      <c r="C314" s="580" t="s">
        <v>2877</v>
      </c>
      <c r="D314" s="575">
        <f>+'Alimentazione SP P'!H223+'Alimentazione SP P'!H224+'Alimentazione SP P'!H225</f>
        <v>0</v>
      </c>
      <c r="E314" s="575">
        <f>+'Alimentazione SP P'!I223+'Alimentazione SP P'!I224+'Alimentazione SP P'!I225</f>
        <v>0</v>
      </c>
      <c r="F314" s="561"/>
      <c r="G314" s="577"/>
      <c r="J314" s="560"/>
      <c r="K314" s="560"/>
    </row>
    <row r="315" spans="1:11" s="576" customFormat="1" ht="24.95" customHeight="1">
      <c r="A315" s="186"/>
      <c r="B315" s="635" t="s">
        <v>2878</v>
      </c>
      <c r="C315" s="636" t="s">
        <v>2879</v>
      </c>
      <c r="D315" s="575">
        <f>+D316+D319</f>
        <v>79218633.469999999</v>
      </c>
      <c r="E315" s="575">
        <f>+E316+E319</f>
        <v>59164918.620000005</v>
      </c>
      <c r="F315" s="561"/>
      <c r="G315" s="577"/>
      <c r="J315" s="560"/>
      <c r="K315" s="560"/>
    </row>
    <row r="316" spans="1:11" s="576" customFormat="1" ht="25.5">
      <c r="A316" s="165"/>
      <c r="B316" s="579" t="s">
        <v>2880</v>
      </c>
      <c r="C316" s="580" t="s">
        <v>2881</v>
      </c>
      <c r="D316" s="575">
        <f>+D317+D318</f>
        <v>14088001.620000001</v>
      </c>
      <c r="E316" s="575">
        <f>+E317+E318</f>
        <v>2971081.2299999995</v>
      </c>
      <c r="F316" s="561"/>
      <c r="G316" s="577"/>
      <c r="J316" s="560"/>
      <c r="K316" s="560"/>
    </row>
    <row r="317" spans="1:11" s="576" customFormat="1" ht="21">
      <c r="A317" s="165"/>
      <c r="B317" s="647" t="s">
        <v>2882</v>
      </c>
      <c r="C317" s="660" t="s">
        <v>2883</v>
      </c>
      <c r="D317" s="575">
        <f>+'Alimentazione SP P'!H229+'Alimentazione SP P'!H230</f>
        <v>14088001.620000001</v>
      </c>
      <c r="E317" s="575">
        <f>+'Alimentazione SP P'!I229+'Alimentazione SP P'!I230</f>
        <v>5689531.1799999997</v>
      </c>
      <c r="F317" s="561"/>
      <c r="G317" s="577"/>
      <c r="J317" s="560"/>
      <c r="K317" s="560"/>
    </row>
    <row r="318" spans="1:11" s="576" customFormat="1" ht="21">
      <c r="A318" s="165"/>
      <c r="B318" s="647" t="s">
        <v>2884</v>
      </c>
      <c r="C318" s="660" t="s">
        <v>2885</v>
      </c>
      <c r="D318" s="575">
        <f>+'Alimentazione SP P'!H231</f>
        <v>0</v>
      </c>
      <c r="E318" s="575">
        <f>+'Alimentazione SP P'!I231</f>
        <v>-2718449.95</v>
      </c>
      <c r="F318" s="561"/>
      <c r="G318" s="577"/>
      <c r="J318" s="560"/>
      <c r="K318" s="560"/>
    </row>
    <row r="319" spans="1:11" s="576" customFormat="1" ht="21">
      <c r="A319" s="165"/>
      <c r="B319" s="647" t="s">
        <v>2886</v>
      </c>
      <c r="C319" s="660" t="s">
        <v>2887</v>
      </c>
      <c r="D319" s="575">
        <f>+D320+D321</f>
        <v>65130631.850000001</v>
      </c>
      <c r="E319" s="575">
        <f>+E320+E321</f>
        <v>56193837.390000008</v>
      </c>
      <c r="F319" s="561"/>
      <c r="G319" s="577"/>
      <c r="J319" s="560"/>
      <c r="K319" s="560"/>
    </row>
    <row r="320" spans="1:11" s="576" customFormat="1" ht="21">
      <c r="A320" s="165"/>
      <c r="B320" s="661" t="s">
        <v>2888</v>
      </c>
      <c r="C320" s="662" t="s">
        <v>2889</v>
      </c>
      <c r="D320" s="575">
        <f>+'Alimentazione SP P'!H234+'Alimentazione SP P'!H235+'Alimentazione SP P'!H236+'Alimentazione SP P'!H237+'Alimentazione SP P'!H238+'Alimentazione SP P'!H239</f>
        <v>66365520.370000005</v>
      </c>
      <c r="E320" s="575">
        <f>+'Alimentazione SP P'!I234+'Alimentazione SP P'!I235+'Alimentazione SP P'!I236+'Alimentazione SP P'!I237+'Alimentazione SP P'!I238+'Alimentazione SP P'!I239</f>
        <v>57832063.870000005</v>
      </c>
      <c r="F320" s="561"/>
      <c r="G320" s="577"/>
      <c r="J320" s="560"/>
      <c r="K320" s="560"/>
    </row>
    <row r="321" spans="1:11" s="576" customFormat="1" ht="21">
      <c r="A321" s="165"/>
      <c r="B321" s="661" t="s">
        <v>2890</v>
      </c>
      <c r="C321" s="662" t="s">
        <v>2891</v>
      </c>
      <c r="D321" s="575">
        <f>+'Alimentazione SP P'!H240</f>
        <v>-1234888.52</v>
      </c>
      <c r="E321" s="575">
        <f>+'Alimentazione SP P'!I240</f>
        <v>-1638226.48</v>
      </c>
      <c r="F321" s="561"/>
      <c r="G321" s="577"/>
      <c r="J321" s="560"/>
      <c r="K321" s="560"/>
    </row>
    <row r="322" spans="1:11" s="576" customFormat="1" ht="24.95" customHeight="1">
      <c r="A322" s="186"/>
      <c r="B322" s="635" t="s">
        <v>2892</v>
      </c>
      <c r="C322" s="636" t="s">
        <v>2893</v>
      </c>
      <c r="D322" s="575">
        <f>+'Alimentazione SP P'!H242+'Alimentazione SP P'!H243</f>
        <v>0</v>
      </c>
      <c r="E322" s="575">
        <f>+'Alimentazione SP P'!I242+'Alimentazione SP P'!I243</f>
        <v>0</v>
      </c>
      <c r="F322" s="561"/>
      <c r="G322" s="577"/>
      <c r="J322" s="560"/>
      <c r="K322" s="560"/>
    </row>
    <row r="323" spans="1:11" s="576" customFormat="1" ht="24.95" customHeight="1">
      <c r="A323" s="186"/>
      <c r="B323" s="635" t="s">
        <v>2894</v>
      </c>
      <c r="C323" s="636" t="s">
        <v>2895</v>
      </c>
      <c r="D323" s="575">
        <f>+SUM('Alimentazione SP P'!H245:H253)</f>
        <v>15786311.560000002</v>
      </c>
      <c r="E323" s="575">
        <f>+SUM('Alimentazione SP P'!I245:I253)</f>
        <v>2828674.2</v>
      </c>
      <c r="F323" s="561"/>
      <c r="G323" s="577"/>
      <c r="J323" s="560"/>
      <c r="K323" s="560"/>
    </row>
    <row r="324" spans="1:11" s="576" customFormat="1" ht="24.95" customHeight="1">
      <c r="A324" s="186"/>
      <c r="B324" s="635" t="s">
        <v>2896</v>
      </c>
      <c r="C324" s="636" t="s">
        <v>2897</v>
      </c>
      <c r="D324" s="575">
        <f>+SUM('Alimentazione SP P'!H255:H263)</f>
        <v>11388853.91</v>
      </c>
      <c r="E324" s="575">
        <f>+SUM('Alimentazione SP P'!I255:I263)</f>
        <v>5364006.709999999</v>
      </c>
      <c r="F324" s="561"/>
      <c r="G324" s="577"/>
      <c r="J324" s="560"/>
      <c r="K324" s="560"/>
    </row>
    <row r="325" spans="1:11" s="576" customFormat="1" ht="24.95" customHeight="1">
      <c r="A325" s="186"/>
      <c r="B325" s="635" t="s">
        <v>2898</v>
      </c>
      <c r="C325" s="636" t="s">
        <v>2899</v>
      </c>
      <c r="D325" s="575">
        <f>+D326+D327+D328+D329</f>
        <v>55201032.660000004</v>
      </c>
      <c r="E325" s="575">
        <f>+E326+E327+E328+E329</f>
        <v>56905694.329999998</v>
      </c>
      <c r="F325" s="561"/>
      <c r="G325" s="577"/>
      <c r="J325" s="560"/>
      <c r="K325" s="560"/>
    </row>
    <row r="326" spans="1:11" s="576" customFormat="1" ht="24.95" customHeight="1">
      <c r="A326" s="186"/>
      <c r="B326" s="579" t="s">
        <v>2900</v>
      </c>
      <c r="C326" s="580" t="s">
        <v>2901</v>
      </c>
      <c r="D326" s="575">
        <f>+'Alimentazione SP P'!H265</f>
        <v>0</v>
      </c>
      <c r="E326" s="575">
        <f>+'Alimentazione SP P'!I265</f>
        <v>0</v>
      </c>
      <c r="F326" s="561"/>
      <c r="G326" s="577"/>
      <c r="J326" s="560"/>
      <c r="K326" s="560"/>
    </row>
    <row r="327" spans="1:11" s="576" customFormat="1" ht="24.95" customHeight="1">
      <c r="A327" s="165"/>
      <c r="B327" s="579" t="s">
        <v>2902</v>
      </c>
      <c r="C327" s="580" t="s">
        <v>2903</v>
      </c>
      <c r="D327" s="575">
        <f>+'Alimentazione SP P'!H267+'Alimentazione SP P'!H268</f>
        <v>32057835.130000003</v>
      </c>
      <c r="E327" s="575">
        <f>+'Alimentazione SP P'!I267+'Alimentazione SP P'!I268</f>
        <v>37285500.25</v>
      </c>
      <c r="F327" s="561"/>
      <c r="G327" s="577"/>
      <c r="J327" s="560"/>
      <c r="K327" s="560"/>
    </row>
    <row r="328" spans="1:11" s="576" customFormat="1" ht="24.95" customHeight="1">
      <c r="A328" s="165"/>
      <c r="B328" s="579" t="s">
        <v>2904</v>
      </c>
      <c r="C328" s="580" t="s">
        <v>2905</v>
      </c>
      <c r="D328" s="575">
        <f>+'Alimentazione SP P'!H270+'Alimentazione SP P'!H271</f>
        <v>0</v>
      </c>
      <c r="E328" s="575">
        <f>+'Alimentazione SP P'!I270+'Alimentazione SP P'!I271</f>
        <v>0</v>
      </c>
      <c r="F328" s="561"/>
      <c r="G328" s="577"/>
      <c r="J328" s="560"/>
      <c r="K328" s="560"/>
    </row>
    <row r="329" spans="1:11" s="576" customFormat="1" ht="24.95" customHeight="1" thickBot="1">
      <c r="A329" s="582"/>
      <c r="B329" s="619" t="s">
        <v>2906</v>
      </c>
      <c r="C329" s="620" t="s">
        <v>2907</v>
      </c>
      <c r="D329" s="575">
        <f>+SUM('Alimentazione SP P'!H273:H292)</f>
        <v>23143197.530000001</v>
      </c>
      <c r="E329" s="575">
        <f>+SUM('Alimentazione SP P'!I273:I292)</f>
        <v>19620194.079999998</v>
      </c>
      <c r="F329" s="238"/>
      <c r="G329" s="605"/>
      <c r="J329" s="560"/>
      <c r="K329" s="560"/>
    </row>
    <row r="330" spans="1:11" s="576" customFormat="1" ht="24.95" customHeight="1">
      <c r="A330" s="626"/>
      <c r="B330" s="557" t="s">
        <v>2908</v>
      </c>
      <c r="C330" s="558" t="s">
        <v>2909</v>
      </c>
      <c r="D330" s="589">
        <f>+D331+D334</f>
        <v>0</v>
      </c>
      <c r="E330" s="589">
        <f>+E331+E334</f>
        <v>8229.7199999999993</v>
      </c>
      <c r="F330" s="561"/>
      <c r="G330" s="577"/>
      <c r="J330" s="560"/>
      <c r="K330" s="560"/>
    </row>
    <row r="331" spans="1:11" s="576" customFormat="1" ht="24.95" customHeight="1">
      <c r="A331" s="165"/>
      <c r="B331" s="635" t="s">
        <v>2910</v>
      </c>
      <c r="C331" s="636" t="s">
        <v>2911</v>
      </c>
      <c r="D331" s="575">
        <f>+D332+D333</f>
        <v>0</v>
      </c>
      <c r="E331" s="575">
        <f>+E332+E333</f>
        <v>0</v>
      </c>
      <c r="F331" s="561"/>
      <c r="G331" s="577"/>
      <c r="J331" s="560"/>
      <c r="K331" s="560"/>
    </row>
    <row r="332" spans="1:11" s="576" customFormat="1" ht="24.95" customHeight="1">
      <c r="A332" s="165"/>
      <c r="B332" s="579" t="s">
        <v>2912</v>
      </c>
      <c r="C332" s="580" t="s">
        <v>2913</v>
      </c>
      <c r="D332" s="575">
        <f>+'Alimentazione SP P'!H295</f>
        <v>0</v>
      </c>
      <c r="E332" s="575">
        <f>+'Alimentazione SP P'!I295</f>
        <v>0</v>
      </c>
      <c r="F332" s="561"/>
      <c r="G332" s="577"/>
      <c r="J332" s="560"/>
      <c r="K332" s="560"/>
    </row>
    <row r="333" spans="1:11" s="576" customFormat="1" ht="24.95" customHeight="1">
      <c r="A333" s="194" t="s">
        <v>1550</v>
      </c>
      <c r="B333" s="579" t="s">
        <v>2914</v>
      </c>
      <c r="C333" s="580" t="s">
        <v>2915</v>
      </c>
      <c r="D333" s="575">
        <f>+'Alimentazione SP P'!H296</f>
        <v>0</v>
      </c>
      <c r="E333" s="575">
        <f>+'Alimentazione SP P'!I296</f>
        <v>0</v>
      </c>
      <c r="F333" s="561"/>
      <c r="G333" s="577"/>
      <c r="J333" s="560"/>
      <c r="K333" s="560"/>
    </row>
    <row r="334" spans="1:11" s="576" customFormat="1" ht="24.95" customHeight="1">
      <c r="A334" s="165"/>
      <c r="B334" s="635" t="s">
        <v>2916</v>
      </c>
      <c r="C334" s="636" t="s">
        <v>2917</v>
      </c>
      <c r="D334" s="575">
        <f>+D335+D336+D337</f>
        <v>0</v>
      </c>
      <c r="E334" s="575">
        <f>+E335+E336+E337</f>
        <v>8229.7199999999993</v>
      </c>
      <c r="F334" s="561"/>
      <c r="G334" s="577"/>
      <c r="J334" s="560"/>
      <c r="K334" s="560"/>
    </row>
    <row r="335" spans="1:11" s="576" customFormat="1" ht="24.95" customHeight="1">
      <c r="A335" s="165"/>
      <c r="B335" s="579" t="s">
        <v>2918</v>
      </c>
      <c r="C335" s="580" t="s">
        <v>2919</v>
      </c>
      <c r="D335" s="575">
        <f>+'Alimentazione SP P'!H298</f>
        <v>0</v>
      </c>
      <c r="E335" s="575">
        <f>+'Alimentazione SP P'!I298</f>
        <v>8229.7199999999993</v>
      </c>
      <c r="F335" s="561"/>
      <c r="G335" s="577"/>
      <c r="J335" s="560"/>
      <c r="K335" s="560"/>
    </row>
    <row r="336" spans="1:11" s="576" customFormat="1" ht="24.95" customHeight="1">
      <c r="A336" s="663" t="s">
        <v>1550</v>
      </c>
      <c r="B336" s="645" t="s">
        <v>2920</v>
      </c>
      <c r="C336" s="646" t="s">
        <v>2921</v>
      </c>
      <c r="D336" s="575">
        <f>+'Alimentazione SP P'!H299</f>
        <v>0</v>
      </c>
      <c r="E336" s="575">
        <f>+'Alimentazione SP P'!I299</f>
        <v>0</v>
      </c>
      <c r="F336" s="561"/>
      <c r="G336" s="577"/>
      <c r="J336" s="560"/>
      <c r="K336" s="560"/>
    </row>
    <row r="337" spans="1:30" s="604" customFormat="1" ht="37.5" customHeight="1">
      <c r="A337" s="165"/>
      <c r="B337" s="579" t="s">
        <v>2922</v>
      </c>
      <c r="C337" s="580" t="s">
        <v>2923</v>
      </c>
      <c r="D337" s="575">
        <f>+'Alimentazione SP P'!H300</f>
        <v>0</v>
      </c>
      <c r="E337" s="575">
        <f>+'Alimentazione SP P'!I300</f>
        <v>0</v>
      </c>
      <c r="F337" s="561"/>
      <c r="G337" s="577"/>
      <c r="J337" s="560"/>
      <c r="K337" s="560"/>
    </row>
    <row r="338" spans="1:30" s="576" customFormat="1" ht="24.95" customHeight="1" thickBot="1">
      <c r="A338" s="622"/>
      <c r="B338" s="664" t="s">
        <v>2924</v>
      </c>
      <c r="C338" s="665" t="s">
        <v>2925</v>
      </c>
      <c r="D338" s="666">
        <f>+D330+D273+D269+D236+D212</f>
        <v>817219476.70000005</v>
      </c>
      <c r="E338" s="666">
        <f>+E330+E273+E269+E236+E212</f>
        <v>739369784.75639915</v>
      </c>
      <c r="F338" s="561"/>
      <c r="G338" s="577"/>
      <c r="J338" s="560"/>
      <c r="K338" s="560"/>
    </row>
    <row r="339" spans="1:30" s="576" customFormat="1" ht="24.95" customHeight="1">
      <c r="A339" s="626"/>
      <c r="B339" s="557" t="s">
        <v>2926</v>
      </c>
      <c r="C339" s="627" t="s">
        <v>2927</v>
      </c>
      <c r="D339" s="628">
        <f>+D340+D341+D342+D343+D344</f>
        <v>37902885.280000001</v>
      </c>
      <c r="E339" s="628">
        <f>+E340+E341+E342+E343+E344</f>
        <v>26349984.41</v>
      </c>
      <c r="F339" s="561"/>
      <c r="G339" s="577"/>
      <c r="J339" s="560"/>
      <c r="K339" s="560"/>
    </row>
    <row r="340" spans="1:30" s="576" customFormat="1" ht="24.95" customHeight="1">
      <c r="A340" s="165"/>
      <c r="B340" s="629" t="s">
        <v>2928</v>
      </c>
      <c r="C340" s="630" t="s">
        <v>2929</v>
      </c>
      <c r="D340" s="575">
        <f>+'Alimentazione SP P'!H307</f>
        <v>0</v>
      </c>
      <c r="E340" s="575">
        <f>+'Alimentazione SP P'!I307</f>
        <v>0</v>
      </c>
      <c r="F340" s="561"/>
      <c r="G340" s="577"/>
      <c r="J340" s="560"/>
      <c r="K340" s="560"/>
    </row>
    <row r="341" spans="1:30" s="576" customFormat="1" ht="24.95" customHeight="1">
      <c r="A341" s="165"/>
      <c r="B341" s="629" t="s">
        <v>2930</v>
      </c>
      <c r="C341" s="630" t="s">
        <v>2931</v>
      </c>
      <c r="D341" s="575">
        <f>+'Alimentazione SP P'!H308</f>
        <v>539194.87</v>
      </c>
      <c r="E341" s="575">
        <f>+'Alimentazione SP P'!I308</f>
        <v>0</v>
      </c>
      <c r="F341" s="561"/>
      <c r="G341" s="577"/>
      <c r="J341" s="560"/>
      <c r="K341" s="560"/>
    </row>
    <row r="342" spans="1:30" s="576" customFormat="1" ht="24.95" customHeight="1">
      <c r="A342" s="165"/>
      <c r="B342" s="629" t="s">
        <v>2932</v>
      </c>
      <c r="C342" s="630" t="s">
        <v>2933</v>
      </c>
      <c r="D342" s="575">
        <f>+'Alimentazione SP P'!H309</f>
        <v>2715845.78</v>
      </c>
      <c r="E342" s="575">
        <f>+'Alimentazione SP P'!I309</f>
        <v>453686.63</v>
      </c>
      <c r="F342" s="561"/>
      <c r="G342" s="577"/>
      <c r="J342" s="560"/>
      <c r="K342" s="560"/>
    </row>
    <row r="343" spans="1:30" s="576" customFormat="1" ht="24.95" customHeight="1">
      <c r="A343" s="631"/>
      <c r="B343" s="629" t="s">
        <v>2934</v>
      </c>
      <c r="C343" s="630" t="s">
        <v>2935</v>
      </c>
      <c r="D343" s="575">
        <f>+'Alimentazione SP P'!H310</f>
        <v>0</v>
      </c>
      <c r="E343" s="575">
        <f>+'Alimentazione SP P'!I310</f>
        <v>0</v>
      </c>
      <c r="F343" s="561"/>
      <c r="G343" s="577"/>
      <c r="J343" s="560"/>
      <c r="K343" s="560"/>
    </row>
    <row r="344" spans="1:30" s="576" customFormat="1" ht="24.95" customHeight="1" thickBot="1">
      <c r="A344" s="582"/>
      <c r="B344" s="632" t="s">
        <v>2936</v>
      </c>
      <c r="C344" s="633" t="s">
        <v>2937</v>
      </c>
      <c r="D344" s="667">
        <f>+'Alimentazione SP P'!H312+'Alimentazione SP P'!H313+'Alimentazione SP P'!H314+'Alimentazione SP P'!H315+'Alimentazione SP P'!H316+'Alimentazione SP P'!H317+'Alimentazione SP P'!H318</f>
        <v>34647844.630000003</v>
      </c>
      <c r="E344" s="667">
        <f>+'Alimentazione SP P'!I312+'Alimentazione SP P'!I313+'Alimentazione SP P'!I314+'Alimentazione SP P'!I315+'Alimentazione SP P'!I316+'Alimentazione SP P'!I317+'Alimentazione SP P'!I318</f>
        <v>25896297.780000001</v>
      </c>
      <c r="F344" s="561"/>
      <c r="G344" s="577"/>
      <c r="J344" s="560"/>
      <c r="K344" s="560"/>
    </row>
    <row r="345" spans="1:30" s="671" customFormat="1" ht="21">
      <c r="A345" s="668"/>
      <c r="B345" s="668"/>
      <c r="C345" s="199"/>
      <c r="D345" s="669"/>
      <c r="E345" s="199"/>
      <c r="F345" s="208"/>
      <c r="G345" s="670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  <c r="Z345" s="199"/>
      <c r="AA345" s="199"/>
      <c r="AB345" s="199"/>
      <c r="AC345" s="199"/>
      <c r="AD345" s="199"/>
    </row>
    <row r="346" spans="1:30" s="671" customFormat="1">
      <c r="A346" s="668"/>
      <c r="B346" s="672" t="s">
        <v>2118</v>
      </c>
      <c r="C346" s="672"/>
      <c r="D346" s="673"/>
      <c r="E346" s="199"/>
      <c r="F346" s="208"/>
      <c r="G346" s="670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  <c r="W346" s="199"/>
      <c r="X346" s="199"/>
      <c r="Y346" s="199"/>
      <c r="Z346" s="199"/>
      <c r="AA346" s="199"/>
      <c r="AB346" s="199"/>
      <c r="AC346" s="199"/>
      <c r="AD346" s="199"/>
    </row>
    <row r="347" spans="1:30" s="671" customFormat="1">
      <c r="A347" s="672"/>
      <c r="B347" s="674"/>
      <c r="D347" s="675"/>
      <c r="E347" s="200"/>
      <c r="F347" s="212"/>
      <c r="G347" s="676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  <c r="AA347" s="200"/>
      <c r="AB347" s="200"/>
      <c r="AC347" s="200"/>
      <c r="AD347" s="200"/>
    </row>
    <row r="348" spans="1:30" s="671" customFormat="1">
      <c r="A348" s="672"/>
      <c r="B348" s="672"/>
      <c r="C348" s="672"/>
      <c r="D348" s="675"/>
      <c r="E348" s="672"/>
      <c r="F348" s="677"/>
      <c r="G348" s="678"/>
      <c r="H348" s="672"/>
      <c r="I348" s="672"/>
      <c r="J348" s="672"/>
      <c r="K348" s="672"/>
      <c r="L348" s="672"/>
      <c r="M348" s="672"/>
      <c r="N348" s="672"/>
      <c r="O348" s="672"/>
      <c r="P348" s="672"/>
      <c r="Q348" s="672"/>
      <c r="R348" s="672"/>
      <c r="S348" s="672"/>
      <c r="T348" s="672"/>
      <c r="U348" s="672"/>
      <c r="V348" s="672"/>
      <c r="W348" s="672"/>
      <c r="X348" s="672"/>
      <c r="Y348" s="672"/>
      <c r="Z348" s="672"/>
      <c r="AA348" s="672"/>
      <c r="AB348" s="672"/>
      <c r="AC348" s="672"/>
      <c r="AD348" s="672"/>
    </row>
    <row r="349" spans="1:30" s="683" customFormat="1" ht="15" customHeight="1">
      <c r="A349" s="679"/>
      <c r="B349" s="679" t="s">
        <v>2119</v>
      </c>
      <c r="C349" s="680"/>
      <c r="D349" s="675"/>
      <c r="E349" s="680"/>
      <c r="F349" s="681"/>
      <c r="G349" s="682"/>
      <c r="H349" s="680"/>
      <c r="I349" s="680"/>
      <c r="L349" s="680"/>
      <c r="N349" s="680"/>
      <c r="O349" s="680"/>
      <c r="P349" s="680" t="s">
        <v>2120</v>
      </c>
      <c r="Q349" s="680"/>
      <c r="R349" s="680"/>
      <c r="S349" s="680"/>
      <c r="T349" s="680"/>
      <c r="U349" s="680"/>
      <c r="V349" s="680"/>
      <c r="W349" s="680"/>
      <c r="X349" s="680"/>
      <c r="Y349" s="680"/>
      <c r="Z349" s="680"/>
      <c r="AA349" s="680"/>
      <c r="AB349" s="680"/>
      <c r="AC349" s="680"/>
      <c r="AD349" s="684"/>
    </row>
    <row r="350" spans="1:30" s="671" customFormat="1">
      <c r="A350" s="668"/>
      <c r="B350" s="672"/>
      <c r="C350" s="672"/>
      <c r="D350" s="675"/>
      <c r="E350" s="672"/>
      <c r="F350" s="677"/>
      <c r="G350" s="678"/>
      <c r="H350" s="672"/>
      <c r="I350" s="672"/>
      <c r="J350" s="672"/>
      <c r="K350" s="672"/>
      <c r="L350" s="672"/>
      <c r="M350" s="672"/>
      <c r="N350" s="672"/>
      <c r="O350" s="672"/>
      <c r="P350" s="672"/>
      <c r="Q350" s="672"/>
      <c r="R350" s="672"/>
      <c r="S350" s="672"/>
      <c r="T350" s="672"/>
      <c r="U350" s="672"/>
      <c r="V350" s="672"/>
      <c r="W350" s="672"/>
      <c r="X350" s="672"/>
      <c r="Y350" s="672"/>
      <c r="Z350" s="672"/>
      <c r="AA350" s="672"/>
      <c r="AB350" s="672"/>
      <c r="AC350" s="672"/>
      <c r="AD350" s="672"/>
    </row>
    <row r="351" spans="1:30" s="671" customFormat="1">
      <c r="A351" s="668"/>
      <c r="B351" s="679" t="s">
        <v>2121</v>
      </c>
      <c r="C351" s="199"/>
      <c r="D351" s="673"/>
      <c r="E351" s="199"/>
      <c r="F351" s="208"/>
      <c r="G351" s="670"/>
      <c r="H351" s="199"/>
      <c r="I351" s="199"/>
      <c r="L351" s="680" t="s">
        <v>2121</v>
      </c>
      <c r="M351" s="680"/>
      <c r="N351" s="680"/>
      <c r="O351" s="680"/>
      <c r="P351" s="680"/>
      <c r="Q351" s="680"/>
      <c r="R351" s="680"/>
      <c r="S351" s="680"/>
      <c r="T351" s="680"/>
      <c r="U351" s="680"/>
      <c r="V351" s="680"/>
      <c r="W351" s="680"/>
      <c r="X351" s="680"/>
      <c r="Y351" s="680"/>
      <c r="Z351" s="680"/>
      <c r="AA351" s="680"/>
      <c r="AB351" s="680"/>
      <c r="AC351" s="680"/>
      <c r="AD351" s="685"/>
    </row>
    <row r="352" spans="1:30" s="671" customFormat="1">
      <c r="A352" s="668"/>
      <c r="B352" s="672"/>
      <c r="C352" s="672"/>
      <c r="D352" s="675"/>
      <c r="E352" s="672"/>
      <c r="F352" s="677"/>
      <c r="G352" s="678"/>
      <c r="H352" s="672"/>
      <c r="I352" s="672"/>
      <c r="J352" s="672"/>
      <c r="K352" s="672"/>
      <c r="L352" s="672"/>
      <c r="M352" s="672"/>
      <c r="N352" s="672"/>
      <c r="O352" s="672"/>
      <c r="P352" s="672"/>
      <c r="Q352" s="672"/>
      <c r="R352" s="672"/>
      <c r="S352" s="672"/>
      <c r="T352" s="672"/>
      <c r="U352" s="672"/>
      <c r="V352" s="672"/>
      <c r="W352" s="672"/>
      <c r="X352" s="672"/>
      <c r="Y352" s="672"/>
      <c r="Z352" s="672"/>
      <c r="AA352" s="672"/>
      <c r="AB352" s="672"/>
      <c r="AC352" s="672"/>
      <c r="AD352" s="672"/>
    </row>
    <row r="353" spans="1:30" s="671" customFormat="1">
      <c r="A353" s="668"/>
      <c r="B353" s="672"/>
      <c r="C353" s="672"/>
      <c r="D353" s="675"/>
      <c r="E353" s="672"/>
      <c r="F353" s="677"/>
      <c r="G353" s="678"/>
      <c r="H353" s="672"/>
      <c r="I353" s="672"/>
      <c r="J353" s="672"/>
      <c r="K353" s="672"/>
      <c r="L353" s="672"/>
      <c r="M353" s="672"/>
      <c r="N353" s="672"/>
      <c r="O353" s="672"/>
      <c r="P353" s="672"/>
      <c r="Q353" s="672"/>
      <c r="R353" s="672"/>
      <c r="S353" s="672"/>
      <c r="T353" s="672"/>
      <c r="U353" s="672"/>
      <c r="V353" s="672"/>
      <c r="W353" s="672"/>
      <c r="X353" s="672"/>
      <c r="Y353" s="672"/>
      <c r="Z353" s="672"/>
      <c r="AA353" s="672"/>
      <c r="AB353" s="672"/>
      <c r="AC353" s="672"/>
      <c r="AD353" s="672"/>
    </row>
    <row r="354" spans="1:30" s="671" customFormat="1">
      <c r="A354" s="668"/>
      <c r="B354" s="672"/>
      <c r="C354" s="672"/>
      <c r="D354" s="675"/>
      <c r="E354" s="672"/>
      <c r="F354" s="677"/>
      <c r="G354" s="678"/>
      <c r="H354" s="672"/>
      <c r="I354" s="672"/>
      <c r="J354" s="672"/>
      <c r="K354" s="672"/>
      <c r="L354" s="672"/>
      <c r="M354" s="672"/>
      <c r="N354" s="672"/>
      <c r="O354" s="672"/>
      <c r="P354" s="672"/>
      <c r="Q354" s="672"/>
      <c r="R354" s="672"/>
      <c r="S354" s="672"/>
      <c r="T354" s="672"/>
      <c r="U354" s="672"/>
      <c r="V354" s="672"/>
      <c r="W354" s="672"/>
      <c r="X354" s="672"/>
      <c r="Y354" s="672"/>
      <c r="Z354" s="672"/>
      <c r="AA354" s="672"/>
      <c r="AB354" s="672"/>
      <c r="AC354" s="672"/>
      <c r="AD354" s="672"/>
    </row>
    <row r="355" spans="1:30" s="671" customFormat="1">
      <c r="A355" s="686"/>
      <c r="B355" s="674"/>
      <c r="C355" s="680"/>
      <c r="D355" s="675"/>
      <c r="E355" s="680"/>
      <c r="F355" s="681"/>
      <c r="G355" s="682"/>
      <c r="H355" s="680"/>
      <c r="I355" s="680"/>
      <c r="L355" s="680"/>
      <c r="M355" s="680"/>
      <c r="Q355" s="680" t="s">
        <v>2122</v>
      </c>
      <c r="R355" s="680"/>
      <c r="S355" s="680"/>
      <c r="T355" s="680"/>
      <c r="U355" s="680"/>
      <c r="V355" s="680"/>
      <c r="W355" s="680"/>
      <c r="X355" s="680"/>
      <c r="Y355" s="680"/>
      <c r="Z355" s="680"/>
      <c r="AA355" s="680"/>
      <c r="AB355" s="680"/>
      <c r="AC355" s="680"/>
      <c r="AD355" s="685"/>
    </row>
    <row r="356" spans="1:30" s="671" customFormat="1">
      <c r="A356" s="686"/>
      <c r="B356" s="672"/>
      <c r="C356" s="672"/>
      <c r="D356" s="675"/>
      <c r="E356" s="672"/>
      <c r="F356" s="677"/>
      <c r="G356" s="678"/>
      <c r="H356" s="672"/>
      <c r="I356" s="672"/>
      <c r="J356" s="672"/>
      <c r="K356" s="672"/>
      <c r="L356" s="672"/>
      <c r="M356" s="672"/>
      <c r="N356" s="672"/>
      <c r="O356" s="672"/>
      <c r="P356" s="672"/>
      <c r="Q356" s="672"/>
      <c r="R356" s="672"/>
      <c r="S356" s="672"/>
      <c r="T356" s="672"/>
      <c r="U356" s="672"/>
      <c r="V356" s="672"/>
      <c r="W356" s="672"/>
      <c r="X356" s="672"/>
      <c r="Y356" s="672"/>
      <c r="Z356" s="672"/>
      <c r="AA356" s="672"/>
      <c r="AB356" s="672"/>
      <c r="AC356" s="672"/>
      <c r="AD356" s="672"/>
    </row>
    <row r="357" spans="1:30" s="691" customFormat="1">
      <c r="A357" s="686"/>
      <c r="B357" s="686"/>
      <c r="C357" s="687"/>
      <c r="D357" s="675"/>
      <c r="E357" s="688"/>
      <c r="F357" s="689"/>
      <c r="G357" s="690"/>
      <c r="H357" s="688"/>
      <c r="I357" s="688"/>
      <c r="K357" s="680"/>
      <c r="L357" s="680" t="s">
        <v>2121</v>
      </c>
      <c r="M357" s="680"/>
      <c r="N357" s="680"/>
      <c r="O357" s="680"/>
      <c r="P357" s="680"/>
      <c r="Q357" s="680"/>
      <c r="R357" s="680"/>
      <c r="S357" s="680"/>
      <c r="T357" s="680"/>
      <c r="U357" s="680"/>
      <c r="V357" s="680"/>
      <c r="W357" s="680"/>
      <c r="X357" s="680"/>
      <c r="Y357" s="680"/>
      <c r="Z357" s="680"/>
      <c r="AA357" s="680"/>
      <c r="AB357" s="680"/>
      <c r="AC357" s="680"/>
      <c r="AD357" s="685"/>
    </row>
    <row r="358" spans="1:30" s="693" customFormat="1">
      <c r="A358" s="120"/>
      <c r="B358" s="120"/>
      <c r="C358" s="116"/>
      <c r="D358" s="514"/>
      <c r="E358" s="116"/>
      <c r="F358" s="546"/>
      <c r="G358" s="692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</row>
    <row r="359" spans="1:30" s="693" customFormat="1">
      <c r="A359" s="120"/>
      <c r="B359" s="120"/>
      <c r="C359" s="116"/>
      <c r="D359" s="514"/>
      <c r="E359" s="116"/>
      <c r="F359" s="546"/>
      <c r="G359" s="692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</row>
    <row r="360" spans="1:30" s="693" customFormat="1">
      <c r="A360" s="120"/>
      <c r="B360" s="120"/>
      <c r="C360" s="116"/>
      <c r="D360" s="514"/>
      <c r="E360" s="116"/>
      <c r="F360" s="546"/>
      <c r="G360" s="692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</row>
    <row r="361" spans="1:30" s="693" customFormat="1">
      <c r="A361" s="120"/>
      <c r="B361" s="120"/>
      <c r="C361" s="116"/>
      <c r="D361" s="514"/>
      <c r="E361" s="116"/>
      <c r="F361" s="546"/>
      <c r="G361" s="692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6"/>
    </row>
    <row r="362" spans="1:30" s="693" customFormat="1">
      <c r="A362" s="120"/>
      <c r="B362" s="120"/>
      <c r="C362" s="116"/>
      <c r="D362" s="514"/>
      <c r="E362" s="116"/>
      <c r="F362" s="546"/>
      <c r="G362" s="692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</row>
    <row r="363" spans="1:30" s="693" customFormat="1">
      <c r="A363" s="120"/>
      <c r="B363" s="120"/>
      <c r="C363" s="116"/>
      <c r="D363" s="514"/>
      <c r="E363" s="116"/>
      <c r="F363" s="546"/>
      <c r="G363" s="692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  <c r="AA363" s="116"/>
    </row>
    <row r="364" spans="1:30" s="693" customFormat="1">
      <c r="A364" s="120"/>
      <c r="B364" s="120"/>
      <c r="C364" s="116"/>
      <c r="D364" s="514"/>
      <c r="E364" s="116"/>
      <c r="F364" s="546"/>
      <c r="G364" s="692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  <c r="AA364" s="116"/>
    </row>
    <row r="365" spans="1:30" s="693" customFormat="1">
      <c r="A365" s="120"/>
      <c r="B365" s="120"/>
      <c r="C365" s="116"/>
      <c r="D365" s="514"/>
      <c r="E365" s="116"/>
      <c r="F365" s="546"/>
      <c r="G365" s="692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</row>
    <row r="366" spans="1:30" s="693" customFormat="1">
      <c r="A366" s="120"/>
      <c r="B366" s="120"/>
      <c r="C366" s="116"/>
      <c r="D366" s="514"/>
      <c r="E366" s="116"/>
      <c r="F366" s="546"/>
      <c r="G366" s="692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</row>
    <row r="367" spans="1:30" s="693" customFormat="1">
      <c r="A367" s="120"/>
      <c r="B367" s="120"/>
      <c r="C367" s="116"/>
      <c r="D367" s="514"/>
      <c r="E367" s="116"/>
      <c r="F367" s="546"/>
      <c r="G367" s="692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</row>
    <row r="368" spans="1:30" s="693" customFormat="1">
      <c r="A368" s="120"/>
      <c r="B368" s="120"/>
      <c r="C368" s="116"/>
      <c r="D368" s="514"/>
      <c r="E368" s="116"/>
      <c r="F368" s="546"/>
      <c r="G368" s="692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</row>
    <row r="369" spans="1:27" s="693" customFormat="1">
      <c r="A369" s="120"/>
      <c r="B369" s="120"/>
      <c r="C369" s="116"/>
      <c r="D369" s="514"/>
      <c r="E369" s="116"/>
      <c r="F369" s="546"/>
      <c r="G369" s="692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</row>
    <row r="370" spans="1:27" s="693" customFormat="1">
      <c r="A370" s="120"/>
      <c r="B370" s="120"/>
      <c r="C370" s="116"/>
      <c r="D370" s="514"/>
      <c r="E370" s="116"/>
      <c r="F370" s="546"/>
      <c r="G370" s="692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  <c r="AA370" s="116"/>
    </row>
    <row r="371" spans="1:27" s="693" customFormat="1">
      <c r="A371" s="120"/>
      <c r="B371" s="120"/>
      <c r="C371" s="116"/>
      <c r="D371" s="514"/>
      <c r="E371" s="116"/>
      <c r="F371" s="546"/>
      <c r="G371" s="692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</row>
    <row r="372" spans="1:27" s="693" customFormat="1">
      <c r="A372" s="120"/>
      <c r="B372" s="120"/>
      <c r="C372" s="116"/>
      <c r="D372" s="514"/>
      <c r="E372" s="116"/>
      <c r="F372" s="546"/>
      <c r="G372" s="692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  <c r="AA372" s="116"/>
    </row>
    <row r="373" spans="1:27" s="693" customFormat="1">
      <c r="A373" s="120"/>
      <c r="B373" s="120"/>
      <c r="C373" s="116"/>
      <c r="D373" s="514"/>
      <c r="E373" s="116"/>
      <c r="F373" s="546"/>
      <c r="G373" s="692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  <c r="AA373" s="116"/>
    </row>
    <row r="374" spans="1:27" s="693" customFormat="1">
      <c r="A374" s="120"/>
      <c r="B374" s="120"/>
      <c r="C374" s="116"/>
      <c r="D374" s="514"/>
      <c r="E374" s="116"/>
      <c r="F374" s="546"/>
      <c r="G374" s="692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  <c r="AA374" s="116"/>
    </row>
    <row r="375" spans="1:27" s="693" customFormat="1">
      <c r="A375" s="120"/>
      <c r="B375" s="120"/>
      <c r="C375" s="116"/>
      <c r="D375" s="514"/>
      <c r="E375" s="116"/>
      <c r="F375" s="546"/>
      <c r="G375" s="692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</row>
    <row r="376" spans="1:27" s="693" customFormat="1">
      <c r="A376" s="120"/>
      <c r="B376" s="120"/>
      <c r="C376" s="116"/>
      <c r="D376" s="514"/>
      <c r="E376" s="116"/>
      <c r="F376" s="546"/>
      <c r="G376" s="692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6"/>
    </row>
    <row r="377" spans="1:27" s="693" customFormat="1">
      <c r="A377" s="120"/>
      <c r="B377" s="120"/>
      <c r="C377" s="116"/>
      <c r="D377" s="514"/>
      <c r="E377" s="116"/>
      <c r="F377" s="546"/>
      <c r="G377" s="692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/>
    </row>
    <row r="378" spans="1:27" s="693" customFormat="1">
      <c r="A378" s="120"/>
      <c r="B378" s="120"/>
      <c r="C378" s="116"/>
      <c r="D378" s="514"/>
      <c r="E378" s="116"/>
      <c r="F378" s="546"/>
      <c r="G378" s="692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</row>
    <row r="379" spans="1:27" s="693" customFormat="1">
      <c r="A379" s="120"/>
      <c r="B379" s="120"/>
      <c r="C379" s="116"/>
      <c r="D379" s="514"/>
      <c r="E379" s="116"/>
      <c r="F379" s="546"/>
      <c r="G379" s="692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6"/>
    </row>
    <row r="380" spans="1:27" s="693" customFormat="1">
      <c r="A380" s="120"/>
      <c r="B380" s="120"/>
      <c r="C380" s="116"/>
      <c r="D380" s="514"/>
      <c r="E380" s="116"/>
      <c r="F380" s="546"/>
      <c r="G380" s="692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</row>
    <row r="381" spans="1:27" s="693" customFormat="1">
      <c r="A381" s="120"/>
      <c r="B381" s="120"/>
      <c r="C381" s="116"/>
      <c r="D381" s="514"/>
      <c r="E381" s="116"/>
      <c r="F381" s="546"/>
      <c r="G381" s="692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  <c r="AA381" s="116"/>
    </row>
    <row r="382" spans="1:27" s="693" customFormat="1">
      <c r="A382" s="120"/>
      <c r="B382" s="120"/>
      <c r="C382" s="116"/>
      <c r="D382" s="514"/>
      <c r="E382" s="116"/>
      <c r="F382" s="546"/>
      <c r="G382" s="692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</row>
    <row r="383" spans="1:27" s="693" customFormat="1">
      <c r="A383" s="120"/>
      <c r="B383" s="120"/>
      <c r="C383" s="116"/>
      <c r="D383" s="514"/>
      <c r="E383" s="116"/>
      <c r="F383" s="546"/>
      <c r="G383" s="692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  <c r="AA383" s="116"/>
    </row>
    <row r="384" spans="1:27" s="693" customFormat="1">
      <c r="A384" s="120"/>
      <c r="B384" s="120"/>
      <c r="C384" s="116"/>
      <c r="D384" s="514"/>
      <c r="E384" s="116"/>
      <c r="F384" s="546"/>
      <c r="G384" s="692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</row>
    <row r="385" spans="1:27" s="693" customFormat="1">
      <c r="A385" s="120"/>
      <c r="B385" s="120"/>
      <c r="C385" s="116"/>
      <c r="D385" s="514"/>
      <c r="E385" s="116"/>
      <c r="F385" s="546"/>
      <c r="G385" s="692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</row>
    <row r="386" spans="1:27" s="693" customFormat="1">
      <c r="A386" s="120"/>
      <c r="B386" s="120"/>
      <c r="C386" s="116"/>
      <c r="D386" s="514"/>
      <c r="E386" s="116"/>
      <c r="F386" s="546"/>
      <c r="G386" s="692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</row>
    <row r="387" spans="1:27" s="693" customFormat="1">
      <c r="A387" s="120"/>
      <c r="B387" s="120"/>
      <c r="C387" s="116"/>
      <c r="D387" s="514"/>
      <c r="E387" s="116"/>
      <c r="F387" s="546"/>
      <c r="G387" s="692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</row>
    <row r="388" spans="1:27" s="693" customFormat="1">
      <c r="A388" s="120"/>
      <c r="B388" s="120"/>
      <c r="C388" s="116"/>
      <c r="D388" s="514"/>
      <c r="E388" s="116"/>
      <c r="F388" s="546"/>
      <c r="G388" s="692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</row>
    <row r="389" spans="1:27" s="693" customFormat="1">
      <c r="A389" s="120"/>
      <c r="B389" s="120"/>
      <c r="C389" s="116"/>
      <c r="D389" s="514"/>
      <c r="E389" s="116"/>
      <c r="F389" s="546"/>
      <c r="G389" s="692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</row>
    <row r="390" spans="1:27" s="693" customFormat="1">
      <c r="A390" s="120"/>
      <c r="B390" s="120"/>
      <c r="C390" s="116"/>
      <c r="D390" s="514"/>
      <c r="E390" s="116"/>
      <c r="F390" s="546"/>
      <c r="G390" s="692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</row>
    <row r="391" spans="1:27" s="693" customFormat="1">
      <c r="A391" s="120"/>
      <c r="B391" s="120"/>
      <c r="C391" s="116"/>
      <c r="D391" s="514"/>
      <c r="E391" s="116"/>
      <c r="F391" s="546"/>
      <c r="G391" s="692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</row>
    <row r="392" spans="1:27" s="693" customFormat="1">
      <c r="A392" s="120"/>
      <c r="B392" s="120"/>
      <c r="C392" s="116"/>
      <c r="D392" s="514"/>
      <c r="E392" s="116"/>
      <c r="F392" s="546"/>
      <c r="G392" s="692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</row>
    <row r="393" spans="1:27" s="693" customFormat="1">
      <c r="A393" s="120"/>
      <c r="B393" s="120"/>
      <c r="C393" s="116"/>
      <c r="D393" s="514"/>
      <c r="E393" s="116"/>
      <c r="F393" s="546"/>
      <c r="G393" s="692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</row>
    <row r="394" spans="1:27" s="693" customFormat="1">
      <c r="A394" s="120"/>
      <c r="B394" s="120"/>
      <c r="C394" s="116"/>
      <c r="D394" s="514"/>
      <c r="E394" s="116"/>
      <c r="F394" s="546"/>
      <c r="G394" s="692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</row>
    <row r="395" spans="1:27" s="693" customFormat="1">
      <c r="A395" s="120"/>
      <c r="B395" s="120"/>
      <c r="C395" s="116"/>
      <c r="D395" s="514"/>
      <c r="E395" s="116"/>
      <c r="F395" s="546"/>
      <c r="G395" s="692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  <c r="AA395" s="116"/>
    </row>
    <row r="396" spans="1:27" s="693" customFormat="1">
      <c r="A396" s="120"/>
      <c r="B396" s="120"/>
      <c r="C396" s="116"/>
      <c r="D396" s="514"/>
      <c r="E396" s="116"/>
      <c r="F396" s="546"/>
      <c r="G396" s="692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  <c r="AA396" s="116"/>
    </row>
    <row r="397" spans="1:27" s="693" customFormat="1">
      <c r="A397" s="120"/>
      <c r="B397" s="120"/>
      <c r="C397" s="116"/>
      <c r="D397" s="514"/>
      <c r="E397" s="116"/>
      <c r="F397" s="546"/>
      <c r="G397" s="692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  <c r="AA397" s="116"/>
    </row>
    <row r="398" spans="1:27" s="693" customFormat="1">
      <c r="A398" s="120"/>
      <c r="B398" s="120"/>
      <c r="C398" s="116"/>
      <c r="D398" s="514"/>
      <c r="E398" s="116"/>
      <c r="F398" s="546"/>
      <c r="G398" s="692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  <c r="AA398" s="116"/>
    </row>
    <row r="399" spans="1:27" s="693" customFormat="1">
      <c r="A399" s="120"/>
      <c r="B399" s="120"/>
      <c r="C399" s="116"/>
      <c r="D399" s="514"/>
      <c r="E399" s="116"/>
      <c r="F399" s="546"/>
      <c r="G399" s="692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</row>
    <row r="400" spans="1:27" s="693" customFormat="1">
      <c r="A400" s="120"/>
      <c r="B400" s="120"/>
      <c r="C400" s="116"/>
      <c r="D400" s="514"/>
      <c r="E400" s="116"/>
      <c r="F400" s="546"/>
      <c r="G400" s="692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  <c r="AA400" s="116"/>
    </row>
    <row r="401" spans="1:27" s="693" customFormat="1">
      <c r="A401" s="120"/>
      <c r="B401" s="120"/>
      <c r="C401" s="116"/>
      <c r="D401" s="514"/>
      <c r="E401" s="116"/>
      <c r="F401" s="546"/>
      <c r="G401" s="692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  <c r="AA401" s="116"/>
    </row>
    <row r="402" spans="1:27" s="693" customFormat="1">
      <c r="A402" s="120"/>
      <c r="B402" s="120"/>
      <c r="C402" s="116"/>
      <c r="D402" s="514"/>
      <c r="E402" s="116"/>
      <c r="F402" s="546"/>
      <c r="G402" s="692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6"/>
    </row>
    <row r="403" spans="1:27" s="693" customFormat="1">
      <c r="A403" s="120"/>
      <c r="B403" s="120"/>
      <c r="C403" s="116"/>
      <c r="D403" s="514"/>
      <c r="E403" s="116"/>
      <c r="F403" s="546"/>
      <c r="G403" s="692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  <c r="AA403" s="116"/>
    </row>
    <row r="404" spans="1:27" s="693" customFormat="1">
      <c r="A404" s="120"/>
      <c r="B404" s="120"/>
      <c r="C404" s="116"/>
      <c r="D404" s="514"/>
      <c r="E404" s="116"/>
      <c r="F404" s="546"/>
      <c r="G404" s="692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  <c r="AA404" s="116"/>
    </row>
    <row r="405" spans="1:27" s="693" customFormat="1">
      <c r="A405" s="120"/>
      <c r="B405" s="120"/>
      <c r="C405" s="116"/>
      <c r="D405" s="514"/>
      <c r="E405" s="116"/>
      <c r="F405" s="546"/>
      <c r="G405" s="692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  <c r="AA405" s="116"/>
    </row>
    <row r="406" spans="1:27" s="693" customFormat="1">
      <c r="A406" s="120"/>
      <c r="B406" s="120"/>
      <c r="C406" s="116"/>
      <c r="D406" s="514"/>
      <c r="E406" s="116"/>
      <c r="F406" s="546"/>
      <c r="G406" s="692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</row>
    <row r="407" spans="1:27" s="693" customFormat="1">
      <c r="A407" s="120"/>
      <c r="B407" s="120"/>
      <c r="C407" s="116"/>
      <c r="D407" s="514"/>
      <c r="E407" s="116"/>
      <c r="F407" s="546"/>
      <c r="G407" s="692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  <c r="AA407" s="116"/>
    </row>
    <row r="408" spans="1:27" s="693" customFormat="1">
      <c r="A408" s="120"/>
      <c r="B408" s="120"/>
      <c r="C408" s="116"/>
      <c r="D408" s="514"/>
      <c r="E408" s="116"/>
      <c r="F408" s="546"/>
      <c r="G408" s="692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</row>
    <row r="409" spans="1:27" s="693" customFormat="1">
      <c r="A409" s="120"/>
      <c r="B409" s="120"/>
      <c r="C409" s="116"/>
      <c r="D409" s="514"/>
      <c r="E409" s="116"/>
      <c r="F409" s="546"/>
      <c r="G409" s="692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  <c r="AA409" s="116"/>
    </row>
    <row r="410" spans="1:27" s="693" customFormat="1">
      <c r="A410" s="120"/>
      <c r="B410" s="120"/>
      <c r="C410" s="116"/>
      <c r="D410" s="514"/>
      <c r="E410" s="116"/>
      <c r="F410" s="546"/>
      <c r="G410" s="692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  <c r="AA410" s="116"/>
    </row>
    <row r="411" spans="1:27" s="693" customFormat="1">
      <c r="A411" s="120"/>
      <c r="B411" s="120"/>
      <c r="C411" s="116"/>
      <c r="D411" s="514"/>
      <c r="E411" s="116"/>
      <c r="F411" s="546"/>
      <c r="G411" s="692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  <c r="AA411" s="116"/>
    </row>
    <row r="412" spans="1:27" s="693" customFormat="1">
      <c r="A412" s="120"/>
      <c r="B412" s="120"/>
      <c r="C412" s="116"/>
      <c r="D412" s="514"/>
      <c r="E412" s="116"/>
      <c r="F412" s="546"/>
      <c r="G412" s="692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  <c r="AA412" s="116"/>
    </row>
    <row r="413" spans="1:27" s="693" customFormat="1">
      <c r="A413" s="120"/>
      <c r="B413" s="120"/>
      <c r="C413" s="116"/>
      <c r="D413" s="514"/>
      <c r="E413" s="116"/>
      <c r="F413" s="546"/>
      <c r="G413" s="692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  <c r="AA413" s="116"/>
    </row>
    <row r="414" spans="1:27" s="693" customFormat="1">
      <c r="A414" s="120"/>
      <c r="B414" s="120"/>
      <c r="C414" s="116"/>
      <c r="D414" s="514"/>
      <c r="E414" s="116"/>
      <c r="F414" s="546"/>
      <c r="G414" s="692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  <c r="AA414" s="116"/>
    </row>
    <row r="415" spans="1:27" s="693" customFormat="1">
      <c r="A415" s="120"/>
      <c r="B415" s="120"/>
      <c r="C415" s="116"/>
      <c r="D415" s="514"/>
      <c r="E415" s="116"/>
      <c r="F415" s="546"/>
      <c r="G415" s="692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  <c r="AA415" s="116"/>
    </row>
    <row r="416" spans="1:27" s="693" customFormat="1">
      <c r="A416" s="120"/>
      <c r="B416" s="120"/>
      <c r="C416" s="116"/>
      <c r="D416" s="514"/>
      <c r="E416" s="116"/>
      <c r="F416" s="546"/>
      <c r="G416" s="692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  <c r="AA416" s="116"/>
    </row>
    <row r="417" spans="1:27" s="693" customFormat="1">
      <c r="A417" s="120"/>
      <c r="B417" s="120"/>
      <c r="C417" s="116"/>
      <c r="D417" s="514"/>
      <c r="E417" s="116"/>
      <c r="F417" s="546"/>
      <c r="G417" s="692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</row>
    <row r="418" spans="1:27" s="693" customFormat="1">
      <c r="A418" s="120"/>
      <c r="B418" s="120"/>
      <c r="C418" s="116"/>
      <c r="D418" s="514"/>
      <c r="E418" s="116"/>
      <c r="F418" s="546"/>
      <c r="G418" s="692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  <c r="AA418" s="116"/>
    </row>
    <row r="419" spans="1:27" s="693" customFormat="1">
      <c r="A419" s="120"/>
      <c r="B419" s="120"/>
      <c r="C419" s="116"/>
      <c r="D419" s="514"/>
      <c r="E419" s="116"/>
      <c r="F419" s="546"/>
      <c r="G419" s="692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  <c r="AA419" s="116"/>
    </row>
    <row r="420" spans="1:27" s="693" customFormat="1">
      <c r="A420" s="120"/>
      <c r="B420" s="120"/>
      <c r="C420" s="116"/>
      <c r="D420" s="514"/>
      <c r="E420" s="116"/>
      <c r="F420" s="546"/>
      <c r="G420" s="692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  <c r="AA420" s="116"/>
    </row>
    <row r="421" spans="1:27" s="693" customFormat="1">
      <c r="A421" s="120"/>
      <c r="B421" s="120"/>
      <c r="C421" s="116"/>
      <c r="D421" s="514"/>
      <c r="E421" s="116"/>
      <c r="F421" s="546"/>
      <c r="G421" s="692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  <c r="AA421" s="116"/>
    </row>
    <row r="422" spans="1:27" s="693" customFormat="1">
      <c r="A422" s="120"/>
      <c r="B422" s="120"/>
      <c r="C422" s="116"/>
      <c r="D422" s="514"/>
      <c r="E422" s="116"/>
      <c r="F422" s="546"/>
      <c r="G422" s="692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  <c r="AA422" s="116"/>
    </row>
    <row r="423" spans="1:27" s="693" customFormat="1">
      <c r="A423" s="120"/>
      <c r="B423" s="120"/>
      <c r="C423" s="116"/>
      <c r="D423" s="514"/>
      <c r="E423" s="116"/>
      <c r="F423" s="546"/>
      <c r="G423" s="692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  <c r="AA423" s="116"/>
    </row>
    <row r="424" spans="1:27" s="693" customFormat="1">
      <c r="A424" s="120"/>
      <c r="B424" s="120"/>
      <c r="C424" s="116"/>
      <c r="D424" s="514"/>
      <c r="E424" s="116"/>
      <c r="F424" s="546"/>
      <c r="G424" s="692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  <c r="AA424" s="116"/>
    </row>
    <row r="425" spans="1:27" s="693" customFormat="1">
      <c r="A425" s="120"/>
      <c r="B425" s="120"/>
      <c r="C425" s="116"/>
      <c r="D425" s="514"/>
      <c r="E425" s="116"/>
      <c r="F425" s="546"/>
      <c r="G425" s="692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  <c r="AA425" s="116"/>
    </row>
    <row r="426" spans="1:27" s="693" customFormat="1">
      <c r="A426" s="120"/>
      <c r="B426" s="120"/>
      <c r="C426" s="116"/>
      <c r="D426" s="514"/>
      <c r="E426" s="116"/>
      <c r="F426" s="546"/>
      <c r="G426" s="692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  <c r="AA426" s="116"/>
    </row>
    <row r="427" spans="1:27" s="693" customFormat="1">
      <c r="A427" s="120"/>
      <c r="B427" s="120"/>
      <c r="C427" s="116"/>
      <c r="D427" s="514"/>
      <c r="E427" s="116"/>
      <c r="F427" s="546"/>
      <c r="G427" s="692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  <c r="AA427" s="116"/>
    </row>
    <row r="428" spans="1:27" s="693" customFormat="1">
      <c r="A428" s="120"/>
      <c r="B428" s="120"/>
      <c r="C428" s="116"/>
      <c r="D428" s="514"/>
      <c r="E428" s="116"/>
      <c r="F428" s="546"/>
      <c r="G428" s="692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  <c r="AA428" s="116"/>
    </row>
    <row r="429" spans="1:27" s="693" customFormat="1">
      <c r="A429" s="120"/>
      <c r="B429" s="120"/>
      <c r="C429" s="116"/>
      <c r="D429" s="514"/>
      <c r="E429" s="116"/>
      <c r="F429" s="546"/>
      <c r="G429" s="692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  <c r="AA429" s="116"/>
    </row>
    <row r="430" spans="1:27" s="693" customFormat="1">
      <c r="A430" s="120"/>
      <c r="B430" s="120"/>
      <c r="C430" s="116"/>
      <c r="D430" s="514"/>
      <c r="E430" s="116"/>
      <c r="F430" s="546"/>
      <c r="G430" s="692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  <c r="AA430" s="116"/>
    </row>
    <row r="431" spans="1:27" s="693" customFormat="1">
      <c r="A431" s="120"/>
      <c r="B431" s="120"/>
      <c r="C431" s="116"/>
      <c r="D431" s="514"/>
      <c r="E431" s="116"/>
      <c r="F431" s="546"/>
      <c r="G431" s="692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  <c r="AA431" s="116"/>
    </row>
    <row r="432" spans="1:27" s="693" customFormat="1">
      <c r="A432" s="120"/>
      <c r="B432" s="120"/>
      <c r="C432" s="116"/>
      <c r="D432" s="514"/>
      <c r="E432" s="116"/>
      <c r="F432" s="546"/>
      <c r="G432" s="692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  <c r="AA432" s="116"/>
    </row>
    <row r="433" spans="1:27" s="693" customFormat="1">
      <c r="A433" s="120"/>
      <c r="B433" s="120"/>
      <c r="C433" s="116"/>
      <c r="D433" s="514"/>
      <c r="E433" s="116"/>
      <c r="F433" s="546"/>
      <c r="G433" s="692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  <c r="AA433" s="116"/>
    </row>
    <row r="434" spans="1:27" s="693" customFormat="1">
      <c r="A434" s="120"/>
      <c r="B434" s="120"/>
      <c r="C434" s="116"/>
      <c r="D434" s="514"/>
      <c r="E434" s="116"/>
      <c r="F434" s="546"/>
      <c r="G434" s="692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  <c r="AA434" s="116"/>
    </row>
    <row r="435" spans="1:27" s="693" customFormat="1">
      <c r="A435" s="120"/>
      <c r="B435" s="120"/>
      <c r="C435" s="116"/>
      <c r="D435" s="514"/>
      <c r="E435" s="116"/>
      <c r="F435" s="546"/>
      <c r="G435" s="692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  <c r="AA435" s="116"/>
    </row>
    <row r="436" spans="1:27" s="693" customFormat="1">
      <c r="A436" s="120"/>
      <c r="B436" s="120"/>
      <c r="C436" s="116"/>
      <c r="D436" s="514"/>
      <c r="E436" s="116"/>
      <c r="F436" s="546"/>
      <c r="G436" s="692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  <c r="AA436" s="116"/>
    </row>
    <row r="437" spans="1:27" s="693" customFormat="1">
      <c r="A437" s="120"/>
      <c r="B437" s="120"/>
      <c r="C437" s="116"/>
      <c r="D437" s="514"/>
      <c r="E437" s="116"/>
      <c r="F437" s="546"/>
      <c r="G437" s="692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  <c r="AA437" s="116"/>
    </row>
    <row r="438" spans="1:27" s="693" customFormat="1">
      <c r="A438" s="120"/>
      <c r="B438" s="120"/>
      <c r="C438" s="116"/>
      <c r="D438" s="514"/>
      <c r="E438" s="116"/>
      <c r="F438" s="546"/>
      <c r="G438" s="692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  <c r="AA438" s="116"/>
    </row>
    <row r="439" spans="1:27" s="693" customFormat="1">
      <c r="A439" s="120"/>
      <c r="B439" s="120"/>
      <c r="C439" s="116"/>
      <c r="D439" s="514"/>
      <c r="E439" s="116"/>
      <c r="F439" s="546"/>
      <c r="G439" s="692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  <c r="AA439" s="116"/>
    </row>
    <row r="440" spans="1:27" s="693" customFormat="1">
      <c r="A440" s="120"/>
      <c r="B440" s="120"/>
      <c r="C440" s="116"/>
      <c r="D440" s="514"/>
      <c r="E440" s="116"/>
      <c r="F440" s="546"/>
      <c r="G440" s="692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  <c r="AA440" s="116"/>
    </row>
    <row r="441" spans="1:27" s="693" customFormat="1">
      <c r="A441" s="120"/>
      <c r="B441" s="120"/>
      <c r="C441" s="116"/>
      <c r="D441" s="514"/>
      <c r="E441" s="116"/>
      <c r="F441" s="546"/>
      <c r="G441" s="692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  <c r="AA441" s="116"/>
    </row>
    <row r="442" spans="1:27" s="693" customFormat="1">
      <c r="A442" s="120"/>
      <c r="B442" s="120"/>
      <c r="C442" s="116"/>
      <c r="D442" s="514"/>
      <c r="E442" s="116"/>
      <c r="F442" s="546"/>
      <c r="G442" s="692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16"/>
    </row>
    <row r="443" spans="1:27" s="693" customFormat="1">
      <c r="A443" s="120"/>
      <c r="B443" s="120"/>
      <c r="C443" s="116"/>
      <c r="D443" s="514"/>
      <c r="E443" s="116"/>
      <c r="F443" s="546"/>
      <c r="G443" s="692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  <c r="AA443" s="116"/>
    </row>
    <row r="444" spans="1:27" s="693" customFormat="1">
      <c r="A444" s="120"/>
      <c r="B444" s="120"/>
      <c r="C444" s="116"/>
      <c r="D444" s="514"/>
      <c r="E444" s="116"/>
      <c r="F444" s="546"/>
      <c r="G444" s="692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  <c r="AA444" s="116"/>
    </row>
    <row r="445" spans="1:27" s="693" customFormat="1">
      <c r="A445" s="120"/>
      <c r="B445" s="120"/>
      <c r="C445" s="116"/>
      <c r="D445" s="514"/>
      <c r="E445" s="116"/>
      <c r="F445" s="546"/>
      <c r="G445" s="692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  <c r="AA445" s="116"/>
    </row>
    <row r="446" spans="1:27" s="693" customFormat="1">
      <c r="A446" s="120"/>
      <c r="B446" s="120"/>
      <c r="C446" s="116"/>
      <c r="D446" s="514"/>
      <c r="E446" s="116"/>
      <c r="F446" s="546"/>
      <c r="G446" s="692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  <c r="AA446" s="116"/>
    </row>
    <row r="447" spans="1:27" s="693" customFormat="1">
      <c r="A447" s="120"/>
      <c r="B447" s="120"/>
      <c r="C447" s="116"/>
      <c r="D447" s="514"/>
      <c r="E447" s="116"/>
      <c r="F447" s="546"/>
      <c r="G447" s="692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  <c r="AA447" s="116"/>
    </row>
    <row r="448" spans="1:27" s="693" customFormat="1">
      <c r="A448" s="120"/>
      <c r="B448" s="120"/>
      <c r="C448" s="116"/>
      <c r="D448" s="514"/>
      <c r="E448" s="116"/>
      <c r="F448" s="546"/>
      <c r="G448" s="692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16"/>
    </row>
    <row r="449" spans="1:27" s="693" customFormat="1">
      <c r="A449" s="120"/>
      <c r="B449" s="120"/>
      <c r="C449" s="116"/>
      <c r="D449" s="514"/>
      <c r="E449" s="116"/>
      <c r="F449" s="546"/>
      <c r="G449" s="692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  <c r="AA449" s="116"/>
    </row>
    <row r="450" spans="1:27" s="693" customFormat="1">
      <c r="A450" s="120"/>
      <c r="B450" s="120"/>
      <c r="C450" s="116"/>
      <c r="D450" s="514"/>
      <c r="E450" s="116"/>
      <c r="F450" s="546"/>
      <c r="G450" s="692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  <c r="AA450" s="116"/>
    </row>
    <row r="451" spans="1:27" s="693" customFormat="1">
      <c r="A451" s="120"/>
      <c r="B451" s="120"/>
      <c r="C451" s="116"/>
      <c r="D451" s="514"/>
      <c r="E451" s="116"/>
      <c r="F451" s="546"/>
      <c r="G451" s="692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  <c r="AA451" s="116"/>
    </row>
    <row r="452" spans="1:27" s="693" customFormat="1">
      <c r="A452" s="120"/>
      <c r="B452" s="120"/>
      <c r="C452" s="116"/>
      <c r="D452" s="514"/>
      <c r="E452" s="116"/>
      <c r="F452" s="546"/>
      <c r="G452" s="692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  <c r="AA452" s="116"/>
    </row>
    <row r="453" spans="1:27" s="693" customFormat="1">
      <c r="A453" s="120"/>
      <c r="B453" s="120"/>
      <c r="C453" s="116"/>
      <c r="D453" s="514"/>
      <c r="E453" s="116"/>
      <c r="F453" s="546"/>
      <c r="G453" s="692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  <c r="AA453" s="116"/>
    </row>
    <row r="454" spans="1:27" s="693" customFormat="1">
      <c r="A454" s="120"/>
      <c r="B454" s="120"/>
      <c r="C454" s="116"/>
      <c r="D454" s="514"/>
      <c r="E454" s="116"/>
      <c r="F454" s="546"/>
      <c r="G454" s="692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  <c r="AA454" s="116"/>
    </row>
    <row r="455" spans="1:27" s="693" customFormat="1">
      <c r="A455" s="120"/>
      <c r="B455" s="120"/>
      <c r="C455" s="116"/>
      <c r="D455" s="514"/>
      <c r="E455" s="116"/>
      <c r="F455" s="546"/>
      <c r="G455" s="692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  <c r="AA455" s="116"/>
    </row>
    <row r="456" spans="1:27" s="693" customFormat="1">
      <c r="A456" s="120"/>
      <c r="B456" s="120"/>
      <c r="C456" s="116"/>
      <c r="D456" s="514"/>
      <c r="E456" s="116"/>
      <c r="F456" s="546"/>
      <c r="G456" s="692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  <c r="AA456" s="116"/>
    </row>
    <row r="457" spans="1:27" s="693" customFormat="1">
      <c r="A457" s="120"/>
      <c r="B457" s="120"/>
      <c r="C457" s="116"/>
      <c r="D457" s="514"/>
      <c r="E457" s="116"/>
      <c r="F457" s="546"/>
      <c r="G457" s="692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  <c r="AA457" s="116"/>
    </row>
    <row r="458" spans="1:27" s="693" customFormat="1">
      <c r="A458" s="120"/>
      <c r="B458" s="120"/>
      <c r="C458" s="116"/>
      <c r="D458" s="514"/>
      <c r="E458" s="116"/>
      <c r="F458" s="546"/>
      <c r="G458" s="692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  <c r="AA458" s="116"/>
    </row>
    <row r="459" spans="1:27" s="693" customFormat="1">
      <c r="A459" s="120"/>
      <c r="B459" s="120"/>
      <c r="C459" s="116"/>
      <c r="D459" s="514"/>
      <c r="E459" s="116"/>
      <c r="F459" s="546"/>
      <c r="G459" s="692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  <c r="AA459" s="116"/>
    </row>
    <row r="460" spans="1:27" s="693" customFormat="1">
      <c r="A460" s="120"/>
      <c r="B460" s="120"/>
      <c r="C460" s="116"/>
      <c r="D460" s="514"/>
      <c r="E460" s="116"/>
      <c r="F460" s="546"/>
      <c r="G460" s="692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  <c r="AA460" s="116"/>
    </row>
    <row r="461" spans="1:27" s="693" customFormat="1">
      <c r="A461" s="120"/>
      <c r="B461" s="120"/>
      <c r="C461" s="116"/>
      <c r="D461" s="514"/>
      <c r="E461" s="116"/>
      <c r="F461" s="546"/>
      <c r="G461" s="692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  <c r="AA461" s="116"/>
    </row>
    <row r="462" spans="1:27" s="693" customFormat="1">
      <c r="A462" s="120"/>
      <c r="B462" s="120"/>
      <c r="C462" s="116"/>
      <c r="D462" s="514"/>
      <c r="E462" s="116"/>
      <c r="F462" s="546"/>
      <c r="G462" s="692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  <c r="AA462" s="116"/>
    </row>
    <row r="463" spans="1:27" s="693" customFormat="1">
      <c r="A463" s="120"/>
      <c r="B463" s="120"/>
      <c r="C463" s="116"/>
      <c r="D463" s="514"/>
      <c r="E463" s="116"/>
      <c r="F463" s="546"/>
      <c r="G463" s="692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  <c r="AA463" s="116"/>
    </row>
    <row r="464" spans="1:27" s="693" customFormat="1">
      <c r="A464" s="120"/>
      <c r="B464" s="120"/>
      <c r="C464" s="116"/>
      <c r="D464" s="514"/>
      <c r="E464" s="116"/>
      <c r="F464" s="546"/>
      <c r="G464" s="692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  <c r="AA464" s="116"/>
    </row>
    <row r="465" spans="1:27" s="693" customFormat="1">
      <c r="A465" s="120"/>
      <c r="B465" s="120"/>
      <c r="C465" s="116"/>
      <c r="D465" s="514"/>
      <c r="E465" s="116"/>
      <c r="F465" s="546"/>
      <c r="G465" s="692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  <c r="AA465" s="116"/>
    </row>
    <row r="466" spans="1:27" s="693" customFormat="1">
      <c r="A466" s="120"/>
      <c r="B466" s="120"/>
      <c r="C466" s="116"/>
      <c r="D466" s="514"/>
      <c r="E466" s="116"/>
      <c r="F466" s="546"/>
      <c r="G466" s="692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  <c r="AA466" s="116"/>
    </row>
    <row r="467" spans="1:27" s="693" customFormat="1">
      <c r="A467" s="120"/>
      <c r="B467" s="120"/>
      <c r="C467" s="116"/>
      <c r="D467" s="514"/>
      <c r="E467" s="116"/>
      <c r="F467" s="546"/>
      <c r="G467" s="692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  <c r="AA467" s="116"/>
    </row>
    <row r="468" spans="1:27" s="693" customFormat="1">
      <c r="A468" s="120"/>
      <c r="B468" s="120"/>
      <c r="C468" s="116"/>
      <c r="D468" s="514"/>
      <c r="E468" s="116"/>
      <c r="F468" s="546"/>
      <c r="G468" s="692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  <c r="AA468" s="116"/>
    </row>
    <row r="469" spans="1:27" s="693" customFormat="1">
      <c r="A469" s="120"/>
      <c r="B469" s="120"/>
      <c r="C469" s="116"/>
      <c r="D469" s="514"/>
      <c r="E469" s="116"/>
      <c r="F469" s="546"/>
      <c r="G469" s="692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  <c r="AA469" s="116"/>
    </row>
    <row r="470" spans="1:27" s="693" customFormat="1">
      <c r="A470" s="120"/>
      <c r="B470" s="120"/>
      <c r="C470" s="116"/>
      <c r="D470" s="514"/>
      <c r="E470" s="116"/>
      <c r="F470" s="546"/>
      <c r="G470" s="692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  <c r="AA470" s="116"/>
    </row>
    <row r="471" spans="1:27" s="693" customFormat="1">
      <c r="A471" s="120"/>
      <c r="B471" s="120"/>
      <c r="C471" s="116"/>
      <c r="D471" s="514"/>
      <c r="E471" s="116"/>
      <c r="F471" s="546"/>
      <c r="G471" s="692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  <c r="AA471" s="116"/>
    </row>
    <row r="472" spans="1:27" s="693" customFormat="1">
      <c r="A472" s="120"/>
      <c r="B472" s="120"/>
      <c r="C472" s="116"/>
      <c r="D472" s="514"/>
      <c r="E472" s="116"/>
      <c r="F472" s="546"/>
      <c r="G472" s="692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  <c r="AA472" s="116"/>
    </row>
    <row r="473" spans="1:27" s="693" customFormat="1">
      <c r="A473" s="120"/>
      <c r="B473" s="120"/>
      <c r="C473" s="116"/>
      <c r="D473" s="514"/>
      <c r="E473" s="116"/>
      <c r="F473" s="546"/>
      <c r="G473" s="692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  <c r="AA473" s="116"/>
    </row>
    <row r="474" spans="1:27" s="693" customFormat="1">
      <c r="A474" s="120"/>
      <c r="B474" s="120"/>
      <c r="C474" s="116"/>
      <c r="D474" s="514"/>
      <c r="E474" s="116"/>
      <c r="F474" s="546"/>
      <c r="G474" s="692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  <c r="AA474" s="116"/>
    </row>
    <row r="475" spans="1:27" s="693" customFormat="1">
      <c r="A475" s="120"/>
      <c r="B475" s="120"/>
      <c r="C475" s="116"/>
      <c r="D475" s="514"/>
      <c r="E475" s="116"/>
      <c r="F475" s="546"/>
      <c r="G475" s="692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  <c r="AA475" s="116"/>
    </row>
    <row r="476" spans="1:27" s="693" customFormat="1">
      <c r="A476" s="120"/>
      <c r="B476" s="120"/>
      <c r="C476" s="116"/>
      <c r="D476" s="514"/>
      <c r="E476" s="116"/>
      <c r="F476" s="546"/>
      <c r="G476" s="692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  <c r="AA476" s="116"/>
    </row>
    <row r="477" spans="1:27" s="693" customFormat="1">
      <c r="A477" s="120"/>
      <c r="B477" s="120"/>
      <c r="C477" s="116"/>
      <c r="D477" s="514"/>
      <c r="E477" s="116"/>
      <c r="F477" s="546"/>
      <c r="G477" s="692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  <c r="AA477" s="116"/>
    </row>
    <row r="478" spans="1:27" s="693" customFormat="1">
      <c r="A478" s="120"/>
      <c r="B478" s="120"/>
      <c r="C478" s="116"/>
      <c r="D478" s="514"/>
      <c r="E478" s="116"/>
      <c r="F478" s="546"/>
      <c r="G478" s="692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  <c r="AA478" s="116"/>
    </row>
    <row r="479" spans="1:27" s="693" customFormat="1">
      <c r="A479" s="120"/>
      <c r="B479" s="120"/>
      <c r="C479" s="116"/>
      <c r="D479" s="514"/>
      <c r="E479" s="116"/>
      <c r="F479" s="546"/>
      <c r="G479" s="692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  <c r="AA479" s="116"/>
    </row>
    <row r="480" spans="1:27" s="693" customFormat="1">
      <c r="A480" s="120"/>
      <c r="B480" s="120"/>
      <c r="C480" s="116"/>
      <c r="D480" s="514"/>
      <c r="E480" s="116"/>
      <c r="F480" s="546"/>
      <c r="G480" s="692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  <c r="AA480" s="116"/>
    </row>
    <row r="481" spans="1:27" s="693" customFormat="1">
      <c r="A481" s="120"/>
      <c r="B481" s="120"/>
      <c r="C481" s="116"/>
      <c r="D481" s="514"/>
      <c r="E481" s="116"/>
      <c r="F481" s="546"/>
      <c r="G481" s="692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  <c r="AA481" s="116"/>
    </row>
    <row r="482" spans="1:27" s="693" customFormat="1">
      <c r="A482" s="120"/>
      <c r="B482" s="120"/>
      <c r="C482" s="116"/>
      <c r="D482" s="514"/>
      <c r="E482" s="116"/>
      <c r="F482" s="546"/>
      <c r="G482" s="692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  <c r="AA482" s="116"/>
    </row>
    <row r="483" spans="1:27" s="693" customFormat="1">
      <c r="A483" s="120"/>
      <c r="B483" s="120"/>
      <c r="C483" s="116"/>
      <c r="D483" s="514"/>
      <c r="E483" s="116"/>
      <c r="F483" s="546"/>
      <c r="G483" s="692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  <c r="AA483" s="116"/>
    </row>
    <row r="484" spans="1:27" s="693" customFormat="1">
      <c r="A484" s="120"/>
      <c r="B484" s="120"/>
      <c r="C484" s="116"/>
      <c r="D484" s="514"/>
      <c r="E484" s="116"/>
      <c r="F484" s="546"/>
      <c r="G484" s="692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  <c r="AA484" s="116"/>
    </row>
    <row r="485" spans="1:27" s="693" customFormat="1">
      <c r="A485" s="120"/>
      <c r="B485" s="120"/>
      <c r="C485" s="116"/>
      <c r="D485" s="514"/>
      <c r="E485" s="116"/>
      <c r="F485" s="546"/>
      <c r="G485" s="692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  <c r="AA485" s="116"/>
    </row>
    <row r="486" spans="1:27" s="693" customFormat="1">
      <c r="A486" s="120"/>
      <c r="B486" s="120"/>
      <c r="C486" s="116"/>
      <c r="D486" s="514"/>
      <c r="E486" s="116"/>
      <c r="F486" s="546"/>
      <c r="G486" s="692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  <c r="AA486" s="116"/>
    </row>
    <row r="487" spans="1:27" s="693" customFormat="1">
      <c r="A487" s="120"/>
      <c r="B487" s="120"/>
      <c r="C487" s="116"/>
      <c r="D487" s="514"/>
      <c r="E487" s="116"/>
      <c r="F487" s="546"/>
      <c r="G487" s="692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  <c r="AA487" s="116"/>
    </row>
    <row r="488" spans="1:27" s="693" customFormat="1">
      <c r="A488" s="120"/>
      <c r="B488" s="120"/>
      <c r="C488" s="116"/>
      <c r="D488" s="514"/>
      <c r="E488" s="116"/>
      <c r="F488" s="546"/>
      <c r="G488" s="692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  <c r="AA488" s="116"/>
    </row>
    <row r="489" spans="1:27" s="693" customFormat="1">
      <c r="A489" s="120"/>
      <c r="B489" s="120"/>
      <c r="C489" s="116"/>
      <c r="D489" s="514"/>
      <c r="E489" s="116"/>
      <c r="F489" s="546"/>
      <c r="G489" s="692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  <c r="AA489" s="116"/>
    </row>
    <row r="490" spans="1:27" s="693" customFormat="1">
      <c r="A490" s="120"/>
      <c r="B490" s="120"/>
      <c r="C490" s="116"/>
      <c r="D490" s="514"/>
      <c r="E490" s="116"/>
      <c r="F490" s="546"/>
      <c r="G490" s="692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  <c r="AA490" s="116"/>
    </row>
    <row r="491" spans="1:27" s="693" customFormat="1">
      <c r="A491" s="120"/>
      <c r="B491" s="120"/>
      <c r="C491" s="116"/>
      <c r="D491" s="514"/>
      <c r="E491" s="116"/>
      <c r="F491" s="546"/>
      <c r="G491" s="692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  <c r="AA491" s="116"/>
    </row>
    <row r="492" spans="1:27" s="693" customFormat="1">
      <c r="A492" s="120"/>
      <c r="B492" s="120"/>
      <c r="C492" s="116"/>
      <c r="D492" s="514"/>
      <c r="E492" s="116"/>
      <c r="F492" s="546"/>
      <c r="G492" s="692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  <c r="AA492" s="116"/>
    </row>
    <row r="493" spans="1:27" s="693" customFormat="1">
      <c r="A493" s="120"/>
      <c r="B493" s="120"/>
      <c r="C493" s="116"/>
      <c r="D493" s="514"/>
      <c r="E493" s="116"/>
      <c r="F493" s="546"/>
      <c r="G493" s="692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  <c r="AA493" s="116"/>
    </row>
    <row r="494" spans="1:27" s="693" customFormat="1">
      <c r="A494" s="120"/>
      <c r="B494" s="120"/>
      <c r="C494" s="116"/>
      <c r="D494" s="514"/>
      <c r="E494" s="116"/>
      <c r="F494" s="546"/>
      <c r="G494" s="692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  <c r="AA494" s="116"/>
    </row>
    <row r="495" spans="1:27" s="693" customFormat="1">
      <c r="A495" s="120"/>
      <c r="B495" s="120"/>
      <c r="C495" s="116"/>
      <c r="D495" s="514"/>
      <c r="E495" s="116"/>
      <c r="F495" s="546"/>
      <c r="G495" s="692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  <c r="AA495" s="116"/>
    </row>
    <row r="496" spans="1:27" s="693" customFormat="1">
      <c r="A496" s="120"/>
      <c r="B496" s="120"/>
      <c r="C496" s="116"/>
      <c r="D496" s="514"/>
      <c r="E496" s="116"/>
      <c r="F496" s="546"/>
      <c r="G496" s="692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  <c r="AA496" s="116"/>
    </row>
    <row r="497" spans="1:27" s="693" customFormat="1">
      <c r="A497" s="120"/>
      <c r="B497" s="120"/>
      <c r="C497" s="116"/>
      <c r="D497" s="514"/>
      <c r="E497" s="116"/>
      <c r="F497" s="546"/>
      <c r="G497" s="692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  <c r="AA497" s="116"/>
    </row>
    <row r="498" spans="1:27" s="693" customFormat="1">
      <c r="A498" s="120"/>
      <c r="B498" s="120"/>
      <c r="C498" s="116"/>
      <c r="D498" s="514"/>
      <c r="E498" s="116"/>
      <c r="F498" s="546"/>
      <c r="G498" s="692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  <c r="AA498" s="116"/>
    </row>
    <row r="499" spans="1:27" s="693" customFormat="1">
      <c r="A499" s="120"/>
      <c r="B499" s="120"/>
      <c r="C499" s="116"/>
      <c r="D499" s="514"/>
      <c r="E499" s="116"/>
      <c r="F499" s="546"/>
      <c r="G499" s="692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  <c r="AA499" s="116"/>
    </row>
    <row r="500" spans="1:27" s="693" customFormat="1">
      <c r="A500" s="120"/>
      <c r="B500" s="120"/>
      <c r="C500" s="116"/>
      <c r="D500" s="514"/>
      <c r="E500" s="116"/>
      <c r="F500" s="546"/>
      <c r="G500" s="692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  <c r="AA500" s="116"/>
    </row>
    <row r="501" spans="1:27" s="693" customFormat="1">
      <c r="A501" s="120"/>
      <c r="B501" s="120"/>
      <c r="C501" s="116"/>
      <c r="D501" s="514"/>
      <c r="E501" s="116"/>
      <c r="F501" s="546"/>
      <c r="G501" s="692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  <c r="AA501" s="116"/>
    </row>
    <row r="502" spans="1:27" s="693" customFormat="1">
      <c r="A502" s="120"/>
      <c r="B502" s="120"/>
      <c r="C502" s="116"/>
      <c r="D502" s="514"/>
      <c r="E502" s="116"/>
      <c r="F502" s="546"/>
      <c r="G502" s="692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  <c r="AA502" s="116"/>
    </row>
    <row r="503" spans="1:27" s="693" customFormat="1">
      <c r="A503" s="120"/>
      <c r="B503" s="120"/>
      <c r="C503" s="116"/>
      <c r="D503" s="514"/>
      <c r="E503" s="116"/>
      <c r="F503" s="546"/>
      <c r="G503" s="692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  <c r="AA503" s="116"/>
    </row>
    <row r="504" spans="1:27" s="693" customFormat="1">
      <c r="A504" s="120"/>
      <c r="B504" s="120"/>
      <c r="C504" s="116"/>
      <c r="D504" s="514"/>
      <c r="E504" s="116"/>
      <c r="F504" s="546"/>
      <c r="G504" s="692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  <c r="AA504" s="116"/>
    </row>
    <row r="505" spans="1:27" s="693" customFormat="1">
      <c r="A505" s="120"/>
      <c r="B505" s="120"/>
      <c r="C505" s="116"/>
      <c r="D505" s="514"/>
      <c r="E505" s="116"/>
      <c r="F505" s="546"/>
      <c r="G505" s="692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  <c r="AA505" s="116"/>
    </row>
    <row r="506" spans="1:27" s="693" customFormat="1">
      <c r="A506" s="120"/>
      <c r="B506" s="120"/>
      <c r="C506" s="116"/>
      <c r="D506" s="514"/>
      <c r="E506" s="116"/>
      <c r="F506" s="546"/>
      <c r="G506" s="692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  <c r="AA506" s="116"/>
    </row>
    <row r="507" spans="1:27" s="693" customFormat="1">
      <c r="A507" s="120"/>
      <c r="B507" s="120"/>
      <c r="C507" s="116"/>
      <c r="D507" s="514"/>
      <c r="E507" s="116"/>
      <c r="F507" s="546"/>
      <c r="G507" s="692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  <c r="AA507" s="116"/>
    </row>
    <row r="508" spans="1:27" s="693" customFormat="1">
      <c r="A508" s="120"/>
      <c r="B508" s="120"/>
      <c r="C508" s="116"/>
      <c r="D508" s="514"/>
      <c r="E508" s="116"/>
      <c r="F508" s="546"/>
      <c r="G508" s="692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  <c r="AA508" s="116"/>
    </row>
    <row r="509" spans="1:27" s="693" customFormat="1">
      <c r="A509" s="120"/>
      <c r="B509" s="120"/>
      <c r="C509" s="116"/>
      <c r="D509" s="514"/>
      <c r="E509" s="116"/>
      <c r="F509" s="546"/>
      <c r="G509" s="692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  <c r="AA509" s="116"/>
    </row>
    <row r="510" spans="1:27" s="693" customFormat="1">
      <c r="A510" s="120"/>
      <c r="B510" s="120"/>
      <c r="C510" s="116"/>
      <c r="D510" s="514"/>
      <c r="E510" s="116"/>
      <c r="F510" s="546"/>
      <c r="G510" s="692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  <c r="AA510" s="116"/>
    </row>
    <row r="511" spans="1:27" s="693" customFormat="1">
      <c r="A511" s="120"/>
      <c r="B511" s="120"/>
      <c r="C511" s="116"/>
      <c r="D511" s="514"/>
      <c r="E511" s="116"/>
      <c r="F511" s="546"/>
      <c r="G511" s="692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  <c r="AA511" s="116"/>
    </row>
    <row r="512" spans="1:27" s="693" customFormat="1">
      <c r="A512" s="120"/>
      <c r="B512" s="120"/>
      <c r="C512" s="116"/>
      <c r="D512" s="514"/>
      <c r="E512" s="116"/>
      <c r="F512" s="546"/>
      <c r="G512" s="692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  <c r="AA512" s="116"/>
    </row>
    <row r="513" spans="1:27" s="693" customFormat="1">
      <c r="A513" s="120"/>
      <c r="B513" s="120"/>
      <c r="C513" s="116"/>
      <c r="D513" s="514"/>
      <c r="E513" s="116"/>
      <c r="F513" s="546"/>
      <c r="G513" s="692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  <c r="AA513" s="116"/>
    </row>
    <row r="514" spans="1:27" s="693" customFormat="1">
      <c r="A514" s="120"/>
      <c r="B514" s="120"/>
      <c r="C514" s="116"/>
      <c r="D514" s="514"/>
      <c r="E514" s="116"/>
      <c r="F514" s="546"/>
      <c r="G514" s="692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  <c r="AA514" s="116"/>
    </row>
    <row r="515" spans="1:27" s="693" customFormat="1">
      <c r="A515" s="120"/>
      <c r="B515" s="120"/>
      <c r="C515" s="116"/>
      <c r="D515" s="514"/>
      <c r="E515" s="116"/>
      <c r="F515" s="546"/>
      <c r="G515" s="692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  <c r="AA515" s="116"/>
    </row>
    <row r="516" spans="1:27" s="693" customFormat="1">
      <c r="A516" s="120"/>
      <c r="B516" s="120"/>
      <c r="C516" s="116"/>
      <c r="D516" s="514"/>
      <c r="E516" s="116"/>
      <c r="F516" s="546"/>
      <c r="G516" s="692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  <c r="AA516" s="116"/>
    </row>
    <row r="517" spans="1:27" s="693" customFormat="1">
      <c r="A517" s="120"/>
      <c r="B517" s="120"/>
      <c r="C517" s="116"/>
      <c r="D517" s="514"/>
      <c r="E517" s="116"/>
      <c r="F517" s="546"/>
      <c r="G517" s="692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  <c r="AA517" s="116"/>
    </row>
    <row r="518" spans="1:27" s="693" customFormat="1">
      <c r="A518" s="120"/>
      <c r="B518" s="120"/>
      <c r="C518" s="116"/>
      <c r="D518" s="514"/>
      <c r="E518" s="116"/>
      <c r="F518" s="546"/>
      <c r="G518" s="692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  <c r="AA518" s="116"/>
    </row>
    <row r="519" spans="1:27" s="693" customFormat="1">
      <c r="A519" s="120"/>
      <c r="B519" s="120"/>
      <c r="C519" s="116"/>
      <c r="D519" s="514"/>
      <c r="E519" s="116"/>
      <c r="F519" s="546"/>
      <c r="G519" s="692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  <c r="AA519" s="116"/>
    </row>
    <row r="520" spans="1:27" s="693" customFormat="1">
      <c r="A520" s="120"/>
      <c r="B520" s="120"/>
      <c r="C520" s="116"/>
      <c r="D520" s="514"/>
      <c r="E520" s="116"/>
      <c r="F520" s="546"/>
      <c r="G520" s="692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  <c r="AA520" s="116"/>
    </row>
    <row r="521" spans="1:27" s="693" customFormat="1">
      <c r="A521" s="120"/>
      <c r="B521" s="120"/>
      <c r="C521" s="116"/>
      <c r="D521" s="514"/>
      <c r="E521" s="116"/>
      <c r="F521" s="546"/>
      <c r="G521" s="692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  <c r="AA521" s="116"/>
    </row>
    <row r="522" spans="1:27" s="693" customFormat="1">
      <c r="A522" s="120"/>
      <c r="B522" s="120"/>
      <c r="C522" s="116"/>
      <c r="D522" s="514"/>
      <c r="E522" s="116"/>
      <c r="F522" s="546"/>
      <c r="G522" s="692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  <c r="AA522" s="116"/>
    </row>
    <row r="523" spans="1:27" s="693" customFormat="1">
      <c r="A523" s="120"/>
      <c r="B523" s="120"/>
      <c r="C523" s="116"/>
      <c r="D523" s="514"/>
      <c r="E523" s="116"/>
      <c r="F523" s="546"/>
      <c r="G523" s="692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  <c r="AA523" s="116"/>
    </row>
    <row r="524" spans="1:27" s="693" customFormat="1">
      <c r="A524" s="120"/>
      <c r="B524" s="120"/>
      <c r="C524" s="116"/>
      <c r="D524" s="514"/>
      <c r="E524" s="116"/>
      <c r="F524" s="546"/>
      <c r="G524" s="692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  <c r="AA524" s="116"/>
    </row>
    <row r="525" spans="1:27" s="693" customFormat="1">
      <c r="A525" s="120"/>
      <c r="B525" s="120"/>
      <c r="C525" s="116"/>
      <c r="D525" s="514"/>
      <c r="E525" s="116"/>
      <c r="F525" s="546"/>
      <c r="G525" s="692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  <c r="AA525" s="116"/>
    </row>
    <row r="526" spans="1:27" s="693" customFormat="1">
      <c r="A526" s="120"/>
      <c r="B526" s="120"/>
      <c r="C526" s="116"/>
      <c r="D526" s="514"/>
      <c r="E526" s="116"/>
      <c r="F526" s="546"/>
      <c r="G526" s="692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  <c r="AA526" s="116"/>
    </row>
    <row r="527" spans="1:27" s="693" customFormat="1">
      <c r="A527" s="120"/>
      <c r="B527" s="120"/>
      <c r="C527" s="116"/>
      <c r="D527" s="514"/>
      <c r="E527" s="116"/>
      <c r="F527" s="546"/>
      <c r="G527" s="692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  <c r="AA527" s="116"/>
    </row>
    <row r="528" spans="1:27" s="693" customFormat="1">
      <c r="A528" s="120"/>
      <c r="B528" s="120"/>
      <c r="C528" s="116"/>
      <c r="D528" s="514"/>
      <c r="E528" s="116"/>
      <c r="F528" s="546"/>
      <c r="G528" s="692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  <c r="AA528" s="116"/>
    </row>
    <row r="529" spans="1:27" s="693" customFormat="1">
      <c r="A529" s="120"/>
      <c r="B529" s="120"/>
      <c r="C529" s="116"/>
      <c r="D529" s="514"/>
      <c r="E529" s="116"/>
      <c r="F529" s="546"/>
      <c r="G529" s="692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  <c r="AA529" s="116"/>
    </row>
    <row r="530" spans="1:27" s="693" customFormat="1">
      <c r="A530" s="120"/>
      <c r="B530" s="120"/>
      <c r="C530" s="116"/>
      <c r="D530" s="514"/>
      <c r="E530" s="116"/>
      <c r="F530" s="546"/>
      <c r="G530" s="692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  <c r="AA530" s="116"/>
    </row>
    <row r="531" spans="1:27" s="693" customFormat="1">
      <c r="A531" s="120"/>
      <c r="B531" s="120"/>
      <c r="C531" s="116"/>
      <c r="D531" s="514"/>
      <c r="E531" s="116"/>
      <c r="F531" s="546"/>
      <c r="G531" s="692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  <c r="AA531" s="116"/>
    </row>
    <row r="532" spans="1:27" s="693" customFormat="1">
      <c r="A532" s="120"/>
      <c r="B532" s="120"/>
      <c r="C532" s="116"/>
      <c r="D532" s="514"/>
      <c r="E532" s="116"/>
      <c r="F532" s="546"/>
      <c r="G532" s="692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  <c r="AA532" s="116"/>
    </row>
    <row r="533" spans="1:27" s="693" customFormat="1">
      <c r="A533" s="120"/>
      <c r="B533" s="120"/>
      <c r="C533" s="116"/>
      <c r="D533" s="514"/>
      <c r="E533" s="116"/>
      <c r="F533" s="546"/>
      <c r="G533" s="692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  <c r="AA533" s="116"/>
    </row>
    <row r="534" spans="1:27" s="693" customFormat="1">
      <c r="A534" s="120"/>
      <c r="B534" s="120"/>
      <c r="C534" s="116"/>
      <c r="D534" s="514"/>
      <c r="E534" s="116"/>
      <c r="F534" s="546"/>
      <c r="G534" s="692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  <c r="AA534" s="116"/>
    </row>
    <row r="535" spans="1:27" s="693" customFormat="1">
      <c r="A535" s="120"/>
      <c r="B535" s="120"/>
      <c r="C535" s="116"/>
      <c r="D535" s="514"/>
      <c r="E535" s="116"/>
      <c r="F535" s="546"/>
      <c r="G535" s="692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  <c r="AA535" s="116"/>
    </row>
    <row r="536" spans="1:27" s="693" customFormat="1">
      <c r="A536" s="120"/>
      <c r="B536" s="120"/>
      <c r="C536" s="116"/>
      <c r="D536" s="514"/>
      <c r="E536" s="116"/>
      <c r="F536" s="546"/>
      <c r="G536" s="692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  <c r="AA536" s="116"/>
    </row>
    <row r="537" spans="1:27" s="693" customFormat="1">
      <c r="A537" s="120"/>
      <c r="B537" s="120"/>
      <c r="C537" s="116"/>
      <c r="D537" s="514"/>
      <c r="E537" s="116"/>
      <c r="F537" s="546"/>
      <c r="G537" s="692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  <c r="AA537" s="116"/>
    </row>
    <row r="538" spans="1:27" s="693" customFormat="1">
      <c r="A538" s="120"/>
      <c r="B538" s="120"/>
      <c r="C538" s="116"/>
      <c r="D538" s="514"/>
      <c r="E538" s="116"/>
      <c r="F538" s="546"/>
      <c r="G538" s="692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  <c r="AA538" s="116"/>
    </row>
    <row r="539" spans="1:27" s="693" customFormat="1">
      <c r="A539" s="120"/>
      <c r="B539" s="120"/>
      <c r="C539" s="116"/>
      <c r="D539" s="514"/>
      <c r="E539" s="116"/>
      <c r="F539" s="546"/>
      <c r="G539" s="692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  <c r="AA539" s="116"/>
    </row>
    <row r="540" spans="1:27" s="693" customFormat="1">
      <c r="A540" s="120"/>
      <c r="B540" s="120"/>
      <c r="C540" s="116"/>
      <c r="D540" s="514"/>
      <c r="E540" s="116"/>
      <c r="F540" s="546"/>
      <c r="G540" s="692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  <c r="AA540" s="116"/>
    </row>
    <row r="541" spans="1:27" s="693" customFormat="1">
      <c r="A541" s="120"/>
      <c r="B541" s="120"/>
      <c r="C541" s="116"/>
      <c r="D541" s="514"/>
      <c r="E541" s="116"/>
      <c r="F541" s="546"/>
      <c r="G541" s="692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  <c r="AA541" s="116"/>
    </row>
    <row r="542" spans="1:27" s="693" customFormat="1">
      <c r="A542" s="120"/>
      <c r="B542" s="120"/>
      <c r="C542" s="116"/>
      <c r="D542" s="514"/>
      <c r="E542" s="116"/>
      <c r="F542" s="546"/>
      <c r="G542" s="692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  <c r="AA542" s="116"/>
    </row>
    <row r="543" spans="1:27" s="693" customFormat="1">
      <c r="A543" s="120"/>
      <c r="B543" s="120"/>
      <c r="C543" s="116"/>
      <c r="D543" s="514"/>
      <c r="E543" s="116"/>
      <c r="F543" s="546"/>
      <c r="G543" s="692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  <c r="AA543" s="116"/>
    </row>
    <row r="544" spans="1:27" s="693" customFormat="1">
      <c r="A544" s="120"/>
      <c r="B544" s="120"/>
      <c r="C544" s="116"/>
      <c r="D544" s="514"/>
      <c r="E544" s="116"/>
      <c r="F544" s="546"/>
      <c r="G544" s="692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  <c r="AA544" s="116"/>
    </row>
    <row r="545" spans="1:27" s="693" customFormat="1">
      <c r="A545" s="120"/>
      <c r="B545" s="120"/>
      <c r="C545" s="116"/>
      <c r="D545" s="514"/>
      <c r="E545" s="116"/>
      <c r="F545" s="546"/>
      <c r="G545" s="692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  <c r="AA545" s="116"/>
    </row>
    <row r="546" spans="1:27" s="693" customFormat="1">
      <c r="A546" s="120"/>
      <c r="B546" s="120"/>
      <c r="C546" s="116"/>
      <c r="D546" s="514"/>
      <c r="E546" s="116"/>
      <c r="F546" s="546"/>
      <c r="G546" s="692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  <c r="AA546" s="116"/>
    </row>
    <row r="547" spans="1:27" s="693" customFormat="1">
      <c r="A547" s="120"/>
      <c r="B547" s="120"/>
      <c r="C547" s="116"/>
      <c r="D547" s="514"/>
      <c r="E547" s="116"/>
      <c r="F547" s="546"/>
      <c r="G547" s="692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  <c r="AA547" s="116"/>
    </row>
    <row r="548" spans="1:27" s="693" customFormat="1">
      <c r="A548" s="120"/>
      <c r="B548" s="120"/>
      <c r="C548" s="116"/>
      <c r="D548" s="514"/>
      <c r="E548" s="116"/>
      <c r="F548" s="546"/>
      <c r="G548" s="692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  <c r="AA548" s="116"/>
    </row>
    <row r="549" spans="1:27" s="693" customFormat="1">
      <c r="A549" s="120"/>
      <c r="B549" s="120"/>
      <c r="C549" s="116"/>
      <c r="D549" s="514"/>
      <c r="E549" s="116"/>
      <c r="F549" s="546"/>
      <c r="G549" s="692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  <c r="AA549" s="116"/>
    </row>
    <row r="550" spans="1:27" s="693" customFormat="1">
      <c r="A550" s="120"/>
      <c r="B550" s="120"/>
      <c r="C550" s="116"/>
      <c r="D550" s="514"/>
      <c r="E550" s="116"/>
      <c r="F550" s="546"/>
      <c r="G550" s="692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  <c r="AA550" s="116"/>
    </row>
    <row r="551" spans="1:27" s="693" customFormat="1">
      <c r="A551" s="120"/>
      <c r="B551" s="120"/>
      <c r="C551" s="116"/>
      <c r="D551" s="514"/>
      <c r="E551" s="116"/>
      <c r="F551" s="546"/>
      <c r="G551" s="692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  <c r="AA551" s="116"/>
    </row>
    <row r="552" spans="1:27" s="693" customFormat="1">
      <c r="A552" s="120"/>
      <c r="B552" s="120"/>
      <c r="C552" s="116"/>
      <c r="D552" s="514"/>
      <c r="E552" s="116"/>
      <c r="F552" s="546"/>
      <c r="G552" s="692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  <c r="AA552" s="116"/>
    </row>
    <row r="553" spans="1:27" s="693" customFormat="1">
      <c r="A553" s="120"/>
      <c r="B553" s="120"/>
      <c r="C553" s="116"/>
      <c r="D553" s="514"/>
      <c r="E553" s="116"/>
      <c r="F553" s="546"/>
      <c r="G553" s="692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  <c r="AA553" s="116"/>
    </row>
    <row r="554" spans="1:27" s="693" customFormat="1">
      <c r="A554" s="120"/>
      <c r="B554" s="120"/>
      <c r="C554" s="116"/>
      <c r="D554" s="514"/>
      <c r="E554" s="116"/>
      <c r="F554" s="546"/>
      <c r="G554" s="692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  <c r="AA554" s="116"/>
    </row>
    <row r="555" spans="1:27" s="693" customFormat="1">
      <c r="A555" s="120"/>
      <c r="B555" s="120"/>
      <c r="C555" s="116"/>
      <c r="D555" s="514"/>
      <c r="E555" s="116"/>
      <c r="F555" s="546"/>
      <c r="G555" s="692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  <c r="AA555" s="116"/>
    </row>
    <row r="556" spans="1:27" s="693" customFormat="1">
      <c r="A556" s="120"/>
      <c r="B556" s="120"/>
      <c r="C556" s="116"/>
      <c r="D556" s="514"/>
      <c r="E556" s="116"/>
      <c r="F556" s="546"/>
      <c r="G556" s="692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  <c r="AA556" s="116"/>
    </row>
    <row r="557" spans="1:27" s="693" customFormat="1">
      <c r="A557" s="120"/>
      <c r="B557" s="120"/>
      <c r="C557" s="116"/>
      <c r="D557" s="514"/>
      <c r="E557" s="116"/>
      <c r="F557" s="546"/>
      <c r="G557" s="692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  <c r="AA557" s="116"/>
    </row>
    <row r="558" spans="1:27" s="693" customFormat="1">
      <c r="A558" s="120"/>
      <c r="B558" s="120"/>
      <c r="C558" s="116"/>
      <c r="D558" s="514"/>
      <c r="E558" s="116"/>
      <c r="F558" s="546"/>
      <c r="G558" s="692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  <c r="AA558" s="116"/>
    </row>
    <row r="559" spans="1:27" s="693" customFormat="1">
      <c r="A559" s="120"/>
      <c r="B559" s="120"/>
      <c r="C559" s="116"/>
      <c r="D559" s="514"/>
      <c r="E559" s="116"/>
      <c r="F559" s="546"/>
      <c r="G559" s="692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  <c r="AA559" s="116"/>
    </row>
    <row r="560" spans="1:27" s="693" customFormat="1">
      <c r="A560" s="120"/>
      <c r="B560" s="120"/>
      <c r="C560" s="116"/>
      <c r="D560" s="514"/>
      <c r="E560" s="116"/>
      <c r="F560" s="546"/>
      <c r="G560" s="692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  <c r="AA560" s="116"/>
    </row>
    <row r="561" spans="1:27" s="693" customFormat="1">
      <c r="A561" s="120"/>
      <c r="B561" s="120"/>
      <c r="C561" s="116"/>
      <c r="D561" s="514"/>
      <c r="E561" s="116"/>
      <c r="F561" s="546"/>
      <c r="G561" s="692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  <c r="AA561" s="116"/>
    </row>
    <row r="562" spans="1:27" s="693" customFormat="1">
      <c r="A562" s="120"/>
      <c r="B562" s="120"/>
      <c r="C562" s="116"/>
      <c r="D562" s="514"/>
      <c r="E562" s="116"/>
      <c r="F562" s="546"/>
      <c r="G562" s="692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  <c r="AA562" s="116"/>
    </row>
    <row r="563" spans="1:27" s="693" customFormat="1">
      <c r="A563" s="120"/>
      <c r="B563" s="120"/>
      <c r="C563" s="116"/>
      <c r="D563" s="514"/>
      <c r="E563" s="116"/>
      <c r="F563" s="546"/>
      <c r="G563" s="692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  <c r="AA563" s="116"/>
    </row>
    <row r="564" spans="1:27" s="693" customFormat="1">
      <c r="A564" s="120"/>
      <c r="B564" s="120"/>
      <c r="C564" s="116"/>
      <c r="D564" s="514"/>
      <c r="E564" s="116"/>
      <c r="F564" s="546"/>
      <c r="G564" s="692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  <c r="AA564" s="116"/>
    </row>
    <row r="565" spans="1:27" s="693" customFormat="1">
      <c r="A565" s="120"/>
      <c r="B565" s="120"/>
      <c r="C565" s="116"/>
      <c r="D565" s="514"/>
      <c r="E565" s="116"/>
      <c r="F565" s="546"/>
      <c r="G565" s="692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  <c r="AA565" s="116"/>
    </row>
    <row r="566" spans="1:27" s="693" customFormat="1">
      <c r="A566" s="120"/>
      <c r="B566" s="120"/>
      <c r="C566" s="116"/>
      <c r="D566" s="514"/>
      <c r="E566" s="116"/>
      <c r="F566" s="546"/>
      <c r="G566" s="692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  <c r="AA566" s="116"/>
    </row>
    <row r="567" spans="1:27" s="693" customFormat="1">
      <c r="A567" s="120"/>
      <c r="B567" s="120"/>
      <c r="C567" s="116"/>
      <c r="D567" s="514"/>
      <c r="E567" s="116"/>
      <c r="F567" s="546"/>
      <c r="G567" s="692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  <c r="AA567" s="116"/>
    </row>
    <row r="568" spans="1:27" s="693" customFormat="1">
      <c r="A568" s="120"/>
      <c r="B568" s="120"/>
      <c r="C568" s="116"/>
      <c r="D568" s="514"/>
      <c r="E568" s="116"/>
      <c r="F568" s="546"/>
      <c r="G568" s="692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  <c r="AA568" s="116"/>
    </row>
    <row r="569" spans="1:27" s="693" customFormat="1">
      <c r="A569" s="120"/>
      <c r="B569" s="120"/>
      <c r="C569" s="116"/>
      <c r="D569" s="514"/>
      <c r="E569" s="116"/>
      <c r="F569" s="546"/>
      <c r="G569" s="692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  <c r="AA569" s="116"/>
    </row>
    <row r="570" spans="1:27" s="693" customFormat="1">
      <c r="A570" s="120"/>
      <c r="B570" s="120"/>
      <c r="C570" s="116"/>
      <c r="D570" s="514"/>
      <c r="E570" s="116"/>
      <c r="F570" s="546"/>
      <c r="G570" s="692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  <c r="AA570" s="116"/>
    </row>
    <row r="571" spans="1:27" s="693" customFormat="1">
      <c r="A571" s="120"/>
      <c r="B571" s="120"/>
      <c r="C571" s="116"/>
      <c r="D571" s="514"/>
      <c r="E571" s="116"/>
      <c r="F571" s="546"/>
      <c r="G571" s="692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  <c r="AA571" s="116"/>
    </row>
    <row r="572" spans="1:27" s="693" customFormat="1">
      <c r="A572" s="120"/>
      <c r="B572" s="120"/>
      <c r="C572" s="116"/>
      <c r="D572" s="514"/>
      <c r="E572" s="116"/>
      <c r="F572" s="546"/>
      <c r="G572" s="692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  <c r="AA572" s="116"/>
    </row>
    <row r="573" spans="1:27" s="693" customFormat="1">
      <c r="A573" s="120"/>
      <c r="B573" s="120"/>
      <c r="C573" s="116"/>
      <c r="D573" s="514"/>
      <c r="E573" s="116"/>
      <c r="F573" s="546"/>
      <c r="G573" s="692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  <c r="AA573" s="116"/>
    </row>
    <row r="574" spans="1:27" s="693" customFormat="1">
      <c r="A574" s="120"/>
      <c r="B574" s="120"/>
      <c r="C574" s="116"/>
      <c r="D574" s="514"/>
      <c r="E574" s="116"/>
      <c r="F574" s="546"/>
      <c r="G574" s="692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  <c r="AA574" s="116"/>
    </row>
    <row r="575" spans="1:27" s="693" customFormat="1">
      <c r="A575" s="120"/>
      <c r="B575" s="120"/>
      <c r="C575" s="116"/>
      <c r="D575" s="514"/>
      <c r="E575" s="116"/>
      <c r="F575" s="546"/>
      <c r="G575" s="692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  <c r="AA575" s="116"/>
    </row>
    <row r="576" spans="1:27" s="693" customFormat="1">
      <c r="A576" s="120"/>
      <c r="B576" s="120"/>
      <c r="C576" s="116"/>
      <c r="D576" s="514"/>
      <c r="E576" s="116"/>
      <c r="F576" s="546"/>
      <c r="G576" s="692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  <c r="AA576" s="116"/>
    </row>
    <row r="577" spans="1:27" s="693" customFormat="1">
      <c r="A577" s="120"/>
      <c r="B577" s="120"/>
      <c r="C577" s="116"/>
      <c r="D577" s="514"/>
      <c r="E577" s="116"/>
      <c r="F577" s="546"/>
      <c r="G577" s="692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  <c r="AA577" s="116"/>
    </row>
    <row r="578" spans="1:27" s="693" customFormat="1">
      <c r="A578" s="120"/>
      <c r="B578" s="120"/>
      <c r="C578" s="116"/>
      <c r="D578" s="514"/>
      <c r="E578" s="116"/>
      <c r="F578" s="546"/>
      <c r="G578" s="692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  <c r="AA578" s="116"/>
    </row>
    <row r="579" spans="1:27" s="693" customFormat="1">
      <c r="A579" s="120"/>
      <c r="B579" s="120"/>
      <c r="C579" s="116"/>
      <c r="D579" s="514"/>
      <c r="E579" s="116"/>
      <c r="F579" s="546"/>
      <c r="G579" s="692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  <c r="AA579" s="116"/>
    </row>
    <row r="580" spans="1:27" s="693" customFormat="1">
      <c r="A580" s="120"/>
      <c r="B580" s="120"/>
      <c r="C580" s="116"/>
      <c r="D580" s="514"/>
      <c r="E580" s="116"/>
      <c r="F580" s="546"/>
      <c r="G580" s="692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  <c r="AA580" s="116"/>
    </row>
    <row r="581" spans="1:27" s="693" customFormat="1">
      <c r="A581" s="120"/>
      <c r="B581" s="120"/>
      <c r="C581" s="116"/>
      <c r="D581" s="514"/>
      <c r="E581" s="116"/>
      <c r="F581" s="546"/>
      <c r="G581" s="692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  <c r="AA581" s="116"/>
    </row>
    <row r="582" spans="1:27" s="693" customFormat="1">
      <c r="A582" s="120"/>
      <c r="B582" s="120"/>
      <c r="C582" s="116"/>
      <c r="D582" s="514"/>
      <c r="E582" s="116"/>
      <c r="F582" s="546"/>
      <c r="G582" s="692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  <c r="AA582" s="116"/>
    </row>
    <row r="583" spans="1:27" s="693" customFormat="1">
      <c r="A583" s="120"/>
      <c r="B583" s="120"/>
      <c r="C583" s="116"/>
      <c r="D583" s="514"/>
      <c r="E583" s="116"/>
      <c r="F583" s="546"/>
      <c r="G583" s="692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  <c r="AA583" s="116"/>
    </row>
    <row r="584" spans="1:27" s="693" customFormat="1">
      <c r="A584" s="120"/>
      <c r="B584" s="120"/>
      <c r="C584" s="116"/>
      <c r="D584" s="514"/>
      <c r="E584" s="116"/>
      <c r="F584" s="546"/>
      <c r="G584" s="692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  <c r="AA584" s="116"/>
    </row>
    <row r="585" spans="1:27" s="693" customFormat="1">
      <c r="A585" s="120"/>
      <c r="B585" s="120"/>
      <c r="C585" s="116"/>
      <c r="D585" s="514"/>
      <c r="E585" s="116"/>
      <c r="F585" s="546"/>
      <c r="G585" s="692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  <c r="AA585" s="116"/>
    </row>
    <row r="586" spans="1:27" s="693" customFormat="1">
      <c r="A586" s="120"/>
      <c r="B586" s="120"/>
      <c r="C586" s="116"/>
      <c r="D586" s="514"/>
      <c r="E586" s="116"/>
      <c r="F586" s="546"/>
      <c r="G586" s="692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  <c r="AA586" s="116"/>
    </row>
    <row r="587" spans="1:27" s="693" customFormat="1">
      <c r="A587" s="120"/>
      <c r="B587" s="120"/>
      <c r="C587" s="116"/>
      <c r="D587" s="514"/>
      <c r="E587" s="116"/>
      <c r="F587" s="546"/>
      <c r="G587" s="692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  <c r="AA587" s="116"/>
    </row>
    <row r="588" spans="1:27" s="693" customFormat="1">
      <c r="A588" s="120"/>
      <c r="B588" s="120"/>
      <c r="C588" s="116"/>
      <c r="D588" s="514"/>
      <c r="E588" s="116"/>
      <c r="F588" s="546"/>
      <c r="G588" s="692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  <c r="AA588" s="116"/>
    </row>
    <row r="589" spans="1:27" s="693" customFormat="1">
      <c r="A589" s="120"/>
      <c r="B589" s="120"/>
      <c r="C589" s="116"/>
      <c r="D589" s="514"/>
      <c r="E589" s="116"/>
      <c r="F589" s="546"/>
      <c r="G589" s="692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  <c r="AA589" s="116"/>
    </row>
    <row r="590" spans="1:27" s="693" customFormat="1">
      <c r="A590" s="120"/>
      <c r="B590" s="120"/>
      <c r="C590" s="116"/>
      <c r="D590" s="514"/>
      <c r="E590" s="116"/>
      <c r="F590" s="546"/>
      <c r="G590" s="692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  <c r="AA590" s="116"/>
    </row>
    <row r="591" spans="1:27" s="693" customFormat="1">
      <c r="A591" s="120"/>
      <c r="B591" s="120"/>
      <c r="C591" s="116"/>
      <c r="D591" s="514"/>
      <c r="E591" s="116"/>
      <c r="F591" s="546"/>
      <c r="G591" s="692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  <c r="AA591" s="116"/>
    </row>
    <row r="592" spans="1:27" s="693" customFormat="1">
      <c r="A592" s="120"/>
      <c r="B592" s="120"/>
      <c r="C592" s="116"/>
      <c r="D592" s="514"/>
      <c r="E592" s="116"/>
      <c r="F592" s="546"/>
      <c r="G592" s="692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  <c r="AA592" s="116"/>
    </row>
    <row r="593" spans="1:27" s="693" customFormat="1">
      <c r="A593" s="120"/>
      <c r="B593" s="120"/>
      <c r="C593" s="116"/>
      <c r="D593" s="514"/>
      <c r="E593" s="116"/>
      <c r="F593" s="546"/>
      <c r="G593" s="692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  <c r="AA593" s="116"/>
    </row>
    <row r="594" spans="1:27" s="693" customFormat="1">
      <c r="A594" s="120"/>
      <c r="B594" s="120"/>
      <c r="C594" s="116"/>
      <c r="D594" s="514"/>
      <c r="E594" s="116"/>
      <c r="F594" s="546"/>
      <c r="G594" s="692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  <c r="AA594" s="116"/>
    </row>
    <row r="595" spans="1:27" s="693" customFormat="1">
      <c r="A595" s="120"/>
      <c r="B595" s="120"/>
      <c r="C595" s="116"/>
      <c r="D595" s="514"/>
      <c r="E595" s="116"/>
      <c r="F595" s="546"/>
      <c r="G595" s="692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  <c r="AA595" s="116"/>
    </row>
    <row r="596" spans="1:27" s="693" customFormat="1">
      <c r="A596" s="120"/>
      <c r="B596" s="120"/>
      <c r="C596" s="116"/>
      <c r="D596" s="514"/>
      <c r="E596" s="116"/>
      <c r="F596" s="546"/>
      <c r="G596" s="692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  <c r="AA596" s="116"/>
    </row>
    <row r="597" spans="1:27" s="693" customFormat="1">
      <c r="A597" s="120"/>
      <c r="B597" s="120"/>
      <c r="C597" s="116"/>
      <c r="D597" s="514"/>
      <c r="E597" s="116"/>
      <c r="F597" s="546"/>
      <c r="G597" s="692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  <c r="AA597" s="116"/>
    </row>
    <row r="598" spans="1:27" s="693" customFormat="1">
      <c r="A598" s="120"/>
      <c r="B598" s="120"/>
      <c r="C598" s="116"/>
      <c r="D598" s="514"/>
      <c r="E598" s="116"/>
      <c r="F598" s="546"/>
      <c r="G598" s="692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  <c r="AA598" s="116"/>
    </row>
    <row r="599" spans="1:27" s="693" customFormat="1">
      <c r="A599" s="120"/>
      <c r="B599" s="120"/>
      <c r="C599" s="116"/>
      <c r="D599" s="514"/>
      <c r="E599" s="116"/>
      <c r="F599" s="546"/>
      <c r="G599" s="692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  <c r="AA599" s="116"/>
    </row>
    <row r="600" spans="1:27" s="693" customFormat="1">
      <c r="A600" s="120"/>
      <c r="B600" s="120"/>
      <c r="C600" s="116"/>
      <c r="D600" s="514"/>
      <c r="E600" s="116"/>
      <c r="F600" s="546"/>
      <c r="G600" s="692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  <c r="AA600" s="116"/>
    </row>
    <row r="601" spans="1:27" s="693" customFormat="1">
      <c r="A601" s="120"/>
      <c r="B601" s="120"/>
      <c r="C601" s="116"/>
      <c r="D601" s="514"/>
      <c r="E601" s="116"/>
      <c r="F601" s="546"/>
      <c r="G601" s="692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  <c r="AA601" s="116"/>
    </row>
    <row r="602" spans="1:27" s="693" customFormat="1">
      <c r="A602" s="120"/>
      <c r="B602" s="120"/>
      <c r="C602" s="116"/>
      <c r="D602" s="514"/>
      <c r="E602" s="116"/>
      <c r="F602" s="546"/>
      <c r="G602" s="692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  <c r="AA602" s="116"/>
    </row>
    <row r="603" spans="1:27" s="693" customFormat="1">
      <c r="A603" s="120"/>
      <c r="B603" s="120"/>
      <c r="C603" s="116"/>
      <c r="D603" s="514"/>
      <c r="E603" s="116"/>
      <c r="F603" s="546"/>
      <c r="G603" s="692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  <c r="AA603" s="116"/>
    </row>
    <row r="604" spans="1:27" s="693" customFormat="1">
      <c r="A604" s="120"/>
      <c r="B604" s="120"/>
      <c r="C604" s="116"/>
      <c r="D604" s="514"/>
      <c r="E604" s="116"/>
      <c r="F604" s="546"/>
      <c r="G604" s="692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  <c r="AA604" s="116"/>
    </row>
    <row r="605" spans="1:27" s="693" customFormat="1">
      <c r="A605" s="120"/>
      <c r="B605" s="120"/>
      <c r="C605" s="116"/>
      <c r="D605" s="514"/>
      <c r="E605" s="116"/>
      <c r="F605" s="546"/>
      <c r="G605" s="692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  <c r="AA605" s="116"/>
    </row>
    <row r="606" spans="1:27" s="693" customFormat="1">
      <c r="A606" s="120"/>
      <c r="B606" s="120"/>
      <c r="C606" s="116"/>
      <c r="D606" s="514"/>
      <c r="E606" s="116"/>
      <c r="F606" s="546"/>
      <c r="G606" s="692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  <c r="AA606" s="116"/>
    </row>
    <row r="607" spans="1:27" s="693" customFormat="1">
      <c r="A607" s="120"/>
      <c r="B607" s="120"/>
      <c r="C607" s="116"/>
      <c r="D607" s="514"/>
      <c r="E607" s="116"/>
      <c r="F607" s="546"/>
      <c r="G607" s="692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  <c r="AA607" s="116"/>
    </row>
    <row r="608" spans="1:27" s="693" customFormat="1">
      <c r="A608" s="120"/>
      <c r="B608" s="120"/>
      <c r="C608" s="116"/>
      <c r="D608" s="514"/>
      <c r="E608" s="116"/>
      <c r="F608" s="546"/>
      <c r="G608" s="692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  <c r="AA608" s="116"/>
    </row>
    <row r="609" spans="1:27" s="693" customFormat="1">
      <c r="A609" s="120"/>
      <c r="B609" s="120"/>
      <c r="C609" s="116"/>
      <c r="D609" s="514"/>
      <c r="E609" s="116"/>
      <c r="F609" s="546"/>
      <c r="G609" s="692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  <c r="AA609" s="116"/>
    </row>
    <row r="610" spans="1:27" s="693" customFormat="1">
      <c r="A610" s="120"/>
      <c r="B610" s="120"/>
      <c r="C610" s="116"/>
      <c r="D610" s="514"/>
      <c r="E610" s="116"/>
      <c r="F610" s="546"/>
      <c r="G610" s="692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  <c r="AA610" s="116"/>
    </row>
    <row r="611" spans="1:27" s="693" customFormat="1">
      <c r="A611" s="120"/>
      <c r="B611" s="120"/>
      <c r="C611" s="116"/>
      <c r="D611" s="514"/>
      <c r="E611" s="116"/>
      <c r="F611" s="546"/>
      <c r="G611" s="692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  <c r="AA611" s="116"/>
    </row>
    <row r="612" spans="1:27" s="693" customFormat="1">
      <c r="A612" s="120"/>
      <c r="B612" s="120"/>
      <c r="C612" s="116"/>
      <c r="D612" s="514"/>
      <c r="E612" s="116"/>
      <c r="F612" s="546"/>
      <c r="G612" s="692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  <c r="AA612" s="116"/>
    </row>
    <row r="613" spans="1:27" s="693" customFormat="1">
      <c r="A613" s="120"/>
      <c r="B613" s="120"/>
      <c r="C613" s="116"/>
      <c r="D613" s="514"/>
      <c r="E613" s="116"/>
      <c r="F613" s="546"/>
      <c r="G613" s="692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  <c r="AA613" s="116"/>
    </row>
    <row r="614" spans="1:27" s="693" customFormat="1">
      <c r="A614" s="120"/>
      <c r="B614" s="120"/>
      <c r="C614" s="116"/>
      <c r="D614" s="514"/>
      <c r="E614" s="116"/>
      <c r="F614" s="546"/>
      <c r="G614" s="692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  <c r="AA614" s="116"/>
    </row>
    <row r="615" spans="1:27" s="693" customFormat="1">
      <c r="A615" s="120"/>
      <c r="B615" s="120"/>
      <c r="C615" s="116"/>
      <c r="D615" s="514"/>
      <c r="E615" s="116"/>
      <c r="F615" s="546"/>
      <c r="G615" s="692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  <c r="AA615" s="116"/>
    </row>
    <row r="616" spans="1:27" s="693" customFormat="1">
      <c r="A616" s="120"/>
      <c r="B616" s="120"/>
      <c r="C616" s="116"/>
      <c r="D616" s="514"/>
      <c r="E616" s="116"/>
      <c r="F616" s="546"/>
      <c r="G616" s="692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  <c r="AA616" s="116"/>
    </row>
    <row r="617" spans="1:27" s="693" customFormat="1">
      <c r="A617" s="120"/>
      <c r="B617" s="120"/>
      <c r="C617" s="116"/>
      <c r="D617" s="514"/>
      <c r="E617" s="116"/>
      <c r="F617" s="546"/>
      <c r="G617" s="692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  <c r="AA617" s="116"/>
    </row>
    <row r="618" spans="1:27" s="693" customFormat="1">
      <c r="A618" s="120"/>
      <c r="B618" s="120"/>
      <c r="C618" s="116"/>
      <c r="D618" s="514"/>
      <c r="E618" s="116"/>
      <c r="F618" s="546"/>
      <c r="G618" s="692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  <c r="AA618" s="116"/>
    </row>
    <row r="619" spans="1:27" s="693" customFormat="1">
      <c r="A619" s="120"/>
      <c r="B619" s="120"/>
      <c r="C619" s="116"/>
      <c r="D619" s="514"/>
      <c r="E619" s="116"/>
      <c r="F619" s="546"/>
      <c r="G619" s="692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  <c r="AA619" s="116"/>
    </row>
    <row r="620" spans="1:27" s="693" customFormat="1">
      <c r="A620" s="120"/>
      <c r="B620" s="120"/>
      <c r="C620" s="116"/>
      <c r="D620" s="514"/>
      <c r="E620" s="116"/>
      <c r="F620" s="546"/>
      <c r="G620" s="692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  <c r="AA620" s="116"/>
    </row>
    <row r="621" spans="1:27" s="693" customFormat="1">
      <c r="A621" s="120"/>
      <c r="B621" s="120"/>
      <c r="C621" s="116"/>
      <c r="D621" s="514"/>
      <c r="E621" s="116"/>
      <c r="F621" s="546"/>
      <c r="G621" s="692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  <c r="AA621" s="116"/>
    </row>
    <row r="622" spans="1:27" s="693" customFormat="1">
      <c r="A622" s="120"/>
      <c r="B622" s="120"/>
      <c r="C622" s="116"/>
      <c r="D622" s="514"/>
      <c r="E622" s="116"/>
      <c r="F622" s="546"/>
      <c r="G622" s="692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  <c r="AA622" s="116"/>
    </row>
    <row r="623" spans="1:27" s="693" customFormat="1">
      <c r="A623" s="120"/>
      <c r="B623" s="120"/>
      <c r="C623" s="116"/>
      <c r="D623" s="514"/>
      <c r="E623" s="116"/>
      <c r="F623" s="546"/>
      <c r="G623" s="692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  <c r="AA623" s="116"/>
    </row>
    <row r="624" spans="1:27" s="693" customFormat="1">
      <c r="A624" s="120"/>
      <c r="B624" s="120"/>
      <c r="C624" s="116"/>
      <c r="D624" s="514"/>
      <c r="E624" s="116"/>
      <c r="F624" s="546"/>
      <c r="G624" s="692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  <c r="AA624" s="116"/>
    </row>
    <row r="625" spans="1:27" s="693" customFormat="1">
      <c r="A625" s="120"/>
      <c r="B625" s="120"/>
      <c r="C625" s="116"/>
      <c r="D625" s="514"/>
      <c r="E625" s="116"/>
      <c r="F625" s="546"/>
      <c r="G625" s="692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  <c r="AA625" s="116"/>
    </row>
    <row r="626" spans="1:27" s="693" customFormat="1">
      <c r="A626" s="120"/>
      <c r="B626" s="120"/>
      <c r="C626" s="116"/>
      <c r="D626" s="514"/>
      <c r="E626" s="116"/>
      <c r="F626" s="546"/>
      <c r="G626" s="692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  <c r="AA626" s="116"/>
    </row>
    <row r="627" spans="1:27" s="693" customFormat="1">
      <c r="A627" s="120"/>
      <c r="B627" s="120"/>
      <c r="C627" s="116"/>
      <c r="D627" s="514"/>
      <c r="E627" s="116"/>
      <c r="F627" s="546"/>
      <c r="G627" s="692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  <c r="AA627" s="116"/>
    </row>
    <row r="628" spans="1:27" s="693" customFormat="1">
      <c r="A628" s="120"/>
      <c r="B628" s="120"/>
      <c r="C628" s="116"/>
      <c r="D628" s="514"/>
      <c r="E628" s="116"/>
      <c r="F628" s="546"/>
      <c r="G628" s="692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  <c r="AA628" s="116"/>
    </row>
    <row r="629" spans="1:27" s="693" customFormat="1">
      <c r="A629" s="120"/>
      <c r="B629" s="120"/>
      <c r="C629" s="116"/>
      <c r="D629" s="514"/>
      <c r="E629" s="116"/>
      <c r="F629" s="546"/>
      <c r="G629" s="692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  <c r="AA629" s="116"/>
    </row>
    <row r="630" spans="1:27" s="693" customFormat="1">
      <c r="A630" s="120"/>
      <c r="B630" s="120"/>
      <c r="C630" s="116"/>
      <c r="D630" s="514"/>
      <c r="E630" s="116"/>
      <c r="F630" s="546"/>
      <c r="G630" s="692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  <c r="AA630" s="116"/>
    </row>
    <row r="631" spans="1:27" s="693" customFormat="1">
      <c r="A631" s="120"/>
      <c r="B631" s="120"/>
      <c r="C631" s="116"/>
      <c r="D631" s="514"/>
      <c r="E631" s="116"/>
      <c r="F631" s="546"/>
      <c r="G631" s="692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  <c r="AA631" s="116"/>
    </row>
    <row r="632" spans="1:27" s="693" customFormat="1">
      <c r="A632" s="120"/>
      <c r="B632" s="120"/>
      <c r="C632" s="116"/>
      <c r="D632" s="514"/>
      <c r="E632" s="116"/>
      <c r="F632" s="546"/>
      <c r="G632" s="692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  <c r="AA632" s="116"/>
    </row>
    <row r="633" spans="1:27" s="693" customFormat="1">
      <c r="A633" s="120"/>
      <c r="B633" s="120"/>
      <c r="C633" s="116"/>
      <c r="D633" s="514"/>
      <c r="E633" s="116"/>
      <c r="F633" s="546"/>
      <c r="G633" s="692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  <c r="AA633" s="116"/>
    </row>
    <row r="634" spans="1:27" s="693" customFormat="1">
      <c r="A634" s="120"/>
      <c r="B634" s="120"/>
      <c r="C634" s="116"/>
      <c r="D634" s="514"/>
      <c r="E634" s="116"/>
      <c r="F634" s="546"/>
      <c r="G634" s="692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  <c r="AA634" s="116"/>
    </row>
    <row r="635" spans="1:27" s="693" customFormat="1">
      <c r="A635" s="120"/>
      <c r="B635" s="120"/>
      <c r="C635" s="116"/>
      <c r="D635" s="514"/>
      <c r="E635" s="116"/>
      <c r="F635" s="546"/>
      <c r="G635" s="692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  <c r="AA635" s="116"/>
    </row>
    <row r="636" spans="1:27" s="693" customFormat="1">
      <c r="A636" s="120"/>
      <c r="B636" s="120"/>
      <c r="C636" s="116"/>
      <c r="D636" s="514"/>
      <c r="E636" s="116"/>
      <c r="F636" s="546"/>
      <c r="G636" s="692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  <c r="AA636" s="116"/>
    </row>
    <row r="637" spans="1:27" s="693" customFormat="1">
      <c r="A637" s="120"/>
      <c r="B637" s="120"/>
      <c r="C637" s="116"/>
      <c r="D637" s="514"/>
      <c r="E637" s="116"/>
      <c r="F637" s="546"/>
      <c r="G637" s="692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  <c r="AA637" s="116"/>
    </row>
    <row r="638" spans="1:27" s="693" customFormat="1">
      <c r="A638" s="120"/>
      <c r="B638" s="120"/>
      <c r="C638" s="116"/>
      <c r="D638" s="514"/>
      <c r="E638" s="116"/>
      <c r="F638" s="546"/>
      <c r="G638" s="692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  <c r="AA638" s="116"/>
    </row>
    <row r="639" spans="1:27" s="693" customFormat="1">
      <c r="A639" s="120"/>
      <c r="B639" s="120"/>
      <c r="C639" s="116"/>
      <c r="D639" s="514"/>
      <c r="E639" s="116"/>
      <c r="F639" s="546"/>
      <c r="G639" s="692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  <c r="AA639" s="116"/>
    </row>
    <row r="640" spans="1:27" s="693" customFormat="1">
      <c r="A640" s="120"/>
      <c r="B640" s="120"/>
      <c r="C640" s="116"/>
      <c r="D640" s="514"/>
      <c r="E640" s="116"/>
      <c r="F640" s="546"/>
      <c r="G640" s="692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  <c r="AA640" s="116"/>
    </row>
    <row r="641" spans="1:27" s="693" customFormat="1">
      <c r="A641" s="120"/>
      <c r="B641" s="120"/>
      <c r="C641" s="116"/>
      <c r="D641" s="514"/>
      <c r="E641" s="116"/>
      <c r="F641" s="546"/>
      <c r="G641" s="692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  <c r="AA641" s="116"/>
    </row>
    <row r="642" spans="1:27" s="693" customFormat="1">
      <c r="A642" s="120"/>
      <c r="B642" s="120"/>
      <c r="C642" s="116"/>
      <c r="D642" s="514"/>
      <c r="E642" s="116"/>
      <c r="F642" s="546"/>
      <c r="G642" s="692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  <c r="AA642" s="116"/>
    </row>
    <row r="643" spans="1:27" s="693" customFormat="1">
      <c r="A643" s="120"/>
      <c r="B643" s="120"/>
      <c r="C643" s="116"/>
      <c r="D643" s="514"/>
      <c r="E643" s="116"/>
      <c r="F643" s="546"/>
      <c r="G643" s="692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  <c r="AA643" s="116"/>
    </row>
    <row r="644" spans="1:27" s="693" customFormat="1">
      <c r="A644" s="120"/>
      <c r="B644" s="120"/>
      <c r="C644" s="116"/>
      <c r="D644" s="514"/>
      <c r="E644" s="116"/>
      <c r="F644" s="546"/>
      <c r="G644" s="692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  <c r="AA644" s="116"/>
    </row>
    <row r="645" spans="1:27" s="693" customFormat="1">
      <c r="A645" s="120"/>
      <c r="B645" s="120"/>
      <c r="C645" s="116"/>
      <c r="D645" s="514"/>
      <c r="E645" s="116"/>
      <c r="F645" s="546"/>
      <c r="G645" s="692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  <c r="AA645" s="116"/>
    </row>
    <row r="646" spans="1:27" s="693" customFormat="1">
      <c r="A646" s="120"/>
      <c r="B646" s="120"/>
      <c r="C646" s="116"/>
      <c r="D646" s="514"/>
      <c r="E646" s="116"/>
      <c r="F646" s="546"/>
      <c r="G646" s="692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  <c r="AA646" s="116"/>
    </row>
    <row r="647" spans="1:27" s="693" customFormat="1">
      <c r="A647" s="120"/>
      <c r="B647" s="120"/>
      <c r="C647" s="116"/>
      <c r="D647" s="514"/>
      <c r="E647" s="116"/>
      <c r="F647" s="546"/>
      <c r="G647" s="692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  <c r="AA647" s="116"/>
    </row>
    <row r="648" spans="1:27" s="693" customFormat="1">
      <c r="A648" s="120"/>
      <c r="B648" s="120"/>
      <c r="C648" s="116"/>
      <c r="D648" s="514"/>
      <c r="E648" s="116"/>
      <c r="F648" s="546"/>
      <c r="G648" s="692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  <c r="AA648" s="116"/>
    </row>
    <row r="649" spans="1:27" s="693" customFormat="1">
      <c r="A649" s="120"/>
      <c r="B649" s="120"/>
      <c r="C649" s="116"/>
      <c r="D649" s="514"/>
      <c r="E649" s="116"/>
      <c r="F649" s="546"/>
      <c r="G649" s="692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  <c r="AA649" s="116"/>
    </row>
    <row r="650" spans="1:27" s="693" customFormat="1">
      <c r="A650" s="120"/>
      <c r="B650" s="120"/>
      <c r="C650" s="116"/>
      <c r="D650" s="514"/>
      <c r="E650" s="116"/>
      <c r="F650" s="546"/>
      <c r="G650" s="692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  <c r="AA650" s="116"/>
    </row>
    <row r="651" spans="1:27" s="693" customFormat="1">
      <c r="A651" s="120"/>
      <c r="B651" s="120"/>
      <c r="C651" s="116"/>
      <c r="D651" s="514"/>
      <c r="E651" s="116"/>
      <c r="F651" s="546"/>
      <c r="G651" s="692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  <c r="AA651" s="116"/>
    </row>
    <row r="652" spans="1:27" s="693" customFormat="1">
      <c r="A652" s="120"/>
      <c r="B652" s="120"/>
      <c r="C652" s="116"/>
      <c r="D652" s="514"/>
      <c r="E652" s="116"/>
      <c r="F652" s="546"/>
      <c r="G652" s="692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  <c r="AA652" s="116"/>
    </row>
    <row r="653" spans="1:27" s="693" customFormat="1">
      <c r="A653" s="120"/>
      <c r="B653" s="120"/>
      <c r="C653" s="116"/>
      <c r="D653" s="514"/>
      <c r="E653" s="116"/>
      <c r="F653" s="546"/>
      <c r="G653" s="692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  <c r="AA653" s="116"/>
    </row>
    <row r="654" spans="1:27" s="693" customFormat="1">
      <c r="A654" s="120"/>
      <c r="B654" s="120"/>
      <c r="C654" s="116"/>
      <c r="D654" s="514"/>
      <c r="E654" s="116"/>
      <c r="F654" s="546"/>
      <c r="G654" s="692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  <c r="AA654" s="116"/>
    </row>
    <row r="655" spans="1:27" s="693" customFormat="1">
      <c r="A655" s="120"/>
      <c r="B655" s="120"/>
      <c r="C655" s="116"/>
      <c r="D655" s="514"/>
      <c r="E655" s="116"/>
      <c r="F655" s="546"/>
      <c r="G655" s="692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  <c r="AA655" s="116"/>
    </row>
    <row r="656" spans="1:27" s="693" customFormat="1">
      <c r="A656" s="120"/>
      <c r="B656" s="120"/>
      <c r="C656" s="116"/>
      <c r="D656" s="514"/>
      <c r="E656" s="116"/>
      <c r="F656" s="546"/>
      <c r="G656" s="692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  <c r="AA656" s="116"/>
    </row>
    <row r="657" spans="1:27" s="693" customFormat="1">
      <c r="A657" s="120"/>
      <c r="B657" s="120"/>
      <c r="C657" s="116"/>
      <c r="D657" s="514"/>
      <c r="E657" s="116"/>
      <c r="F657" s="546"/>
      <c r="G657" s="692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  <c r="AA657" s="116"/>
    </row>
    <row r="658" spans="1:27" s="693" customFormat="1">
      <c r="A658" s="120"/>
      <c r="B658" s="120"/>
      <c r="C658" s="116"/>
      <c r="D658" s="514"/>
      <c r="E658" s="116"/>
      <c r="F658" s="546"/>
      <c r="G658" s="692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  <c r="AA658" s="116"/>
    </row>
    <row r="659" spans="1:27" s="693" customFormat="1">
      <c r="A659" s="120"/>
      <c r="B659" s="120"/>
      <c r="C659" s="116"/>
      <c r="D659" s="514"/>
      <c r="E659" s="116"/>
      <c r="F659" s="546"/>
      <c r="G659" s="692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  <c r="AA659" s="116"/>
    </row>
    <row r="660" spans="1:27" s="693" customFormat="1">
      <c r="A660" s="120"/>
      <c r="B660" s="120"/>
      <c r="C660" s="116"/>
      <c r="D660" s="514"/>
      <c r="E660" s="116"/>
      <c r="F660" s="546"/>
      <c r="G660" s="692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  <c r="AA660" s="116"/>
    </row>
    <row r="661" spans="1:27" s="693" customFormat="1">
      <c r="A661" s="120"/>
      <c r="B661" s="120"/>
      <c r="C661" s="116"/>
      <c r="D661" s="514"/>
      <c r="E661" s="116"/>
      <c r="F661" s="546"/>
      <c r="G661" s="692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  <c r="AA661" s="116"/>
    </row>
    <row r="662" spans="1:27" s="693" customFormat="1">
      <c r="A662" s="120"/>
      <c r="B662" s="120"/>
      <c r="C662" s="116"/>
      <c r="D662" s="514"/>
      <c r="E662" s="116"/>
      <c r="F662" s="546"/>
      <c r="G662" s="692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  <c r="AA662" s="116"/>
    </row>
    <row r="663" spans="1:27" s="693" customFormat="1">
      <c r="A663" s="120"/>
      <c r="B663" s="120"/>
      <c r="C663" s="116"/>
      <c r="D663" s="514"/>
      <c r="E663" s="116"/>
      <c r="F663" s="546"/>
      <c r="G663" s="692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  <c r="AA663" s="116"/>
    </row>
    <row r="664" spans="1:27" s="693" customFormat="1">
      <c r="A664" s="120"/>
      <c r="B664" s="120"/>
      <c r="C664" s="116"/>
      <c r="D664" s="514"/>
      <c r="E664" s="116"/>
      <c r="F664" s="546"/>
      <c r="G664" s="692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  <c r="AA664" s="116"/>
    </row>
    <row r="665" spans="1:27" s="693" customFormat="1">
      <c r="A665" s="120"/>
      <c r="B665" s="120"/>
      <c r="C665" s="116"/>
      <c r="D665" s="514"/>
      <c r="E665" s="116"/>
      <c r="F665" s="546"/>
      <c r="G665" s="692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  <c r="AA665" s="116"/>
    </row>
    <row r="666" spans="1:27" s="693" customFormat="1">
      <c r="A666" s="120"/>
      <c r="B666" s="120"/>
      <c r="C666" s="116"/>
      <c r="D666" s="514"/>
      <c r="E666" s="116"/>
      <c r="F666" s="546"/>
      <c r="G666" s="692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  <c r="AA666" s="116"/>
    </row>
    <row r="667" spans="1:27" s="693" customFormat="1">
      <c r="A667" s="120"/>
      <c r="B667" s="120"/>
      <c r="C667" s="116"/>
      <c r="D667" s="514"/>
      <c r="E667" s="116"/>
      <c r="F667" s="546"/>
      <c r="G667" s="692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  <c r="AA667" s="116"/>
    </row>
    <row r="668" spans="1:27" s="693" customFormat="1">
      <c r="A668" s="120"/>
      <c r="B668" s="120"/>
      <c r="C668" s="116"/>
      <c r="D668" s="514"/>
      <c r="E668" s="116"/>
      <c r="F668" s="546"/>
      <c r="G668" s="692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  <c r="AA668" s="116"/>
    </row>
    <row r="669" spans="1:27" s="693" customFormat="1">
      <c r="A669" s="120"/>
      <c r="B669" s="120"/>
      <c r="C669" s="116"/>
      <c r="D669" s="514"/>
      <c r="E669" s="116"/>
      <c r="F669" s="546"/>
      <c r="G669" s="692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  <c r="AA669" s="116"/>
    </row>
    <row r="670" spans="1:27" s="693" customFormat="1">
      <c r="A670" s="120"/>
      <c r="B670" s="120"/>
      <c r="C670" s="116"/>
      <c r="D670" s="514"/>
      <c r="E670" s="116"/>
      <c r="F670" s="546"/>
      <c r="G670" s="692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  <c r="AA670" s="116"/>
    </row>
    <row r="671" spans="1:27" s="693" customFormat="1">
      <c r="A671" s="120"/>
      <c r="B671" s="120"/>
      <c r="C671" s="116"/>
      <c r="D671" s="514"/>
      <c r="E671" s="116"/>
      <c r="F671" s="546"/>
      <c r="G671" s="692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  <c r="AA671" s="116"/>
    </row>
    <row r="672" spans="1:27" s="693" customFormat="1">
      <c r="A672" s="120"/>
      <c r="B672" s="120"/>
      <c r="C672" s="116"/>
      <c r="D672" s="514"/>
      <c r="E672" s="116"/>
      <c r="F672" s="546"/>
      <c r="G672" s="692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  <c r="AA672" s="116"/>
    </row>
    <row r="673" spans="1:27" s="693" customFormat="1">
      <c r="A673" s="120"/>
      <c r="B673" s="120"/>
      <c r="C673" s="116"/>
      <c r="D673" s="514"/>
      <c r="E673" s="116"/>
      <c r="F673" s="546"/>
      <c r="G673" s="692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  <c r="AA673" s="116"/>
    </row>
    <row r="674" spans="1:27" s="693" customFormat="1">
      <c r="A674" s="120"/>
      <c r="B674" s="120"/>
      <c r="C674" s="116"/>
      <c r="D674" s="514"/>
      <c r="E674" s="116"/>
      <c r="F674" s="546"/>
      <c r="G674" s="692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  <c r="AA674" s="116"/>
    </row>
    <row r="675" spans="1:27" s="693" customFormat="1">
      <c r="A675" s="120"/>
      <c r="B675" s="120"/>
      <c r="C675" s="116"/>
      <c r="D675" s="514"/>
      <c r="E675" s="116"/>
      <c r="F675" s="546"/>
      <c r="G675" s="692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  <c r="AA675" s="116"/>
    </row>
    <row r="676" spans="1:27" s="693" customFormat="1">
      <c r="A676" s="120"/>
      <c r="B676" s="120"/>
      <c r="C676" s="116"/>
      <c r="D676" s="514"/>
      <c r="E676" s="116"/>
      <c r="F676" s="546"/>
      <c r="G676" s="692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  <c r="AA676" s="116"/>
    </row>
  </sheetData>
  <mergeCells count="3">
    <mergeCell ref="A8:I8"/>
    <mergeCell ref="S1:V2"/>
    <mergeCell ref="K8:V8"/>
  </mergeCells>
  <printOptions horizontalCentered="1"/>
  <pageMargins left="0.59055118110236227" right="0.39370078740157483" top="0.59055118110236227" bottom="0.59055118110236227" header="0.19685039370078741" footer="0.19685039370078741"/>
  <pageSetup paperSize="9" scale="44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J265"/>
  <sheetViews>
    <sheetView zoomScale="130" zoomScaleNormal="130" workbookViewId="0">
      <pane ySplit="2" topLeftCell="A3" activePane="bottomLeft" state="frozen"/>
      <selection activeCell="I144" sqref="I144"/>
      <selection pane="bottomLeft" sqref="A1:F1"/>
    </sheetView>
  </sheetViews>
  <sheetFormatPr defaultColWidth="8.85546875" defaultRowHeight="12.75"/>
  <cols>
    <col min="1" max="4" width="4" style="694" bestFit="1" customWidth="1"/>
    <col min="5" max="5" width="3" style="694" bestFit="1" customWidth="1"/>
    <col min="6" max="6" width="3.28515625" style="694" customWidth="1"/>
    <col min="7" max="7" width="70.42578125" style="694" customWidth="1"/>
    <col min="8" max="8" width="16.5703125" style="773" customWidth="1"/>
    <col min="9" max="9" width="16.5703125" style="773" bestFit="1" customWidth="1"/>
    <col min="10" max="10" width="13.28515625" style="694" customWidth="1"/>
    <col min="11" max="11" width="3.140625" style="694" customWidth="1"/>
    <col min="12" max="16384" width="8.85546875" style="694"/>
  </cols>
  <sheetData>
    <row r="1" spans="1:10" ht="21" customHeight="1" thickBot="1">
      <c r="A1" s="1036" t="s">
        <v>120</v>
      </c>
      <c r="B1" s="1037"/>
      <c r="C1" s="1037"/>
      <c r="D1" s="1037"/>
      <c r="E1" s="1037"/>
      <c r="F1" s="1038"/>
      <c r="G1" s="1039" t="s">
        <v>2938</v>
      </c>
      <c r="H1" s="980" t="s">
        <v>3485</v>
      </c>
      <c r="I1" s="980" t="s">
        <v>3484</v>
      </c>
      <c r="J1" s="985" t="s">
        <v>2939</v>
      </c>
    </row>
    <row r="2" spans="1:10" s="58" customFormat="1" ht="21" customHeight="1" thickBot="1">
      <c r="A2" s="380" t="s">
        <v>123</v>
      </c>
      <c r="B2" s="380" t="s">
        <v>124</v>
      </c>
      <c r="C2" s="380" t="s">
        <v>125</v>
      </c>
      <c r="D2" s="380" t="s">
        <v>126</v>
      </c>
      <c r="E2" s="380" t="s">
        <v>127</v>
      </c>
      <c r="F2" s="380" t="s">
        <v>128</v>
      </c>
      <c r="G2" s="1040"/>
      <c r="H2" s="981"/>
      <c r="I2" s="981"/>
      <c r="J2" s="986"/>
    </row>
    <row r="3" spans="1:10" s="62" customFormat="1">
      <c r="A3" s="695">
        <v>10</v>
      </c>
      <c r="B3" s="696">
        <v>0</v>
      </c>
      <c r="C3" s="696">
        <v>0</v>
      </c>
      <c r="D3" s="696">
        <v>0</v>
      </c>
      <c r="E3" s="696">
        <v>0</v>
      </c>
      <c r="F3" s="697">
        <v>0</v>
      </c>
      <c r="G3" s="698" t="s">
        <v>2940</v>
      </c>
      <c r="H3" s="699"/>
      <c r="I3" s="699"/>
      <c r="J3" s="700"/>
    </row>
    <row r="4" spans="1:10" s="58" customFormat="1">
      <c r="A4" s="701">
        <v>10</v>
      </c>
      <c r="B4" s="702">
        <v>100</v>
      </c>
      <c r="C4" s="702"/>
      <c r="D4" s="702"/>
      <c r="E4" s="702"/>
      <c r="F4" s="703"/>
      <c r="G4" s="704" t="s">
        <v>2941</v>
      </c>
      <c r="H4" s="705"/>
      <c r="I4" s="705">
        <v>0</v>
      </c>
      <c r="J4" s="706" t="s">
        <v>2309</v>
      </c>
    </row>
    <row r="5" spans="1:10" s="58" customFormat="1">
      <c r="A5" s="701">
        <v>10</v>
      </c>
      <c r="B5" s="702">
        <v>200</v>
      </c>
      <c r="C5" s="702"/>
      <c r="D5" s="702"/>
      <c r="E5" s="702"/>
      <c r="F5" s="703"/>
      <c r="G5" s="704" t="s">
        <v>2942</v>
      </c>
      <c r="H5" s="705">
        <v>60773.06</v>
      </c>
      <c r="I5" s="705">
        <v>60773.06</v>
      </c>
      <c r="J5" s="706" t="s">
        <v>2315</v>
      </c>
    </row>
    <row r="6" spans="1:10" s="58" customFormat="1">
      <c r="A6" s="701">
        <v>10</v>
      </c>
      <c r="B6" s="707">
        <v>300</v>
      </c>
      <c r="C6" s="707"/>
      <c r="D6" s="707"/>
      <c r="E6" s="707"/>
      <c r="F6" s="708"/>
      <c r="G6" s="709" t="s">
        <v>2943</v>
      </c>
      <c r="H6" s="710"/>
      <c r="I6" s="710"/>
      <c r="J6" s="706"/>
    </row>
    <row r="7" spans="1:10" s="58" customFormat="1" ht="25.5">
      <c r="A7" s="701">
        <v>10</v>
      </c>
      <c r="B7" s="707">
        <v>300</v>
      </c>
      <c r="C7" s="702">
        <v>100</v>
      </c>
      <c r="D7" s="702"/>
      <c r="E7" s="702"/>
      <c r="F7" s="703"/>
      <c r="G7" s="704" t="s">
        <v>2944</v>
      </c>
      <c r="H7" s="705"/>
      <c r="I7" s="705">
        <v>0</v>
      </c>
      <c r="J7" s="706" t="s">
        <v>2321</v>
      </c>
    </row>
    <row r="8" spans="1:10" s="58" customFormat="1">
      <c r="A8" s="701">
        <v>10</v>
      </c>
      <c r="B8" s="707">
        <v>300</v>
      </c>
      <c r="C8" s="702">
        <v>200</v>
      </c>
      <c r="D8" s="702"/>
      <c r="E8" s="702"/>
      <c r="F8" s="703"/>
      <c r="G8" s="704" t="s">
        <v>2945</v>
      </c>
      <c r="H8" s="705">
        <v>7278.97</v>
      </c>
      <c r="I8" s="705">
        <v>1557.6</v>
      </c>
      <c r="J8" s="706" t="s">
        <v>2325</v>
      </c>
    </row>
    <row r="9" spans="1:10" s="58" customFormat="1">
      <c r="A9" s="701">
        <v>10</v>
      </c>
      <c r="B9" s="702">
        <v>400</v>
      </c>
      <c r="C9" s="702"/>
      <c r="D9" s="702"/>
      <c r="E9" s="702"/>
      <c r="F9" s="703"/>
      <c r="G9" s="704" t="s">
        <v>2141</v>
      </c>
      <c r="H9" s="705">
        <v>92311.63</v>
      </c>
      <c r="I9" s="705">
        <v>37480.15</v>
      </c>
      <c r="J9" s="706" t="s">
        <v>2329</v>
      </c>
    </row>
    <row r="10" spans="1:10" s="58" customFormat="1">
      <c r="A10" s="701">
        <v>10</v>
      </c>
      <c r="B10" s="707">
        <v>500</v>
      </c>
      <c r="C10" s="707"/>
      <c r="D10" s="707"/>
      <c r="E10" s="707"/>
      <c r="F10" s="708"/>
      <c r="G10" s="709" t="s">
        <v>2143</v>
      </c>
      <c r="H10" s="710"/>
      <c r="I10" s="710"/>
      <c r="J10" s="706"/>
    </row>
    <row r="11" spans="1:10" s="58" customFormat="1">
      <c r="A11" s="701">
        <v>10</v>
      </c>
      <c r="B11" s="707">
        <v>500</v>
      </c>
      <c r="C11" s="702">
        <v>100</v>
      </c>
      <c r="D11" s="702"/>
      <c r="E11" s="702"/>
      <c r="F11" s="703"/>
      <c r="G11" s="704" t="s">
        <v>2946</v>
      </c>
      <c r="H11" s="705">
        <v>5697760.0099999998</v>
      </c>
      <c r="I11" s="705">
        <v>5526710.9499999993</v>
      </c>
      <c r="J11" s="706" t="s">
        <v>2333</v>
      </c>
    </row>
    <row r="12" spans="1:10" s="58" customFormat="1">
      <c r="A12" s="701">
        <v>10</v>
      </c>
      <c r="B12" s="707">
        <v>500</v>
      </c>
      <c r="C12" s="702">
        <v>200</v>
      </c>
      <c r="D12" s="702"/>
      <c r="E12" s="702"/>
      <c r="F12" s="703"/>
      <c r="G12" s="704" t="s">
        <v>2947</v>
      </c>
      <c r="H12" s="705">
        <v>1394384.79</v>
      </c>
      <c r="I12" s="705">
        <v>1394384.81</v>
      </c>
      <c r="J12" s="706" t="s">
        <v>2337</v>
      </c>
    </row>
    <row r="13" spans="1:10" s="58" customFormat="1">
      <c r="A13" s="701">
        <v>10</v>
      </c>
      <c r="B13" s="707">
        <v>500</v>
      </c>
      <c r="C13" s="702">
        <v>300</v>
      </c>
      <c r="D13" s="702"/>
      <c r="E13" s="702"/>
      <c r="F13" s="703"/>
      <c r="G13" s="704" t="s">
        <v>2948</v>
      </c>
      <c r="H13" s="705"/>
      <c r="I13" s="705">
        <v>0</v>
      </c>
      <c r="J13" s="706" t="s">
        <v>2341</v>
      </c>
    </row>
    <row r="14" spans="1:10" s="58" customFormat="1">
      <c r="A14" s="701">
        <v>10</v>
      </c>
      <c r="B14" s="707">
        <v>500</v>
      </c>
      <c r="C14" s="702">
        <v>400</v>
      </c>
      <c r="D14" s="702"/>
      <c r="E14" s="702"/>
      <c r="F14" s="703"/>
      <c r="G14" s="704" t="s">
        <v>2143</v>
      </c>
      <c r="H14" s="705"/>
      <c r="I14" s="705">
        <v>0</v>
      </c>
      <c r="J14" s="706" t="s">
        <v>2345</v>
      </c>
    </row>
    <row r="15" spans="1:10" s="62" customFormat="1">
      <c r="A15" s="711">
        <v>20</v>
      </c>
      <c r="B15" s="712">
        <v>0</v>
      </c>
      <c r="C15" s="712">
        <v>0</v>
      </c>
      <c r="D15" s="712">
        <v>0</v>
      </c>
      <c r="E15" s="712">
        <v>0</v>
      </c>
      <c r="F15" s="713">
        <v>0</v>
      </c>
      <c r="G15" s="714" t="s">
        <v>2949</v>
      </c>
      <c r="H15" s="715"/>
      <c r="I15" s="715"/>
      <c r="J15" s="716"/>
    </row>
    <row r="16" spans="1:10" s="58" customFormat="1">
      <c r="A16" s="701">
        <v>20</v>
      </c>
      <c r="B16" s="717">
        <v>100</v>
      </c>
      <c r="C16" s="717"/>
      <c r="D16" s="717"/>
      <c r="E16" s="717"/>
      <c r="F16" s="718"/>
      <c r="G16" s="709" t="s">
        <v>2145</v>
      </c>
      <c r="H16" s="710"/>
      <c r="I16" s="710"/>
      <c r="J16" s="706"/>
    </row>
    <row r="17" spans="1:10" s="58" customFormat="1">
      <c r="A17" s="701">
        <v>20</v>
      </c>
      <c r="B17" s="717">
        <v>100</v>
      </c>
      <c r="C17" s="719">
        <v>100</v>
      </c>
      <c r="D17" s="719"/>
      <c r="E17" s="719"/>
      <c r="F17" s="720"/>
      <c r="G17" s="704" t="s">
        <v>2147</v>
      </c>
      <c r="H17" s="705">
        <v>497009.77</v>
      </c>
      <c r="I17" s="705">
        <v>497009.78</v>
      </c>
      <c r="J17" s="706" t="s">
        <v>2363</v>
      </c>
    </row>
    <row r="18" spans="1:10" s="58" customFormat="1">
      <c r="A18" s="701">
        <v>20</v>
      </c>
      <c r="B18" s="717">
        <v>100</v>
      </c>
      <c r="C18" s="719">
        <v>200</v>
      </c>
      <c r="D18" s="719"/>
      <c r="E18" s="719"/>
      <c r="F18" s="720"/>
      <c r="G18" s="704" t="s">
        <v>2149</v>
      </c>
      <c r="H18" s="705">
        <v>1346427.27</v>
      </c>
      <c r="I18" s="705">
        <v>1346427.27</v>
      </c>
      <c r="J18" s="706" t="s">
        <v>2365</v>
      </c>
    </row>
    <row r="19" spans="1:10" s="58" customFormat="1">
      <c r="A19" s="701">
        <v>20</v>
      </c>
      <c r="B19" s="717">
        <v>200</v>
      </c>
      <c r="C19" s="717"/>
      <c r="D19" s="717"/>
      <c r="E19" s="717"/>
      <c r="F19" s="718"/>
      <c r="G19" s="709" t="s">
        <v>2150</v>
      </c>
      <c r="H19" s="710"/>
      <c r="I19" s="710"/>
      <c r="J19" s="706"/>
    </row>
    <row r="20" spans="1:10" s="58" customFormat="1">
      <c r="A20" s="701">
        <v>20</v>
      </c>
      <c r="B20" s="717">
        <v>200</v>
      </c>
      <c r="C20" s="719">
        <v>100</v>
      </c>
      <c r="D20" s="719"/>
      <c r="E20" s="719"/>
      <c r="F20" s="720"/>
      <c r="G20" s="704" t="s">
        <v>2151</v>
      </c>
      <c r="H20" s="705">
        <v>2708100.42</v>
      </c>
      <c r="I20" s="705">
        <v>2708100.28</v>
      </c>
      <c r="J20" s="706" t="s">
        <v>2371</v>
      </c>
    </row>
    <row r="21" spans="1:10" s="58" customFormat="1">
      <c r="A21" s="701">
        <v>20</v>
      </c>
      <c r="B21" s="717">
        <v>200</v>
      </c>
      <c r="C21" s="719">
        <v>200</v>
      </c>
      <c r="D21" s="719"/>
      <c r="E21" s="719"/>
      <c r="F21" s="720"/>
      <c r="G21" s="704" t="s">
        <v>2152</v>
      </c>
      <c r="H21" s="705">
        <v>529548298.66000003</v>
      </c>
      <c r="I21" s="705">
        <v>526983815.69</v>
      </c>
      <c r="J21" s="706" t="s">
        <v>2377</v>
      </c>
    </row>
    <row r="22" spans="1:10" s="58" customFormat="1">
      <c r="A22" s="701">
        <v>20</v>
      </c>
      <c r="B22" s="702">
        <v>300</v>
      </c>
      <c r="C22" s="719"/>
      <c r="D22" s="719"/>
      <c r="E22" s="719"/>
      <c r="F22" s="720"/>
      <c r="G22" s="704" t="s">
        <v>2153</v>
      </c>
      <c r="H22" s="705">
        <v>50706849.609999999</v>
      </c>
      <c r="I22" s="705">
        <v>49963994.25</v>
      </c>
      <c r="J22" s="706" t="s">
        <v>2383</v>
      </c>
    </row>
    <row r="23" spans="1:10" s="58" customFormat="1">
      <c r="A23" s="701">
        <v>20</v>
      </c>
      <c r="B23" s="702">
        <v>400</v>
      </c>
      <c r="C23" s="719"/>
      <c r="D23" s="719"/>
      <c r="E23" s="719"/>
      <c r="F23" s="720"/>
      <c r="G23" s="704" t="s">
        <v>2154</v>
      </c>
      <c r="H23" s="705">
        <v>132825633.62</v>
      </c>
      <c r="I23" s="705">
        <v>125211344.81</v>
      </c>
      <c r="J23" s="706" t="s">
        <v>2389</v>
      </c>
    </row>
    <row r="24" spans="1:10" s="58" customFormat="1">
      <c r="A24" s="701">
        <v>20</v>
      </c>
      <c r="B24" s="702">
        <v>500</v>
      </c>
      <c r="C24" s="702"/>
      <c r="D24" s="702"/>
      <c r="E24" s="702"/>
      <c r="F24" s="703"/>
      <c r="G24" s="704" t="s">
        <v>2155</v>
      </c>
      <c r="H24" s="705">
        <v>25009460.789999999</v>
      </c>
      <c r="I24" s="705">
        <v>24206024.59</v>
      </c>
      <c r="J24" s="706" t="s">
        <v>2395</v>
      </c>
    </row>
    <row r="25" spans="1:10" s="58" customFormat="1">
      <c r="A25" s="701">
        <v>20</v>
      </c>
      <c r="B25" s="702">
        <v>600</v>
      </c>
      <c r="C25" s="702"/>
      <c r="D25" s="702"/>
      <c r="E25" s="702"/>
      <c r="F25" s="703"/>
      <c r="G25" s="704" t="s">
        <v>2157</v>
      </c>
      <c r="H25" s="705">
        <v>5290437.17</v>
      </c>
      <c r="I25" s="705">
        <v>5008986.12</v>
      </c>
      <c r="J25" s="706" t="s">
        <v>2401</v>
      </c>
    </row>
    <row r="26" spans="1:10" s="58" customFormat="1">
      <c r="A26" s="701">
        <v>20</v>
      </c>
      <c r="B26" s="702">
        <v>700</v>
      </c>
      <c r="C26" s="702"/>
      <c r="D26" s="702"/>
      <c r="E26" s="702"/>
      <c r="F26" s="703"/>
      <c r="G26" s="704" t="s">
        <v>2159</v>
      </c>
      <c r="H26" s="705">
        <v>44348.36</v>
      </c>
      <c r="I26" s="705">
        <v>41866</v>
      </c>
      <c r="J26" s="706" t="s">
        <v>2405</v>
      </c>
    </row>
    <row r="27" spans="1:10" s="58" customFormat="1">
      <c r="A27" s="701">
        <v>20</v>
      </c>
      <c r="B27" s="702">
        <v>800</v>
      </c>
      <c r="C27" s="707"/>
      <c r="D27" s="707"/>
      <c r="E27" s="707"/>
      <c r="F27" s="708"/>
      <c r="G27" s="704" t="s">
        <v>2161</v>
      </c>
      <c r="H27" s="705">
        <v>40050432.909999996</v>
      </c>
      <c r="I27" s="705">
        <v>39063103.850000001</v>
      </c>
      <c r="J27" s="706" t="s">
        <v>2409</v>
      </c>
    </row>
    <row r="28" spans="1:10" s="58" customFormat="1">
      <c r="A28" s="721">
        <v>20</v>
      </c>
      <c r="B28" s="717">
        <v>900</v>
      </c>
      <c r="C28" s="719"/>
      <c r="D28" s="719"/>
      <c r="E28" s="719"/>
      <c r="F28" s="720"/>
      <c r="G28" s="722" t="s">
        <v>2163</v>
      </c>
      <c r="H28" s="723">
        <v>14172807.24</v>
      </c>
      <c r="I28" s="723">
        <v>8166545.25</v>
      </c>
      <c r="J28" s="724" t="s">
        <v>2413</v>
      </c>
    </row>
    <row r="29" spans="1:10" s="62" customFormat="1">
      <c r="A29" s="725">
        <v>30</v>
      </c>
      <c r="B29" s="726">
        <v>0</v>
      </c>
      <c r="C29" s="726">
        <v>0</v>
      </c>
      <c r="D29" s="726">
        <v>0</v>
      </c>
      <c r="E29" s="726">
        <v>0</v>
      </c>
      <c r="F29" s="727">
        <v>0</v>
      </c>
      <c r="G29" s="728" t="s">
        <v>2950</v>
      </c>
      <c r="H29" s="729"/>
      <c r="I29" s="729"/>
      <c r="J29" s="730"/>
    </row>
    <row r="30" spans="1:10" s="58" customFormat="1">
      <c r="A30" s="701">
        <v>30</v>
      </c>
      <c r="B30" s="707">
        <v>100</v>
      </c>
      <c r="C30" s="707"/>
      <c r="D30" s="707"/>
      <c r="E30" s="707"/>
      <c r="F30" s="708"/>
      <c r="G30" s="709" t="s">
        <v>2167</v>
      </c>
      <c r="H30" s="710"/>
      <c r="I30" s="710"/>
      <c r="J30" s="706"/>
    </row>
    <row r="31" spans="1:10" s="58" customFormat="1">
      <c r="A31" s="701">
        <v>30</v>
      </c>
      <c r="B31" s="707">
        <v>100</v>
      </c>
      <c r="C31" s="702">
        <v>100</v>
      </c>
      <c r="D31" s="702"/>
      <c r="E31" s="702"/>
      <c r="F31" s="703"/>
      <c r="G31" s="704" t="s">
        <v>2168</v>
      </c>
      <c r="H31" s="705"/>
      <c r="I31" s="705">
        <v>0</v>
      </c>
      <c r="J31" s="706" t="s">
        <v>2437</v>
      </c>
    </row>
    <row r="32" spans="1:10" s="58" customFormat="1">
      <c r="A32" s="701">
        <v>30</v>
      </c>
      <c r="B32" s="707">
        <v>100</v>
      </c>
      <c r="C32" s="702">
        <v>200</v>
      </c>
      <c r="D32" s="702"/>
      <c r="E32" s="702"/>
      <c r="F32" s="703"/>
      <c r="G32" s="704" t="s">
        <v>2169</v>
      </c>
      <c r="H32" s="705">
        <v>6858338.2800000003</v>
      </c>
      <c r="I32" s="705">
        <v>6163516.4700000007</v>
      </c>
      <c r="J32" s="706" t="s">
        <v>2439</v>
      </c>
    </row>
    <row r="33" spans="1:10" s="58" customFormat="1">
      <c r="A33" s="701">
        <v>30</v>
      </c>
      <c r="B33" s="707">
        <v>100</v>
      </c>
      <c r="C33" s="702">
        <v>300</v>
      </c>
      <c r="D33" s="702"/>
      <c r="E33" s="702"/>
      <c r="F33" s="703"/>
      <c r="G33" s="704" t="s">
        <v>2171</v>
      </c>
      <c r="H33" s="705"/>
      <c r="I33" s="705">
        <v>0</v>
      </c>
      <c r="J33" s="706" t="s">
        <v>2441</v>
      </c>
    </row>
    <row r="34" spans="1:10" s="58" customFormat="1">
      <c r="A34" s="701">
        <v>30</v>
      </c>
      <c r="B34" s="707">
        <v>100</v>
      </c>
      <c r="C34" s="707">
        <v>400</v>
      </c>
      <c r="D34" s="707"/>
      <c r="E34" s="707"/>
      <c r="F34" s="708"/>
      <c r="G34" s="709" t="s">
        <v>2173</v>
      </c>
      <c r="H34" s="710"/>
      <c r="I34" s="710"/>
      <c r="J34" s="706" t="s">
        <v>2443</v>
      </c>
    </row>
    <row r="35" spans="1:10" s="58" customFormat="1">
      <c r="A35" s="701">
        <v>30</v>
      </c>
      <c r="B35" s="707">
        <v>100</v>
      </c>
      <c r="C35" s="707">
        <v>400</v>
      </c>
      <c r="D35" s="702">
        <v>100</v>
      </c>
      <c r="E35" s="702"/>
      <c r="F35" s="703"/>
      <c r="G35" s="97" t="s">
        <v>2951</v>
      </c>
      <c r="H35" s="705"/>
      <c r="I35" s="705">
        <v>0</v>
      </c>
      <c r="J35" s="706"/>
    </row>
    <row r="36" spans="1:10" s="58" customFormat="1">
      <c r="A36" s="701">
        <v>30</v>
      </c>
      <c r="B36" s="707">
        <v>100</v>
      </c>
      <c r="C36" s="707">
        <v>400</v>
      </c>
      <c r="D36" s="702">
        <v>200</v>
      </c>
      <c r="E36" s="702"/>
      <c r="F36" s="703"/>
      <c r="G36" s="97" t="s">
        <v>2952</v>
      </c>
      <c r="H36" s="705"/>
      <c r="I36" s="705">
        <v>0</v>
      </c>
      <c r="J36" s="706"/>
    </row>
    <row r="37" spans="1:10" s="58" customFormat="1">
      <c r="A37" s="701">
        <v>30</v>
      </c>
      <c r="B37" s="707">
        <v>100</v>
      </c>
      <c r="C37" s="707">
        <v>400</v>
      </c>
      <c r="D37" s="702">
        <v>300</v>
      </c>
      <c r="E37" s="702"/>
      <c r="F37" s="703"/>
      <c r="G37" s="97" t="s">
        <v>2953</v>
      </c>
      <c r="H37" s="705">
        <v>93844.31</v>
      </c>
      <c r="I37" s="705">
        <v>93844.31</v>
      </c>
      <c r="J37" s="706"/>
    </row>
    <row r="38" spans="1:10" s="58" customFormat="1">
      <c r="A38" s="701">
        <v>30</v>
      </c>
      <c r="B38" s="707">
        <v>200</v>
      </c>
      <c r="C38" s="707"/>
      <c r="D38" s="707"/>
      <c r="E38" s="707"/>
      <c r="F38" s="708"/>
      <c r="G38" s="709" t="s">
        <v>2174</v>
      </c>
      <c r="H38" s="710"/>
      <c r="I38" s="710"/>
      <c r="J38" s="706"/>
    </row>
    <row r="39" spans="1:10" s="58" customFormat="1">
      <c r="A39" s="701">
        <v>30</v>
      </c>
      <c r="B39" s="707">
        <v>200</v>
      </c>
      <c r="C39" s="702">
        <v>100</v>
      </c>
      <c r="D39" s="702"/>
      <c r="E39" s="702"/>
      <c r="F39" s="703"/>
      <c r="G39" s="704" t="s">
        <v>2175</v>
      </c>
      <c r="H39" s="705"/>
      <c r="I39" s="705">
        <v>0</v>
      </c>
      <c r="J39" s="706" t="s">
        <v>2447</v>
      </c>
    </row>
    <row r="40" spans="1:10" s="58" customFormat="1">
      <c r="A40" s="701">
        <v>30</v>
      </c>
      <c r="B40" s="707">
        <v>200</v>
      </c>
      <c r="C40" s="707">
        <v>200</v>
      </c>
      <c r="D40" s="707"/>
      <c r="E40" s="707"/>
      <c r="F40" s="708"/>
      <c r="G40" s="709" t="s">
        <v>2176</v>
      </c>
      <c r="H40" s="710"/>
      <c r="I40" s="710"/>
      <c r="J40" s="706"/>
    </row>
    <row r="41" spans="1:10" s="58" customFormat="1">
      <c r="A41" s="701">
        <v>30</v>
      </c>
      <c r="B41" s="707">
        <v>200</v>
      </c>
      <c r="C41" s="707">
        <v>200</v>
      </c>
      <c r="D41" s="702">
        <v>100</v>
      </c>
      <c r="E41" s="702"/>
      <c r="F41" s="703"/>
      <c r="G41" s="704" t="s">
        <v>2954</v>
      </c>
      <c r="H41" s="705"/>
      <c r="I41" s="705">
        <v>0</v>
      </c>
      <c r="J41" s="706" t="s">
        <v>2451</v>
      </c>
    </row>
    <row r="42" spans="1:10" s="58" customFormat="1">
      <c r="A42" s="701">
        <v>30</v>
      </c>
      <c r="B42" s="707">
        <v>200</v>
      </c>
      <c r="C42" s="707">
        <v>200</v>
      </c>
      <c r="D42" s="702">
        <v>200</v>
      </c>
      <c r="E42" s="702"/>
      <c r="F42" s="703"/>
      <c r="G42" s="704" t="s">
        <v>2955</v>
      </c>
      <c r="H42" s="705"/>
      <c r="I42" s="705">
        <v>0</v>
      </c>
      <c r="J42" s="706" t="s">
        <v>2453</v>
      </c>
    </row>
    <row r="43" spans="1:10" s="58" customFormat="1">
      <c r="A43" s="701">
        <v>30</v>
      </c>
      <c r="B43" s="707">
        <v>200</v>
      </c>
      <c r="C43" s="707">
        <v>200</v>
      </c>
      <c r="D43" s="702">
        <v>300</v>
      </c>
      <c r="E43" s="702"/>
      <c r="F43" s="703"/>
      <c r="G43" s="704" t="s">
        <v>2956</v>
      </c>
      <c r="H43" s="705"/>
      <c r="I43" s="705">
        <v>0</v>
      </c>
      <c r="J43" s="706" t="s">
        <v>2455</v>
      </c>
    </row>
    <row r="44" spans="1:10" s="58" customFormat="1">
      <c r="A44" s="701">
        <v>30</v>
      </c>
      <c r="B44" s="707">
        <v>200</v>
      </c>
      <c r="C44" s="707">
        <v>200</v>
      </c>
      <c r="D44" s="702">
        <v>400</v>
      </c>
      <c r="E44" s="702"/>
      <c r="F44" s="703"/>
      <c r="G44" s="704" t="s">
        <v>2957</v>
      </c>
      <c r="H44" s="705"/>
      <c r="I44" s="705">
        <v>0</v>
      </c>
      <c r="J44" s="706" t="s">
        <v>2457</v>
      </c>
    </row>
    <row r="45" spans="1:10" s="62" customFormat="1">
      <c r="A45" s="711">
        <v>100</v>
      </c>
      <c r="B45" s="712">
        <v>0</v>
      </c>
      <c r="C45" s="712">
        <v>0</v>
      </c>
      <c r="D45" s="712">
        <v>0</v>
      </c>
      <c r="E45" s="712">
        <v>0</v>
      </c>
      <c r="F45" s="713">
        <v>0</v>
      </c>
      <c r="G45" s="714" t="s">
        <v>2958</v>
      </c>
      <c r="H45" s="715"/>
      <c r="I45" s="715"/>
      <c r="J45" s="716"/>
    </row>
    <row r="46" spans="1:10" s="58" customFormat="1">
      <c r="A46" s="701">
        <v>100</v>
      </c>
      <c r="B46" s="707">
        <v>100</v>
      </c>
      <c r="C46" s="707"/>
      <c r="D46" s="707"/>
      <c r="E46" s="707"/>
      <c r="F46" s="708"/>
      <c r="G46" s="709" t="s">
        <v>2180</v>
      </c>
      <c r="H46" s="710"/>
      <c r="I46" s="710"/>
      <c r="J46" s="706"/>
    </row>
    <row r="47" spans="1:10" s="58" customFormat="1">
      <c r="A47" s="701">
        <v>100</v>
      </c>
      <c r="B47" s="707">
        <v>100</v>
      </c>
      <c r="C47" s="707">
        <v>100</v>
      </c>
      <c r="D47" s="707"/>
      <c r="E47" s="707"/>
      <c r="F47" s="708"/>
      <c r="G47" s="709" t="s">
        <v>544</v>
      </c>
      <c r="H47" s="710"/>
      <c r="I47" s="710"/>
      <c r="J47" s="706" t="s">
        <v>2465</v>
      </c>
    </row>
    <row r="48" spans="1:10" s="58" customFormat="1" ht="25.5">
      <c r="A48" s="701">
        <v>100</v>
      </c>
      <c r="B48" s="707">
        <v>100</v>
      </c>
      <c r="C48" s="707">
        <v>100</v>
      </c>
      <c r="D48" s="702">
        <v>10</v>
      </c>
      <c r="E48" s="702"/>
      <c r="F48" s="703"/>
      <c r="G48" s="731" t="s">
        <v>546</v>
      </c>
      <c r="H48" s="705">
        <v>318233.23</v>
      </c>
      <c r="I48" s="705">
        <v>875766.51616999996</v>
      </c>
      <c r="J48" s="706"/>
    </row>
    <row r="49" spans="1:10" s="58" customFormat="1">
      <c r="A49" s="701">
        <v>100</v>
      </c>
      <c r="B49" s="707">
        <v>100</v>
      </c>
      <c r="C49" s="707">
        <v>100</v>
      </c>
      <c r="D49" s="702">
        <v>20</v>
      </c>
      <c r="E49" s="702"/>
      <c r="F49" s="703"/>
      <c r="G49" s="97" t="s">
        <v>549</v>
      </c>
      <c r="H49" s="705">
        <v>15640.18</v>
      </c>
      <c r="I49" s="705">
        <v>39308.389199999998</v>
      </c>
      <c r="J49" s="706"/>
    </row>
    <row r="50" spans="1:10" s="58" customFormat="1">
      <c r="A50" s="701">
        <v>100</v>
      </c>
      <c r="B50" s="707">
        <v>100</v>
      </c>
      <c r="C50" s="707">
        <v>100</v>
      </c>
      <c r="D50" s="702">
        <v>30</v>
      </c>
      <c r="E50" s="702"/>
      <c r="F50" s="703"/>
      <c r="G50" s="97" t="s">
        <v>553</v>
      </c>
      <c r="H50" s="705"/>
      <c r="I50" s="705">
        <v>0</v>
      </c>
      <c r="J50" s="706"/>
    </row>
    <row r="51" spans="1:10" s="58" customFormat="1">
      <c r="A51" s="701">
        <v>100</v>
      </c>
      <c r="B51" s="707">
        <v>100</v>
      </c>
      <c r="C51" s="702">
        <v>200</v>
      </c>
      <c r="D51" s="702"/>
      <c r="E51" s="702"/>
      <c r="F51" s="703"/>
      <c r="G51" s="704" t="s">
        <v>561</v>
      </c>
      <c r="H51" s="705"/>
      <c r="I51" s="705">
        <v>0</v>
      </c>
      <c r="J51" s="706" t="s">
        <v>2467</v>
      </c>
    </row>
    <row r="52" spans="1:10" s="58" customFormat="1">
      <c r="A52" s="701">
        <v>100</v>
      </c>
      <c r="B52" s="707">
        <v>100</v>
      </c>
      <c r="C52" s="707">
        <v>300</v>
      </c>
      <c r="D52" s="707"/>
      <c r="E52" s="707"/>
      <c r="F52" s="708"/>
      <c r="G52" s="709" t="s">
        <v>569</v>
      </c>
      <c r="H52" s="710"/>
      <c r="I52" s="710"/>
      <c r="J52" s="706" t="s">
        <v>2469</v>
      </c>
    </row>
    <row r="53" spans="1:10" s="58" customFormat="1">
      <c r="A53" s="701">
        <v>100</v>
      </c>
      <c r="B53" s="707">
        <v>100</v>
      </c>
      <c r="C53" s="707">
        <v>300</v>
      </c>
      <c r="D53" s="702">
        <v>10</v>
      </c>
      <c r="E53" s="702"/>
      <c r="F53" s="703"/>
      <c r="G53" s="97" t="s">
        <v>569</v>
      </c>
      <c r="H53" s="705">
        <v>817184.24</v>
      </c>
      <c r="I53" s="705">
        <v>824187.90305999992</v>
      </c>
      <c r="J53" s="706"/>
    </row>
    <row r="54" spans="1:10" s="58" customFormat="1">
      <c r="A54" s="701">
        <v>100</v>
      </c>
      <c r="B54" s="707">
        <v>100</v>
      </c>
      <c r="C54" s="707">
        <v>300</v>
      </c>
      <c r="D54" s="702">
        <v>20</v>
      </c>
      <c r="E54" s="702"/>
      <c r="F54" s="703"/>
      <c r="G54" s="97" t="s">
        <v>573</v>
      </c>
      <c r="H54" s="705">
        <v>24225.69</v>
      </c>
      <c r="I54" s="705">
        <v>88733.45</v>
      </c>
      <c r="J54" s="706"/>
    </row>
    <row r="55" spans="1:10" s="58" customFormat="1">
      <c r="A55" s="701">
        <v>100</v>
      </c>
      <c r="B55" s="707">
        <v>100</v>
      </c>
      <c r="C55" s="707">
        <v>300</v>
      </c>
      <c r="D55" s="702">
        <v>30</v>
      </c>
      <c r="E55" s="702"/>
      <c r="F55" s="703"/>
      <c r="G55" s="97" t="s">
        <v>575</v>
      </c>
      <c r="H55" s="705">
        <v>4172195.55</v>
      </c>
      <c r="I55" s="705">
        <v>2470646.06</v>
      </c>
      <c r="J55" s="706"/>
    </row>
    <row r="56" spans="1:10" s="58" customFormat="1">
      <c r="A56" s="701">
        <v>100</v>
      </c>
      <c r="B56" s="707">
        <v>100</v>
      </c>
      <c r="C56" s="702">
        <v>400</v>
      </c>
      <c r="D56" s="702"/>
      <c r="E56" s="702"/>
      <c r="F56" s="703"/>
      <c r="G56" s="704" t="s">
        <v>577</v>
      </c>
      <c r="H56" s="705">
        <v>19336.57</v>
      </c>
      <c r="I56" s="705">
        <v>19225.335200000001</v>
      </c>
      <c r="J56" s="706" t="s">
        <v>2471</v>
      </c>
    </row>
    <row r="57" spans="1:10" s="58" customFormat="1">
      <c r="A57" s="701">
        <v>100</v>
      </c>
      <c r="B57" s="707">
        <v>100</v>
      </c>
      <c r="C57" s="702">
        <v>500</v>
      </c>
      <c r="D57" s="702"/>
      <c r="E57" s="702"/>
      <c r="F57" s="703"/>
      <c r="G57" s="704" t="s">
        <v>579</v>
      </c>
      <c r="H57" s="705"/>
      <c r="I57" s="705">
        <v>0</v>
      </c>
      <c r="J57" s="706" t="s">
        <v>2473</v>
      </c>
    </row>
    <row r="58" spans="1:10" s="58" customFormat="1">
      <c r="A58" s="701">
        <v>100</v>
      </c>
      <c r="B58" s="707">
        <v>100</v>
      </c>
      <c r="C58" s="702">
        <v>600</v>
      </c>
      <c r="D58" s="702"/>
      <c r="E58" s="702"/>
      <c r="F58" s="703"/>
      <c r="G58" s="704" t="s">
        <v>581</v>
      </c>
      <c r="H58" s="705">
        <v>16598.38</v>
      </c>
      <c r="I58" s="705">
        <v>15784.74</v>
      </c>
      <c r="J58" s="706" t="s">
        <v>2475</v>
      </c>
    </row>
    <row r="59" spans="1:10" s="58" customFormat="1">
      <c r="A59" s="701">
        <v>100</v>
      </c>
      <c r="B59" s="707">
        <v>100</v>
      </c>
      <c r="C59" s="702">
        <v>700</v>
      </c>
      <c r="D59" s="702"/>
      <c r="E59" s="702"/>
      <c r="F59" s="703"/>
      <c r="G59" s="704" t="s">
        <v>583</v>
      </c>
      <c r="H59" s="705">
        <v>288.25</v>
      </c>
      <c r="I59" s="705">
        <v>288.25</v>
      </c>
      <c r="J59" s="706" t="s">
        <v>2477</v>
      </c>
    </row>
    <row r="60" spans="1:10" s="58" customFormat="1">
      <c r="A60" s="701">
        <v>100</v>
      </c>
      <c r="B60" s="707">
        <v>100</v>
      </c>
      <c r="C60" s="702">
        <v>800</v>
      </c>
      <c r="D60" s="702"/>
      <c r="E60" s="702"/>
      <c r="F60" s="703"/>
      <c r="G60" s="704" t="s">
        <v>585</v>
      </c>
      <c r="H60" s="705">
        <v>56713.52</v>
      </c>
      <c r="I60" s="705">
        <v>23590.914199999999</v>
      </c>
      <c r="J60" s="706" t="s">
        <v>2479</v>
      </c>
    </row>
    <row r="61" spans="1:10" s="58" customFormat="1">
      <c r="A61" s="701">
        <v>100</v>
      </c>
      <c r="B61" s="707">
        <v>100</v>
      </c>
      <c r="C61" s="702">
        <v>900</v>
      </c>
      <c r="D61" s="702"/>
      <c r="E61" s="702"/>
      <c r="F61" s="703"/>
      <c r="G61" s="704" t="s">
        <v>2959</v>
      </c>
      <c r="H61" s="705"/>
      <c r="I61" s="705">
        <v>0</v>
      </c>
      <c r="J61" s="706" t="s">
        <v>2481</v>
      </c>
    </row>
    <row r="62" spans="1:10" s="58" customFormat="1">
      <c r="A62" s="701">
        <v>100</v>
      </c>
      <c r="B62" s="707">
        <v>200</v>
      </c>
      <c r="C62" s="707"/>
      <c r="D62" s="707"/>
      <c r="E62" s="707"/>
      <c r="F62" s="708"/>
      <c r="G62" s="709" t="s">
        <v>2181</v>
      </c>
      <c r="H62" s="710"/>
      <c r="I62" s="710"/>
      <c r="J62" s="706"/>
    </row>
    <row r="63" spans="1:10" s="58" customFormat="1">
      <c r="A63" s="701">
        <v>100</v>
      </c>
      <c r="B63" s="707">
        <v>200</v>
      </c>
      <c r="C63" s="702">
        <v>100</v>
      </c>
      <c r="D63" s="702"/>
      <c r="E63" s="702"/>
      <c r="F63" s="703"/>
      <c r="G63" s="704" t="s">
        <v>599</v>
      </c>
      <c r="H63" s="705">
        <v>1771.4</v>
      </c>
      <c r="I63" s="705">
        <v>1783.3687999999997</v>
      </c>
      <c r="J63" s="706" t="s">
        <v>2485</v>
      </c>
    </row>
    <row r="64" spans="1:10" s="58" customFormat="1">
      <c r="A64" s="701">
        <v>100</v>
      </c>
      <c r="B64" s="707">
        <v>200</v>
      </c>
      <c r="C64" s="702">
        <v>200</v>
      </c>
      <c r="D64" s="702"/>
      <c r="E64" s="702"/>
      <c r="F64" s="703"/>
      <c r="G64" s="704" t="s">
        <v>2960</v>
      </c>
      <c r="H64" s="705">
        <v>527381.21</v>
      </c>
      <c r="I64" s="705">
        <v>85173.544779999997</v>
      </c>
      <c r="J64" s="706" t="s">
        <v>2487</v>
      </c>
    </row>
    <row r="65" spans="1:10" s="58" customFormat="1">
      <c r="A65" s="701">
        <v>100</v>
      </c>
      <c r="B65" s="707">
        <v>200</v>
      </c>
      <c r="C65" s="702">
        <v>300</v>
      </c>
      <c r="D65" s="702"/>
      <c r="E65" s="702"/>
      <c r="F65" s="703"/>
      <c r="G65" s="704" t="s">
        <v>603</v>
      </c>
      <c r="H65" s="705"/>
      <c r="I65" s="705">
        <v>0</v>
      </c>
      <c r="J65" s="706" t="s">
        <v>2489</v>
      </c>
    </row>
    <row r="66" spans="1:10" s="58" customFormat="1">
      <c r="A66" s="701">
        <v>100</v>
      </c>
      <c r="B66" s="707">
        <v>200</v>
      </c>
      <c r="C66" s="702">
        <v>400</v>
      </c>
      <c r="D66" s="702"/>
      <c r="E66" s="702"/>
      <c r="F66" s="703"/>
      <c r="G66" s="704" t="s">
        <v>605</v>
      </c>
      <c r="H66" s="705">
        <v>67852.33</v>
      </c>
      <c r="I66" s="705">
        <v>57397.686020000001</v>
      </c>
      <c r="J66" s="706" t="s">
        <v>2491</v>
      </c>
    </row>
    <row r="67" spans="1:10" s="58" customFormat="1">
      <c r="A67" s="701">
        <v>100</v>
      </c>
      <c r="B67" s="707">
        <v>200</v>
      </c>
      <c r="C67" s="702">
        <v>500</v>
      </c>
      <c r="D67" s="702"/>
      <c r="E67" s="702"/>
      <c r="F67" s="703"/>
      <c r="G67" s="704" t="s">
        <v>610</v>
      </c>
      <c r="H67" s="705">
        <v>3943.53</v>
      </c>
      <c r="I67" s="705">
        <v>51513.38</v>
      </c>
      <c r="J67" s="706" t="s">
        <v>2493</v>
      </c>
    </row>
    <row r="68" spans="1:10" s="58" customFormat="1">
      <c r="A68" s="701">
        <v>100</v>
      </c>
      <c r="B68" s="707">
        <v>200</v>
      </c>
      <c r="C68" s="702">
        <v>600</v>
      </c>
      <c r="D68" s="702"/>
      <c r="E68" s="702"/>
      <c r="F68" s="703"/>
      <c r="G68" s="704" t="s">
        <v>614</v>
      </c>
      <c r="H68" s="705">
        <v>11561.72</v>
      </c>
      <c r="I68" s="705">
        <v>6326.25</v>
      </c>
      <c r="J68" s="706" t="s">
        <v>2495</v>
      </c>
    </row>
    <row r="69" spans="1:10" s="58" customFormat="1">
      <c r="A69" s="701">
        <v>100</v>
      </c>
      <c r="B69" s="707">
        <v>200</v>
      </c>
      <c r="C69" s="702">
        <v>700</v>
      </c>
      <c r="D69" s="702"/>
      <c r="E69" s="702"/>
      <c r="F69" s="703"/>
      <c r="G69" s="704" t="s">
        <v>2961</v>
      </c>
      <c r="H69" s="705"/>
      <c r="I69" s="705">
        <v>0</v>
      </c>
      <c r="J69" s="706" t="s">
        <v>2497</v>
      </c>
    </row>
    <row r="70" spans="1:10" s="62" customFormat="1">
      <c r="A70" s="711">
        <v>110</v>
      </c>
      <c r="B70" s="712">
        <v>0</v>
      </c>
      <c r="C70" s="712">
        <v>0</v>
      </c>
      <c r="D70" s="712">
        <v>0</v>
      </c>
      <c r="E70" s="712">
        <v>0</v>
      </c>
      <c r="F70" s="732"/>
      <c r="G70" s="714" t="s">
        <v>2962</v>
      </c>
      <c r="H70" s="733"/>
      <c r="I70" s="733"/>
      <c r="J70" s="92"/>
    </row>
    <row r="71" spans="1:10" s="58" customFormat="1">
      <c r="A71" s="701">
        <v>110</v>
      </c>
      <c r="B71" s="707">
        <v>100</v>
      </c>
      <c r="C71" s="707"/>
      <c r="D71" s="707"/>
      <c r="E71" s="707"/>
      <c r="F71" s="708"/>
      <c r="G71" s="709" t="s">
        <v>2185</v>
      </c>
      <c r="H71" s="710"/>
      <c r="I71" s="710"/>
      <c r="J71" s="706"/>
    </row>
    <row r="72" spans="1:10" s="58" customFormat="1">
      <c r="A72" s="701">
        <v>110</v>
      </c>
      <c r="B72" s="707">
        <v>100</v>
      </c>
      <c r="C72" s="702">
        <v>50</v>
      </c>
      <c r="D72" s="702"/>
      <c r="E72" s="707"/>
      <c r="F72" s="708"/>
      <c r="G72" s="704" t="s">
        <v>2963</v>
      </c>
      <c r="H72" s="705"/>
      <c r="I72" s="705">
        <v>0</v>
      </c>
      <c r="J72" s="706" t="s">
        <v>2503</v>
      </c>
    </row>
    <row r="73" spans="1:10" s="58" customFormat="1">
      <c r="A73" s="701">
        <v>110</v>
      </c>
      <c r="B73" s="707">
        <v>100</v>
      </c>
      <c r="C73" s="702">
        <v>100</v>
      </c>
      <c r="D73" s="702"/>
      <c r="E73" s="702"/>
      <c r="F73" s="703"/>
      <c r="G73" s="704" t="s">
        <v>2964</v>
      </c>
      <c r="H73" s="705"/>
      <c r="I73" s="705">
        <v>0</v>
      </c>
      <c r="J73" s="706" t="s">
        <v>2505</v>
      </c>
    </row>
    <row r="74" spans="1:10" s="58" customFormat="1">
      <c r="A74" s="701">
        <v>110</v>
      </c>
      <c r="B74" s="707">
        <v>100</v>
      </c>
      <c r="C74" s="702">
        <v>200</v>
      </c>
      <c r="D74" s="702"/>
      <c r="E74" s="702"/>
      <c r="F74" s="703"/>
      <c r="G74" s="704" t="s">
        <v>2965</v>
      </c>
      <c r="H74" s="705"/>
      <c r="I74" s="705">
        <v>0</v>
      </c>
      <c r="J74" s="706" t="s">
        <v>2507</v>
      </c>
    </row>
    <row r="75" spans="1:10" s="58" customFormat="1">
      <c r="A75" s="701">
        <v>110</v>
      </c>
      <c r="B75" s="707">
        <v>100</v>
      </c>
      <c r="C75" s="702">
        <v>300</v>
      </c>
      <c r="D75" s="702"/>
      <c r="E75" s="702"/>
      <c r="F75" s="703"/>
      <c r="G75" s="704" t="s">
        <v>2966</v>
      </c>
      <c r="H75" s="705">
        <v>44466.720000000001</v>
      </c>
      <c r="I75" s="705">
        <v>44466.720000000001</v>
      </c>
      <c r="J75" s="706" t="s">
        <v>2509</v>
      </c>
    </row>
    <row r="76" spans="1:10" s="58" customFormat="1">
      <c r="A76" s="701">
        <v>110</v>
      </c>
      <c r="B76" s="707">
        <v>100</v>
      </c>
      <c r="C76" s="702">
        <v>400</v>
      </c>
      <c r="D76" s="702"/>
      <c r="E76" s="702"/>
      <c r="F76" s="703"/>
      <c r="G76" s="704" t="s">
        <v>2967</v>
      </c>
      <c r="H76" s="705"/>
      <c r="I76" s="705">
        <v>0</v>
      </c>
      <c r="J76" s="706" t="s">
        <v>2511</v>
      </c>
    </row>
    <row r="77" spans="1:10" s="58" customFormat="1">
      <c r="A77" s="701">
        <v>110</v>
      </c>
      <c r="B77" s="707">
        <v>100</v>
      </c>
      <c r="C77" s="702">
        <v>500</v>
      </c>
      <c r="D77" s="702"/>
      <c r="E77" s="702"/>
      <c r="F77" s="703"/>
      <c r="G77" s="704" t="s">
        <v>2968</v>
      </c>
      <c r="H77" s="705"/>
      <c r="I77" s="705">
        <v>0</v>
      </c>
      <c r="J77" s="706" t="s">
        <v>2513</v>
      </c>
    </row>
    <row r="78" spans="1:10" s="58" customFormat="1">
      <c r="A78" s="701">
        <v>110</v>
      </c>
      <c r="B78" s="707">
        <v>100</v>
      </c>
      <c r="C78" s="707">
        <v>600</v>
      </c>
      <c r="D78" s="707"/>
      <c r="E78" s="707"/>
      <c r="F78" s="708"/>
      <c r="G78" s="709" t="s">
        <v>2969</v>
      </c>
      <c r="H78" s="710"/>
      <c r="I78" s="710"/>
      <c r="J78" s="706" t="s">
        <v>2515</v>
      </c>
    </row>
    <row r="79" spans="1:10" s="58" customFormat="1">
      <c r="A79" s="701">
        <v>110</v>
      </c>
      <c r="B79" s="707">
        <v>100</v>
      </c>
      <c r="C79" s="707">
        <v>600</v>
      </c>
      <c r="D79" s="702">
        <v>100</v>
      </c>
      <c r="E79" s="702"/>
      <c r="F79" s="703"/>
      <c r="G79" s="704" t="s">
        <v>2969</v>
      </c>
      <c r="H79" s="705">
        <v>657352.67000000004</v>
      </c>
      <c r="I79" s="705">
        <v>719074.03</v>
      </c>
      <c r="J79" s="706"/>
    </row>
    <row r="80" spans="1:10" s="58" customFormat="1">
      <c r="A80" s="701">
        <v>110</v>
      </c>
      <c r="B80" s="707">
        <v>100</v>
      </c>
      <c r="C80" s="707">
        <v>600</v>
      </c>
      <c r="D80" s="702">
        <v>800</v>
      </c>
      <c r="E80" s="702"/>
      <c r="F80" s="703"/>
      <c r="G80" s="704" t="s">
        <v>2970</v>
      </c>
      <c r="H80" s="705">
        <v>10046</v>
      </c>
      <c r="I80" s="705">
        <v>1425.9</v>
      </c>
      <c r="J80" s="706"/>
    </row>
    <row r="81" spans="1:10" s="58" customFormat="1">
      <c r="A81" s="701">
        <v>110</v>
      </c>
      <c r="B81" s="707">
        <v>100</v>
      </c>
      <c r="C81" s="707">
        <v>600</v>
      </c>
      <c r="D81" s="702">
        <v>900</v>
      </c>
      <c r="E81" s="702"/>
      <c r="F81" s="703"/>
      <c r="G81" s="704" t="s">
        <v>3472</v>
      </c>
      <c r="H81" s="705"/>
      <c r="I81" s="705">
        <v>0</v>
      </c>
      <c r="J81" s="706"/>
    </row>
    <row r="82" spans="1:10" s="58" customFormat="1">
      <c r="A82" s="701">
        <v>110</v>
      </c>
      <c r="B82" s="707">
        <v>100</v>
      </c>
      <c r="C82" s="707">
        <v>650</v>
      </c>
      <c r="D82" s="702"/>
      <c r="E82" s="707"/>
      <c r="F82" s="708"/>
      <c r="G82" s="704" t="s">
        <v>2971</v>
      </c>
      <c r="H82" s="705"/>
      <c r="I82" s="705">
        <v>0</v>
      </c>
      <c r="J82" s="706" t="s">
        <v>2517</v>
      </c>
    </row>
    <row r="83" spans="1:10" s="58" customFormat="1">
      <c r="A83" s="701">
        <v>110</v>
      </c>
      <c r="B83" s="707">
        <v>100</v>
      </c>
      <c r="C83" s="702">
        <v>700</v>
      </c>
      <c r="D83" s="702"/>
      <c r="E83" s="702"/>
      <c r="F83" s="703"/>
      <c r="G83" s="704" t="s">
        <v>2972</v>
      </c>
      <c r="H83" s="705"/>
      <c r="I83" s="705">
        <v>0</v>
      </c>
      <c r="J83" s="706" t="s">
        <v>2519</v>
      </c>
    </row>
    <row r="84" spans="1:10" s="58" customFormat="1">
      <c r="A84" s="701">
        <v>110</v>
      </c>
      <c r="B84" s="707">
        <v>100</v>
      </c>
      <c r="C84" s="707">
        <v>800</v>
      </c>
      <c r="D84" s="707"/>
      <c r="E84" s="707"/>
      <c r="F84" s="708"/>
      <c r="G84" s="709" t="s">
        <v>2190</v>
      </c>
      <c r="H84" s="710"/>
      <c r="I84" s="710"/>
      <c r="J84" s="706"/>
    </row>
    <row r="85" spans="1:10" s="58" customFormat="1">
      <c r="A85" s="701">
        <v>110</v>
      </c>
      <c r="B85" s="707">
        <v>100</v>
      </c>
      <c r="C85" s="707">
        <v>800</v>
      </c>
      <c r="D85" s="702">
        <v>100</v>
      </c>
      <c r="E85" s="702"/>
      <c r="F85" s="703"/>
      <c r="G85" s="704" t="s">
        <v>2973</v>
      </c>
      <c r="H85" s="705">
        <v>20271.169999999998</v>
      </c>
      <c r="I85" s="705">
        <v>20271.169999999998</v>
      </c>
      <c r="J85" s="706" t="s">
        <v>2523</v>
      </c>
    </row>
    <row r="86" spans="1:10" s="58" customFormat="1">
      <c r="A86" s="701">
        <v>110</v>
      </c>
      <c r="B86" s="707">
        <v>100</v>
      </c>
      <c r="C86" s="707">
        <v>800</v>
      </c>
      <c r="D86" s="702">
        <v>200</v>
      </c>
      <c r="E86" s="702"/>
      <c r="F86" s="703"/>
      <c r="G86" s="704" t="s">
        <v>2974</v>
      </c>
      <c r="H86" s="705"/>
      <c r="I86" s="705">
        <v>0</v>
      </c>
      <c r="J86" s="706" t="s">
        <v>2525</v>
      </c>
    </row>
    <row r="87" spans="1:10" s="58" customFormat="1">
      <c r="A87" s="701">
        <v>110</v>
      </c>
      <c r="B87" s="707">
        <v>100</v>
      </c>
      <c r="C87" s="707">
        <v>800</v>
      </c>
      <c r="D87" s="707">
        <v>300</v>
      </c>
      <c r="E87" s="707"/>
      <c r="F87" s="708"/>
      <c r="G87" s="709" t="s">
        <v>2193</v>
      </c>
      <c r="H87" s="710"/>
      <c r="I87" s="710"/>
      <c r="J87" s="706" t="s">
        <v>2527</v>
      </c>
    </row>
    <row r="88" spans="1:10" s="58" customFormat="1">
      <c r="A88" s="701">
        <v>110</v>
      </c>
      <c r="B88" s="707">
        <v>100</v>
      </c>
      <c r="C88" s="707">
        <v>800</v>
      </c>
      <c r="D88" s="707">
        <v>300</v>
      </c>
      <c r="E88" s="702">
        <v>10</v>
      </c>
      <c r="F88" s="703"/>
      <c r="G88" s="704" t="s">
        <v>2975</v>
      </c>
      <c r="H88" s="705"/>
      <c r="I88" s="705">
        <v>0</v>
      </c>
      <c r="J88" s="706"/>
    </row>
    <row r="89" spans="1:10" s="58" customFormat="1">
      <c r="A89" s="701">
        <v>110</v>
      </c>
      <c r="B89" s="707">
        <v>100</v>
      </c>
      <c r="C89" s="707">
        <v>800</v>
      </c>
      <c r="D89" s="707">
        <v>300</v>
      </c>
      <c r="E89" s="702">
        <v>20</v>
      </c>
      <c r="F89" s="703"/>
      <c r="G89" s="704" t="s">
        <v>2976</v>
      </c>
      <c r="H89" s="705"/>
      <c r="I89" s="705">
        <v>12591.9</v>
      </c>
      <c r="J89" s="706"/>
    </row>
    <row r="90" spans="1:10" s="58" customFormat="1">
      <c r="A90" s="701">
        <v>110</v>
      </c>
      <c r="B90" s="707">
        <v>100</v>
      </c>
      <c r="C90" s="707">
        <v>800</v>
      </c>
      <c r="D90" s="707">
        <v>300</v>
      </c>
      <c r="E90" s="702">
        <v>90</v>
      </c>
      <c r="F90" s="708"/>
      <c r="G90" s="704" t="s">
        <v>2977</v>
      </c>
      <c r="H90" s="705">
        <v>7183.68</v>
      </c>
      <c r="I90" s="705">
        <v>7074.66</v>
      </c>
      <c r="J90" s="706"/>
    </row>
    <row r="91" spans="1:10" s="58" customFormat="1">
      <c r="A91" s="701">
        <v>110</v>
      </c>
      <c r="B91" s="707">
        <v>100</v>
      </c>
      <c r="C91" s="707">
        <v>800</v>
      </c>
      <c r="D91" s="702">
        <v>400</v>
      </c>
      <c r="E91" s="707"/>
      <c r="F91" s="708"/>
      <c r="G91" s="704" t="s">
        <v>2978</v>
      </c>
      <c r="H91" s="705"/>
      <c r="I91" s="705">
        <v>0</v>
      </c>
      <c r="J91" s="706" t="s">
        <v>2529</v>
      </c>
    </row>
    <row r="92" spans="1:10" s="58" customFormat="1">
      <c r="A92" s="701">
        <v>110</v>
      </c>
      <c r="B92" s="707">
        <v>100</v>
      </c>
      <c r="C92" s="707">
        <v>900</v>
      </c>
      <c r="D92" s="707"/>
      <c r="E92" s="707"/>
      <c r="F92" s="708"/>
      <c r="G92" s="709" t="s">
        <v>2195</v>
      </c>
      <c r="H92" s="710"/>
      <c r="I92" s="710"/>
      <c r="J92" s="706" t="s">
        <v>2531</v>
      </c>
    </row>
    <row r="93" spans="1:10" s="58" customFormat="1">
      <c r="A93" s="701">
        <v>110</v>
      </c>
      <c r="B93" s="707">
        <v>100</v>
      </c>
      <c r="C93" s="707">
        <v>900</v>
      </c>
      <c r="D93" s="702">
        <v>100</v>
      </c>
      <c r="E93" s="702"/>
      <c r="F93" s="703"/>
      <c r="G93" s="704" t="s">
        <v>2979</v>
      </c>
      <c r="H93" s="705">
        <v>763.44</v>
      </c>
      <c r="I93" s="705">
        <v>210.88</v>
      </c>
      <c r="J93" s="706"/>
    </row>
    <row r="94" spans="1:10" s="58" customFormat="1">
      <c r="A94" s="701">
        <v>110</v>
      </c>
      <c r="B94" s="707">
        <v>100</v>
      </c>
      <c r="C94" s="707">
        <v>900</v>
      </c>
      <c r="D94" s="702">
        <v>800</v>
      </c>
      <c r="E94" s="702"/>
      <c r="F94" s="703"/>
      <c r="G94" s="704" t="s">
        <v>2970</v>
      </c>
      <c r="H94" s="705">
        <v>1548.82</v>
      </c>
      <c r="I94" s="705">
        <v>4812.3999999999996</v>
      </c>
      <c r="J94" s="706"/>
    </row>
    <row r="95" spans="1:10" s="58" customFormat="1">
      <c r="A95" s="701">
        <v>110</v>
      </c>
      <c r="B95" s="707">
        <v>100</v>
      </c>
      <c r="C95" s="707">
        <v>900</v>
      </c>
      <c r="D95" s="702">
        <v>900</v>
      </c>
      <c r="E95" s="702"/>
      <c r="F95" s="703"/>
      <c r="G95" s="704" t="s">
        <v>3472</v>
      </c>
      <c r="H95" s="705"/>
      <c r="I95" s="705">
        <v>0</v>
      </c>
      <c r="J95" s="706"/>
    </row>
    <row r="96" spans="1:10" s="58" customFormat="1">
      <c r="A96" s="701">
        <v>110</v>
      </c>
      <c r="B96" s="707">
        <v>200</v>
      </c>
      <c r="C96" s="707"/>
      <c r="D96" s="707"/>
      <c r="E96" s="707"/>
      <c r="F96" s="708"/>
      <c r="G96" s="709" t="s">
        <v>2196</v>
      </c>
      <c r="H96" s="710"/>
      <c r="I96" s="710"/>
      <c r="J96" s="706" t="s">
        <v>2533</v>
      </c>
    </row>
    <row r="97" spans="1:10" s="58" customFormat="1">
      <c r="A97" s="701">
        <v>110</v>
      </c>
      <c r="B97" s="707">
        <v>200</v>
      </c>
      <c r="C97" s="707">
        <v>100</v>
      </c>
      <c r="D97" s="702"/>
      <c r="E97" s="707"/>
      <c r="F97" s="708"/>
      <c r="G97" s="709" t="s">
        <v>2198</v>
      </c>
      <c r="H97" s="710"/>
      <c r="I97" s="710"/>
      <c r="J97" s="706" t="s">
        <v>2535</v>
      </c>
    </row>
    <row r="98" spans="1:10" s="58" customFormat="1">
      <c r="A98" s="701">
        <v>110</v>
      </c>
      <c r="B98" s="707">
        <v>200</v>
      </c>
      <c r="C98" s="707">
        <v>100</v>
      </c>
      <c r="D98" s="702">
        <v>200</v>
      </c>
      <c r="E98" s="702"/>
      <c r="F98" s="703"/>
      <c r="G98" s="704" t="s">
        <v>2980</v>
      </c>
      <c r="H98" s="705">
        <v>72448.53</v>
      </c>
      <c r="I98" s="705">
        <v>221347.47</v>
      </c>
      <c r="J98" s="706" t="s">
        <v>2538</v>
      </c>
    </row>
    <row r="99" spans="1:10" s="58" customFormat="1">
      <c r="A99" s="701">
        <v>110</v>
      </c>
      <c r="B99" s="707">
        <v>200</v>
      </c>
      <c r="C99" s="707">
        <v>100</v>
      </c>
      <c r="D99" s="702">
        <v>300</v>
      </c>
      <c r="E99" s="702"/>
      <c r="F99" s="703"/>
      <c r="G99" s="704" t="s">
        <v>2981</v>
      </c>
      <c r="H99" s="705"/>
      <c r="I99" s="705">
        <v>0</v>
      </c>
      <c r="J99" s="706" t="s">
        <v>2540</v>
      </c>
    </row>
    <row r="100" spans="1:10" s="58" customFormat="1">
      <c r="A100" s="701">
        <v>110</v>
      </c>
      <c r="B100" s="707">
        <v>200</v>
      </c>
      <c r="C100" s="707">
        <v>100</v>
      </c>
      <c r="D100" s="702">
        <v>400</v>
      </c>
      <c r="E100" s="702"/>
      <c r="F100" s="703"/>
      <c r="G100" s="704" t="s">
        <v>2982</v>
      </c>
      <c r="H100" s="705">
        <v>2062756.88</v>
      </c>
      <c r="I100" s="705">
        <v>2062756.88</v>
      </c>
      <c r="J100" s="706" t="s">
        <v>2542</v>
      </c>
    </row>
    <row r="101" spans="1:10" s="58" customFormat="1">
      <c r="A101" s="701">
        <v>110</v>
      </c>
      <c r="B101" s="707">
        <v>200</v>
      </c>
      <c r="C101" s="707">
        <v>100</v>
      </c>
      <c r="D101" s="702">
        <v>500</v>
      </c>
      <c r="E101" s="702"/>
      <c r="F101" s="703"/>
      <c r="G101" s="704" t="s">
        <v>2983</v>
      </c>
      <c r="H101" s="705"/>
      <c r="I101" s="705">
        <v>0</v>
      </c>
      <c r="J101" s="706" t="s">
        <v>2544</v>
      </c>
    </row>
    <row r="102" spans="1:10" s="58" customFormat="1" ht="25.5">
      <c r="A102" s="701">
        <v>110</v>
      </c>
      <c r="B102" s="707">
        <v>200</v>
      </c>
      <c r="C102" s="707">
        <v>100</v>
      </c>
      <c r="D102" s="702">
        <v>600</v>
      </c>
      <c r="E102" s="702"/>
      <c r="F102" s="703"/>
      <c r="G102" s="704" t="s">
        <v>2984</v>
      </c>
      <c r="H102" s="705"/>
      <c r="I102" s="705">
        <v>0</v>
      </c>
      <c r="J102" s="706" t="s">
        <v>2546</v>
      </c>
    </row>
    <row r="103" spans="1:10" s="58" customFormat="1" ht="25.5">
      <c r="A103" s="701">
        <v>110</v>
      </c>
      <c r="B103" s="707">
        <v>200</v>
      </c>
      <c r="C103" s="707">
        <v>100</v>
      </c>
      <c r="D103" s="702">
        <v>700</v>
      </c>
      <c r="E103" s="702"/>
      <c r="F103" s="703"/>
      <c r="G103" s="704" t="s">
        <v>2985</v>
      </c>
      <c r="H103" s="705"/>
      <c r="I103" s="705">
        <v>0</v>
      </c>
      <c r="J103" s="706" t="s">
        <v>2548</v>
      </c>
    </row>
    <row r="104" spans="1:10" s="58" customFormat="1">
      <c r="A104" s="701">
        <v>110</v>
      </c>
      <c r="B104" s="707">
        <v>200</v>
      </c>
      <c r="C104" s="707">
        <v>100</v>
      </c>
      <c r="D104" s="702">
        <v>800</v>
      </c>
      <c r="E104" s="707"/>
      <c r="F104" s="708"/>
      <c r="G104" s="709" t="s">
        <v>2986</v>
      </c>
      <c r="H104" s="710"/>
      <c r="I104" s="710"/>
      <c r="J104" s="706" t="s">
        <v>2550</v>
      </c>
    </row>
    <row r="105" spans="1:10" s="58" customFormat="1">
      <c r="A105" s="701">
        <v>110</v>
      </c>
      <c r="B105" s="707">
        <v>200</v>
      </c>
      <c r="C105" s="707">
        <v>100</v>
      </c>
      <c r="D105" s="702">
        <v>800</v>
      </c>
      <c r="E105" s="702">
        <v>10</v>
      </c>
      <c r="F105" s="703"/>
      <c r="G105" s="704" t="s">
        <v>2986</v>
      </c>
      <c r="H105" s="705">
        <v>6405679.5700000003</v>
      </c>
      <c r="I105" s="705">
        <v>4380990.84</v>
      </c>
      <c r="J105" s="706"/>
    </row>
    <row r="106" spans="1:10" s="58" customFormat="1">
      <c r="A106" s="701">
        <v>110</v>
      </c>
      <c r="B106" s="707">
        <v>200</v>
      </c>
      <c r="C106" s="707">
        <v>100</v>
      </c>
      <c r="D106" s="702">
        <v>800</v>
      </c>
      <c r="E106" s="702">
        <v>80</v>
      </c>
      <c r="F106" s="703"/>
      <c r="G106" s="704" t="s">
        <v>2970</v>
      </c>
      <c r="H106" s="705">
        <v>112565.64</v>
      </c>
      <c r="I106" s="705">
        <v>114428.18000000001</v>
      </c>
      <c r="J106" s="706"/>
    </row>
    <row r="107" spans="1:10" s="58" customFormat="1">
      <c r="A107" s="701">
        <v>110</v>
      </c>
      <c r="B107" s="707">
        <v>200</v>
      </c>
      <c r="C107" s="707">
        <v>100</v>
      </c>
      <c r="D107" s="702">
        <v>800</v>
      </c>
      <c r="E107" s="702">
        <v>90</v>
      </c>
      <c r="F107" s="703"/>
      <c r="G107" s="704" t="s">
        <v>3472</v>
      </c>
      <c r="H107" s="705"/>
      <c r="I107" s="705">
        <v>0</v>
      </c>
      <c r="J107" s="706"/>
    </row>
    <row r="108" spans="1:10" s="58" customFormat="1" ht="25.5">
      <c r="A108" s="701">
        <v>110</v>
      </c>
      <c r="B108" s="707">
        <v>200</v>
      </c>
      <c r="C108" s="707">
        <v>100</v>
      </c>
      <c r="D108" s="702">
        <v>850</v>
      </c>
      <c r="E108" s="707"/>
      <c r="F108" s="708"/>
      <c r="G108" s="704" t="s">
        <v>2987</v>
      </c>
      <c r="H108" s="705"/>
      <c r="I108" s="705">
        <v>0</v>
      </c>
      <c r="J108" s="706" t="s">
        <v>2552</v>
      </c>
    </row>
    <row r="109" spans="1:10" s="58" customFormat="1">
      <c r="A109" s="701">
        <v>110</v>
      </c>
      <c r="B109" s="707">
        <v>200</v>
      </c>
      <c r="C109" s="707">
        <v>100</v>
      </c>
      <c r="D109" s="702">
        <v>900</v>
      </c>
      <c r="E109" s="707"/>
      <c r="F109" s="708"/>
      <c r="G109" s="709" t="s">
        <v>2203</v>
      </c>
      <c r="H109" s="710"/>
      <c r="I109" s="710"/>
      <c r="J109" s="706" t="s">
        <v>2554</v>
      </c>
    </row>
    <row r="110" spans="1:10" s="58" customFormat="1" ht="25.5">
      <c r="A110" s="701">
        <v>110</v>
      </c>
      <c r="B110" s="707">
        <v>200</v>
      </c>
      <c r="C110" s="707">
        <v>100</v>
      </c>
      <c r="D110" s="702">
        <v>900</v>
      </c>
      <c r="E110" s="702">
        <v>10</v>
      </c>
      <c r="F110" s="703"/>
      <c r="G110" s="704" t="s">
        <v>2988</v>
      </c>
      <c r="H110" s="705">
        <v>60147.08</v>
      </c>
      <c r="I110" s="705">
        <v>0</v>
      </c>
      <c r="J110" s="706"/>
    </row>
    <row r="111" spans="1:10" s="58" customFormat="1" ht="25.5">
      <c r="A111" s="701">
        <v>110</v>
      </c>
      <c r="B111" s="707">
        <v>200</v>
      </c>
      <c r="C111" s="707">
        <v>100</v>
      </c>
      <c r="D111" s="702">
        <v>900</v>
      </c>
      <c r="E111" s="702">
        <v>20</v>
      </c>
      <c r="F111" s="703"/>
      <c r="G111" s="704" t="s">
        <v>2989</v>
      </c>
      <c r="H111" s="705">
        <v>1795065.16</v>
      </c>
      <c r="I111" s="705">
        <v>1434627.3</v>
      </c>
      <c r="J111" s="706"/>
    </row>
    <row r="112" spans="1:10" s="58" customFormat="1">
      <c r="A112" s="701">
        <v>110</v>
      </c>
      <c r="B112" s="707">
        <v>200</v>
      </c>
      <c r="C112" s="707">
        <v>100</v>
      </c>
      <c r="D112" s="702">
        <v>900</v>
      </c>
      <c r="E112" s="702">
        <v>30</v>
      </c>
      <c r="F112" s="703"/>
      <c r="G112" s="704" t="s">
        <v>2990</v>
      </c>
      <c r="H112" s="705"/>
      <c r="I112" s="705">
        <v>0</v>
      </c>
      <c r="J112" s="706"/>
    </row>
    <row r="113" spans="1:10" s="58" customFormat="1">
      <c r="A113" s="701">
        <v>110</v>
      </c>
      <c r="B113" s="707">
        <v>200</v>
      </c>
      <c r="C113" s="707">
        <v>100</v>
      </c>
      <c r="D113" s="702">
        <v>900</v>
      </c>
      <c r="E113" s="734">
        <v>90</v>
      </c>
      <c r="F113" s="735"/>
      <c r="G113" s="704" t="s">
        <v>2991</v>
      </c>
      <c r="H113" s="705">
        <v>263869.33</v>
      </c>
      <c r="I113" s="705">
        <v>585128.06000000006</v>
      </c>
      <c r="J113" s="706"/>
    </row>
    <row r="114" spans="1:10" s="58" customFormat="1">
      <c r="A114" s="701">
        <v>110</v>
      </c>
      <c r="B114" s="707">
        <v>200</v>
      </c>
      <c r="C114" s="707">
        <v>100</v>
      </c>
      <c r="D114" s="702">
        <v>950</v>
      </c>
      <c r="E114" s="707"/>
      <c r="F114" s="708"/>
      <c r="G114" s="704" t="s">
        <v>2992</v>
      </c>
      <c r="H114" s="705"/>
      <c r="I114" s="705">
        <v>0</v>
      </c>
      <c r="J114" s="706" t="s">
        <v>2556</v>
      </c>
    </row>
    <row r="115" spans="1:10" s="58" customFormat="1">
      <c r="A115" s="701">
        <v>110</v>
      </c>
      <c r="B115" s="707">
        <v>200</v>
      </c>
      <c r="C115" s="707">
        <v>200</v>
      </c>
      <c r="D115" s="707"/>
      <c r="E115" s="707"/>
      <c r="F115" s="708"/>
      <c r="G115" s="709" t="s">
        <v>2993</v>
      </c>
      <c r="H115" s="710"/>
      <c r="I115" s="710"/>
      <c r="J115" s="706" t="s">
        <v>2558</v>
      </c>
    </row>
    <row r="116" spans="1:10" s="58" customFormat="1" ht="25.5">
      <c r="A116" s="701">
        <v>110</v>
      </c>
      <c r="B116" s="707">
        <v>200</v>
      </c>
      <c r="C116" s="707">
        <v>200</v>
      </c>
      <c r="D116" s="702">
        <v>100</v>
      </c>
      <c r="E116" s="702"/>
      <c r="F116" s="703"/>
      <c r="G116" s="704" t="s">
        <v>2205</v>
      </c>
      <c r="H116" s="705">
        <v>161623767.52000001</v>
      </c>
      <c r="I116" s="705">
        <v>159960856.29999998</v>
      </c>
      <c r="J116" s="706" t="s">
        <v>2560</v>
      </c>
    </row>
    <row r="117" spans="1:10" s="58" customFormat="1">
      <c r="A117" s="701">
        <v>110</v>
      </c>
      <c r="B117" s="707">
        <v>200</v>
      </c>
      <c r="C117" s="707">
        <v>200</v>
      </c>
      <c r="D117" s="702">
        <v>200</v>
      </c>
      <c r="E117" s="702"/>
      <c r="F117" s="703"/>
      <c r="G117" s="704" t="s">
        <v>2206</v>
      </c>
      <c r="H117" s="705"/>
      <c r="I117" s="705">
        <v>0</v>
      </c>
      <c r="J117" s="706" t="s">
        <v>2562</v>
      </c>
    </row>
    <row r="118" spans="1:10" s="58" customFormat="1">
      <c r="A118" s="701">
        <v>110</v>
      </c>
      <c r="B118" s="707">
        <v>200</v>
      </c>
      <c r="C118" s="707">
        <v>200</v>
      </c>
      <c r="D118" s="702">
        <v>300</v>
      </c>
      <c r="E118" s="702"/>
      <c r="F118" s="703"/>
      <c r="G118" s="704" t="s">
        <v>2207</v>
      </c>
      <c r="H118" s="705"/>
      <c r="I118" s="705">
        <v>0</v>
      </c>
      <c r="J118" s="706" t="s">
        <v>2564</v>
      </c>
    </row>
    <row r="119" spans="1:10" s="58" customFormat="1" ht="38.25">
      <c r="A119" s="701">
        <v>110</v>
      </c>
      <c r="B119" s="707">
        <v>200</v>
      </c>
      <c r="C119" s="707">
        <v>200</v>
      </c>
      <c r="D119" s="702">
        <v>350</v>
      </c>
      <c r="E119" s="707"/>
      <c r="F119" s="708"/>
      <c r="G119" s="704" t="s">
        <v>2994</v>
      </c>
      <c r="H119" s="705"/>
      <c r="I119" s="705">
        <v>0</v>
      </c>
      <c r="J119" s="706" t="s">
        <v>2566</v>
      </c>
    </row>
    <row r="120" spans="1:10" s="58" customFormat="1">
      <c r="A120" s="701">
        <v>110</v>
      </c>
      <c r="B120" s="707">
        <v>200</v>
      </c>
      <c r="C120" s="707">
        <v>200</v>
      </c>
      <c r="D120" s="702">
        <v>400</v>
      </c>
      <c r="E120" s="702"/>
      <c r="F120" s="703"/>
      <c r="G120" s="704" t="s">
        <v>2995</v>
      </c>
      <c r="H120" s="705"/>
      <c r="I120" s="705">
        <v>0</v>
      </c>
      <c r="J120" s="706" t="s">
        <v>2568</v>
      </c>
    </row>
    <row r="121" spans="1:10" s="58" customFormat="1" ht="25.5">
      <c r="A121" s="701">
        <v>110</v>
      </c>
      <c r="B121" s="707">
        <v>200</v>
      </c>
      <c r="C121" s="707">
        <v>200</v>
      </c>
      <c r="D121" s="702">
        <v>500</v>
      </c>
      <c r="E121" s="702"/>
      <c r="F121" s="703"/>
      <c r="G121" s="704" t="s">
        <v>2208</v>
      </c>
      <c r="H121" s="705"/>
      <c r="I121" s="705">
        <v>0</v>
      </c>
      <c r="J121" s="706" t="s">
        <v>2570</v>
      </c>
    </row>
    <row r="122" spans="1:10" s="58" customFormat="1">
      <c r="A122" s="701">
        <v>110</v>
      </c>
      <c r="B122" s="707">
        <v>200</v>
      </c>
      <c r="C122" s="707">
        <v>300</v>
      </c>
      <c r="D122" s="702"/>
      <c r="E122" s="707"/>
      <c r="F122" s="708"/>
      <c r="G122" s="704" t="s">
        <v>2996</v>
      </c>
      <c r="H122" s="705"/>
      <c r="I122" s="705">
        <v>0</v>
      </c>
      <c r="J122" s="706" t="s">
        <v>2572</v>
      </c>
    </row>
    <row r="123" spans="1:10" s="58" customFormat="1" ht="25.5">
      <c r="A123" s="701">
        <v>110</v>
      </c>
      <c r="B123" s="707">
        <v>200</v>
      </c>
      <c r="C123" s="707">
        <v>400</v>
      </c>
      <c r="D123" s="702"/>
      <c r="E123" s="707"/>
      <c r="F123" s="708"/>
      <c r="G123" s="704" t="s">
        <v>2997</v>
      </c>
      <c r="H123" s="705"/>
      <c r="I123" s="705">
        <v>0</v>
      </c>
      <c r="J123" s="706" t="s">
        <v>2574</v>
      </c>
    </row>
    <row r="124" spans="1:10" s="58" customFormat="1">
      <c r="A124" s="701">
        <v>110</v>
      </c>
      <c r="B124" s="707">
        <v>300</v>
      </c>
      <c r="C124" s="707"/>
      <c r="D124" s="707"/>
      <c r="E124" s="707"/>
      <c r="F124" s="708"/>
      <c r="G124" s="709" t="s">
        <v>2209</v>
      </c>
      <c r="H124" s="710"/>
      <c r="I124" s="710"/>
      <c r="J124" s="706" t="s">
        <v>2576</v>
      </c>
    </row>
    <row r="125" spans="1:10" s="58" customFormat="1">
      <c r="A125" s="701">
        <v>110</v>
      </c>
      <c r="B125" s="707">
        <v>300</v>
      </c>
      <c r="C125" s="702">
        <v>100</v>
      </c>
      <c r="D125" s="702"/>
      <c r="E125" s="702"/>
      <c r="F125" s="703"/>
      <c r="G125" s="704" t="s">
        <v>2998</v>
      </c>
      <c r="H125" s="705">
        <v>205281.2</v>
      </c>
      <c r="I125" s="705">
        <v>498248.86</v>
      </c>
      <c r="J125" s="706"/>
    </row>
    <row r="126" spans="1:10" s="58" customFormat="1">
      <c r="A126" s="701">
        <v>110</v>
      </c>
      <c r="B126" s="707">
        <v>300</v>
      </c>
      <c r="C126" s="702">
        <v>800</v>
      </c>
      <c r="D126" s="702"/>
      <c r="E126" s="702"/>
      <c r="F126" s="703"/>
      <c r="G126" s="704" t="s">
        <v>2970</v>
      </c>
      <c r="H126" s="705">
        <v>184675.28</v>
      </c>
      <c r="I126" s="705">
        <v>106822.71</v>
      </c>
      <c r="J126" s="706"/>
    </row>
    <row r="127" spans="1:10" s="58" customFormat="1">
      <c r="A127" s="701">
        <v>110</v>
      </c>
      <c r="B127" s="707">
        <v>300</v>
      </c>
      <c r="C127" s="702">
        <v>900</v>
      </c>
      <c r="D127" s="702"/>
      <c r="E127" s="702"/>
      <c r="F127" s="703"/>
      <c r="G127" s="704" t="s">
        <v>3472</v>
      </c>
      <c r="H127" s="705"/>
      <c r="I127" s="705">
        <v>0</v>
      </c>
      <c r="J127" s="706"/>
    </row>
    <row r="128" spans="1:10" s="58" customFormat="1">
      <c r="A128" s="701">
        <v>110</v>
      </c>
      <c r="B128" s="707">
        <v>400</v>
      </c>
      <c r="C128" s="707"/>
      <c r="D128" s="707"/>
      <c r="E128" s="707"/>
      <c r="F128" s="708"/>
      <c r="G128" s="709" t="s">
        <v>2999</v>
      </c>
      <c r="H128" s="710"/>
      <c r="I128" s="710"/>
      <c r="J128" s="706" t="s">
        <v>2578</v>
      </c>
    </row>
    <row r="129" spans="1:10" s="58" customFormat="1">
      <c r="A129" s="701">
        <v>110</v>
      </c>
      <c r="B129" s="707">
        <v>400</v>
      </c>
      <c r="C129" s="707">
        <v>100</v>
      </c>
      <c r="D129" s="707"/>
      <c r="E129" s="707"/>
      <c r="F129" s="708"/>
      <c r="G129" s="709" t="s">
        <v>2211</v>
      </c>
      <c r="H129" s="710"/>
      <c r="I129" s="710"/>
      <c r="J129" s="706"/>
    </row>
    <row r="130" spans="1:10" s="58" customFormat="1" ht="25.5">
      <c r="A130" s="701">
        <v>110</v>
      </c>
      <c r="B130" s="707">
        <v>400</v>
      </c>
      <c r="C130" s="707">
        <v>100</v>
      </c>
      <c r="D130" s="702">
        <v>100</v>
      </c>
      <c r="E130" s="702"/>
      <c r="F130" s="703"/>
      <c r="G130" s="704" t="s">
        <v>3000</v>
      </c>
      <c r="H130" s="705">
        <v>31272</v>
      </c>
      <c r="I130" s="705">
        <v>3045192</v>
      </c>
      <c r="J130" s="706" t="s">
        <v>2582</v>
      </c>
    </row>
    <row r="131" spans="1:10" s="58" customFormat="1" ht="25.5">
      <c r="A131" s="701">
        <v>110</v>
      </c>
      <c r="B131" s="707">
        <v>400</v>
      </c>
      <c r="C131" s="707">
        <v>100</v>
      </c>
      <c r="D131" s="707">
        <v>200</v>
      </c>
      <c r="E131" s="707"/>
      <c r="F131" s="708"/>
      <c r="G131" s="709" t="s">
        <v>3001</v>
      </c>
      <c r="H131" s="710"/>
      <c r="I131" s="710"/>
      <c r="J131" s="706" t="s">
        <v>2584</v>
      </c>
    </row>
    <row r="132" spans="1:10" s="58" customFormat="1" ht="25.5">
      <c r="A132" s="701">
        <v>110</v>
      </c>
      <c r="B132" s="707">
        <v>400</v>
      </c>
      <c r="C132" s="707">
        <v>100</v>
      </c>
      <c r="D132" s="707">
        <v>200</v>
      </c>
      <c r="E132" s="702">
        <v>10</v>
      </c>
      <c r="F132" s="703"/>
      <c r="G132" s="704" t="s">
        <v>3001</v>
      </c>
      <c r="H132" s="705">
        <v>8969118.4000000004</v>
      </c>
      <c r="I132" s="705">
        <v>10071634.52</v>
      </c>
      <c r="J132" s="706"/>
    </row>
    <row r="133" spans="1:10" s="58" customFormat="1">
      <c r="A133" s="701">
        <v>110</v>
      </c>
      <c r="B133" s="707">
        <v>400</v>
      </c>
      <c r="C133" s="707">
        <v>100</v>
      </c>
      <c r="D133" s="707">
        <v>200</v>
      </c>
      <c r="E133" s="702">
        <v>80</v>
      </c>
      <c r="F133" s="703"/>
      <c r="G133" s="704" t="s">
        <v>2970</v>
      </c>
      <c r="H133" s="705">
        <v>192161.82</v>
      </c>
      <c r="I133" s="705">
        <v>0</v>
      </c>
      <c r="J133" s="706"/>
    </row>
    <row r="134" spans="1:10" s="58" customFormat="1">
      <c r="A134" s="701">
        <v>110</v>
      </c>
      <c r="B134" s="707">
        <v>400</v>
      </c>
      <c r="C134" s="707">
        <v>100</v>
      </c>
      <c r="D134" s="707">
        <v>200</v>
      </c>
      <c r="E134" s="702">
        <v>90</v>
      </c>
      <c r="F134" s="703"/>
      <c r="G134" s="704" t="s">
        <v>3472</v>
      </c>
      <c r="H134" s="705"/>
      <c r="I134" s="705">
        <v>0</v>
      </c>
      <c r="J134" s="706"/>
    </row>
    <row r="135" spans="1:10" s="58" customFormat="1">
      <c r="A135" s="701">
        <v>110</v>
      </c>
      <c r="B135" s="707">
        <v>400</v>
      </c>
      <c r="C135" s="707">
        <v>100</v>
      </c>
      <c r="D135" s="707">
        <v>300</v>
      </c>
      <c r="E135" s="707"/>
      <c r="F135" s="708"/>
      <c r="G135" s="709" t="s">
        <v>3002</v>
      </c>
      <c r="H135" s="710"/>
      <c r="I135" s="710"/>
      <c r="J135" s="706" t="s">
        <v>2586</v>
      </c>
    </row>
    <row r="136" spans="1:10" s="58" customFormat="1">
      <c r="A136" s="701">
        <v>110</v>
      </c>
      <c r="B136" s="707">
        <v>400</v>
      </c>
      <c r="C136" s="707">
        <v>100</v>
      </c>
      <c r="D136" s="707">
        <v>300</v>
      </c>
      <c r="E136" s="702">
        <v>10</v>
      </c>
      <c r="F136" s="703"/>
      <c r="G136" s="704" t="s">
        <v>3003</v>
      </c>
      <c r="H136" s="705">
        <v>38796750.659999996</v>
      </c>
      <c r="I136" s="705">
        <v>24434462.050000001</v>
      </c>
      <c r="J136" s="706"/>
    </row>
    <row r="137" spans="1:10" s="58" customFormat="1">
      <c r="A137" s="701">
        <v>110</v>
      </c>
      <c r="B137" s="707">
        <v>400</v>
      </c>
      <c r="C137" s="707">
        <v>100</v>
      </c>
      <c r="D137" s="707">
        <v>300</v>
      </c>
      <c r="E137" s="702">
        <v>80</v>
      </c>
      <c r="F137" s="703"/>
      <c r="G137" s="704" t="s">
        <v>2970</v>
      </c>
      <c r="H137" s="705">
        <v>518939.79</v>
      </c>
      <c r="I137" s="705">
        <v>467124.11</v>
      </c>
      <c r="J137" s="706"/>
    </row>
    <row r="138" spans="1:10" s="58" customFormat="1">
      <c r="A138" s="701">
        <v>110</v>
      </c>
      <c r="B138" s="707">
        <v>400</v>
      </c>
      <c r="C138" s="707">
        <v>100</v>
      </c>
      <c r="D138" s="707">
        <v>300</v>
      </c>
      <c r="E138" s="702">
        <v>90</v>
      </c>
      <c r="F138" s="703"/>
      <c r="G138" s="704" t="s">
        <v>3472</v>
      </c>
      <c r="H138" s="705"/>
      <c r="I138" s="705">
        <v>0</v>
      </c>
      <c r="J138" s="706"/>
    </row>
    <row r="139" spans="1:10" s="58" customFormat="1">
      <c r="A139" s="701">
        <v>110</v>
      </c>
      <c r="B139" s="707">
        <v>400</v>
      </c>
      <c r="C139" s="707">
        <v>200</v>
      </c>
      <c r="D139" s="707"/>
      <c r="E139" s="707"/>
      <c r="F139" s="708"/>
      <c r="G139" s="709" t="s">
        <v>3004</v>
      </c>
      <c r="H139" s="705"/>
      <c r="I139" s="705">
        <v>0</v>
      </c>
      <c r="J139" s="706" t="s">
        <v>2588</v>
      </c>
    </row>
    <row r="140" spans="1:10" s="58" customFormat="1" ht="38.25">
      <c r="A140" s="701">
        <v>110</v>
      </c>
      <c r="B140" s="707">
        <v>400</v>
      </c>
      <c r="C140" s="707">
        <v>250</v>
      </c>
      <c r="D140" s="707"/>
      <c r="E140" s="707"/>
      <c r="F140" s="708"/>
      <c r="G140" s="709" t="s">
        <v>3005</v>
      </c>
      <c r="H140" s="705"/>
      <c r="I140" s="705">
        <v>0</v>
      </c>
      <c r="J140" s="706" t="s">
        <v>2590</v>
      </c>
    </row>
    <row r="141" spans="1:10" s="58" customFormat="1">
      <c r="A141" s="701">
        <v>110</v>
      </c>
      <c r="B141" s="707">
        <v>400</v>
      </c>
      <c r="C141" s="707">
        <v>300</v>
      </c>
      <c r="D141" s="707"/>
      <c r="E141" s="707"/>
      <c r="F141" s="708"/>
      <c r="G141" s="709" t="s">
        <v>3006</v>
      </c>
      <c r="H141" s="710"/>
      <c r="I141" s="710"/>
      <c r="J141" s="706" t="s">
        <v>2592</v>
      </c>
    </row>
    <row r="142" spans="1:10" s="58" customFormat="1">
      <c r="A142" s="701">
        <v>110</v>
      </c>
      <c r="B142" s="707">
        <v>400</v>
      </c>
      <c r="C142" s="707">
        <v>300</v>
      </c>
      <c r="D142" s="702">
        <v>100</v>
      </c>
      <c r="E142" s="702"/>
      <c r="F142" s="703"/>
      <c r="G142" s="704" t="s">
        <v>3006</v>
      </c>
      <c r="H142" s="705">
        <v>451016.23</v>
      </c>
      <c r="I142" s="705">
        <v>325731.09999999998</v>
      </c>
      <c r="J142" s="706"/>
    </row>
    <row r="143" spans="1:10" s="58" customFormat="1">
      <c r="A143" s="701">
        <v>110</v>
      </c>
      <c r="B143" s="707">
        <v>400</v>
      </c>
      <c r="C143" s="707">
        <v>300</v>
      </c>
      <c r="D143" s="702">
        <v>800</v>
      </c>
      <c r="E143" s="702"/>
      <c r="F143" s="703"/>
      <c r="G143" s="704" t="s">
        <v>2970</v>
      </c>
      <c r="H143" s="705">
        <v>66545.19</v>
      </c>
      <c r="I143" s="705">
        <v>60484.25</v>
      </c>
      <c r="J143" s="706"/>
    </row>
    <row r="144" spans="1:10" s="58" customFormat="1">
      <c r="A144" s="701">
        <v>110</v>
      </c>
      <c r="B144" s="707">
        <v>400</v>
      </c>
      <c r="C144" s="707">
        <v>300</v>
      </c>
      <c r="D144" s="702">
        <v>900</v>
      </c>
      <c r="E144" s="702"/>
      <c r="F144" s="703"/>
      <c r="G144" s="704" t="s">
        <v>3472</v>
      </c>
      <c r="H144" s="705"/>
      <c r="I144" s="705">
        <v>0</v>
      </c>
      <c r="J144" s="706"/>
    </row>
    <row r="145" spans="1:10" s="58" customFormat="1" ht="25.5">
      <c r="A145" s="701">
        <v>110</v>
      </c>
      <c r="B145" s="707">
        <v>400</v>
      </c>
      <c r="C145" s="707">
        <v>350</v>
      </c>
      <c r="D145" s="707"/>
      <c r="E145" s="707"/>
      <c r="F145" s="708"/>
      <c r="G145" s="709" t="s">
        <v>3007</v>
      </c>
      <c r="H145" s="705"/>
      <c r="I145" s="705">
        <v>0</v>
      </c>
      <c r="J145" s="706" t="s">
        <v>2594</v>
      </c>
    </row>
    <row r="146" spans="1:10" s="58" customFormat="1">
      <c r="A146" s="701">
        <v>110</v>
      </c>
      <c r="B146" s="707">
        <v>500</v>
      </c>
      <c r="C146" s="707"/>
      <c r="D146" s="707"/>
      <c r="E146" s="707"/>
      <c r="F146" s="708"/>
      <c r="G146" s="709" t="s">
        <v>2213</v>
      </c>
      <c r="H146" s="710"/>
      <c r="I146" s="710"/>
      <c r="J146" s="706"/>
    </row>
    <row r="147" spans="1:10" s="58" customFormat="1">
      <c r="A147" s="701">
        <v>110</v>
      </c>
      <c r="B147" s="707">
        <v>500</v>
      </c>
      <c r="C147" s="702">
        <v>100</v>
      </c>
      <c r="D147" s="702"/>
      <c r="E147" s="702"/>
      <c r="F147" s="703"/>
      <c r="G147" s="704" t="s">
        <v>3008</v>
      </c>
      <c r="H147" s="705">
        <v>3530.11</v>
      </c>
      <c r="I147" s="705">
        <v>144.94999999999999</v>
      </c>
      <c r="J147" s="706" t="s">
        <v>2598</v>
      </c>
    </row>
    <row r="148" spans="1:10" s="58" customFormat="1">
      <c r="A148" s="701">
        <v>110</v>
      </c>
      <c r="B148" s="707">
        <v>500</v>
      </c>
      <c r="C148" s="702">
        <v>200</v>
      </c>
      <c r="D148" s="702"/>
      <c r="E148" s="702"/>
      <c r="F148" s="703"/>
      <c r="G148" s="704" t="s">
        <v>3009</v>
      </c>
      <c r="H148" s="705"/>
      <c r="I148" s="705">
        <v>0</v>
      </c>
      <c r="J148" s="706" t="s">
        <v>2600</v>
      </c>
    </row>
    <row r="149" spans="1:10" s="58" customFormat="1">
      <c r="A149" s="701">
        <v>110</v>
      </c>
      <c r="B149" s="707">
        <v>500</v>
      </c>
      <c r="C149" s="736">
        <v>300</v>
      </c>
      <c r="D149" s="707"/>
      <c r="E149" s="707"/>
      <c r="F149" s="708"/>
      <c r="G149" s="709" t="s">
        <v>3010</v>
      </c>
      <c r="H149" s="710"/>
      <c r="I149" s="710"/>
      <c r="J149" s="706" t="s">
        <v>2602</v>
      </c>
    </row>
    <row r="150" spans="1:10" s="58" customFormat="1">
      <c r="A150" s="701">
        <v>110</v>
      </c>
      <c r="B150" s="707">
        <v>500</v>
      </c>
      <c r="C150" s="736">
        <v>300</v>
      </c>
      <c r="D150" s="702">
        <v>100</v>
      </c>
      <c r="E150" s="702"/>
      <c r="F150" s="703"/>
      <c r="G150" s="704" t="s">
        <v>3010</v>
      </c>
      <c r="H150" s="705"/>
      <c r="I150" s="705">
        <v>0</v>
      </c>
      <c r="J150" s="706"/>
    </row>
    <row r="151" spans="1:10" s="58" customFormat="1">
      <c r="A151" s="701">
        <v>110</v>
      </c>
      <c r="B151" s="707">
        <v>500</v>
      </c>
      <c r="C151" s="736">
        <v>300</v>
      </c>
      <c r="D151" s="702">
        <v>800</v>
      </c>
      <c r="E151" s="702"/>
      <c r="F151" s="703"/>
      <c r="G151" s="704" t="s">
        <v>2970</v>
      </c>
      <c r="H151" s="705"/>
      <c r="I151" s="705">
        <v>0</v>
      </c>
      <c r="J151" s="706"/>
    </row>
    <row r="152" spans="1:10" s="58" customFormat="1">
      <c r="A152" s="701">
        <v>110</v>
      </c>
      <c r="B152" s="707">
        <v>500</v>
      </c>
      <c r="C152" s="736">
        <v>300</v>
      </c>
      <c r="D152" s="702">
        <v>900</v>
      </c>
      <c r="E152" s="702"/>
      <c r="F152" s="703"/>
      <c r="G152" s="704" t="s">
        <v>3472</v>
      </c>
      <c r="H152" s="705"/>
      <c r="I152" s="705">
        <v>0</v>
      </c>
      <c r="J152" s="706"/>
    </row>
    <row r="153" spans="1:10" s="58" customFormat="1">
      <c r="A153" s="701">
        <v>110</v>
      </c>
      <c r="B153" s="707">
        <v>600</v>
      </c>
      <c r="C153" s="707"/>
      <c r="D153" s="707"/>
      <c r="E153" s="707"/>
      <c r="F153" s="708"/>
      <c r="G153" s="709" t="s">
        <v>2214</v>
      </c>
      <c r="H153" s="710"/>
      <c r="I153" s="710">
        <v>0</v>
      </c>
      <c r="J153" s="706" t="s">
        <v>2604</v>
      </c>
    </row>
    <row r="154" spans="1:10" s="58" customFormat="1">
      <c r="A154" s="701">
        <v>110</v>
      </c>
      <c r="B154" s="707">
        <v>600</v>
      </c>
      <c r="C154" s="702">
        <v>100</v>
      </c>
      <c r="D154" s="702"/>
      <c r="E154" s="702"/>
      <c r="F154" s="703"/>
      <c r="G154" s="704" t="s">
        <v>115</v>
      </c>
      <c r="H154" s="705">
        <v>36160.660000000003</v>
      </c>
      <c r="I154" s="705">
        <v>132.04</v>
      </c>
      <c r="J154" s="706"/>
    </row>
    <row r="155" spans="1:10" s="58" customFormat="1">
      <c r="A155" s="701">
        <v>110</v>
      </c>
      <c r="B155" s="707">
        <v>600</v>
      </c>
      <c r="C155" s="702">
        <v>200</v>
      </c>
      <c r="D155" s="702"/>
      <c r="E155" s="702"/>
      <c r="F155" s="703"/>
      <c r="G155" s="704" t="s">
        <v>110</v>
      </c>
      <c r="H155" s="705"/>
      <c r="I155" s="705">
        <v>0</v>
      </c>
      <c r="J155" s="706"/>
    </row>
    <row r="156" spans="1:10" s="58" customFormat="1">
      <c r="A156" s="701">
        <v>110</v>
      </c>
      <c r="B156" s="707">
        <v>600</v>
      </c>
      <c r="C156" s="702">
        <v>300</v>
      </c>
      <c r="D156" s="702"/>
      <c r="E156" s="702"/>
      <c r="F156" s="703"/>
      <c r="G156" s="704" t="s">
        <v>3011</v>
      </c>
      <c r="H156" s="705">
        <v>7214</v>
      </c>
      <c r="I156" s="705">
        <v>6913.64</v>
      </c>
      <c r="J156" s="706"/>
    </row>
    <row r="157" spans="1:10" s="58" customFormat="1">
      <c r="A157" s="701">
        <v>110</v>
      </c>
      <c r="B157" s="707">
        <v>600</v>
      </c>
      <c r="C157" s="702">
        <v>400</v>
      </c>
      <c r="D157" s="702"/>
      <c r="E157" s="702"/>
      <c r="F157" s="703"/>
      <c r="G157" s="704" t="s">
        <v>3012</v>
      </c>
      <c r="H157" s="705"/>
      <c r="I157" s="705">
        <v>0</v>
      </c>
      <c r="J157" s="706"/>
    </row>
    <row r="158" spans="1:10" s="58" customFormat="1">
      <c r="A158" s="701">
        <v>110</v>
      </c>
      <c r="B158" s="707">
        <v>600</v>
      </c>
      <c r="C158" s="702">
        <v>500</v>
      </c>
      <c r="D158" s="702"/>
      <c r="E158" s="702"/>
      <c r="F158" s="703"/>
      <c r="G158" s="704" t="s">
        <v>3013</v>
      </c>
      <c r="H158" s="705"/>
      <c r="I158" s="705">
        <v>0</v>
      </c>
      <c r="J158" s="706"/>
    </row>
    <row r="159" spans="1:10" s="58" customFormat="1">
      <c r="A159" s="701">
        <v>110</v>
      </c>
      <c r="B159" s="707">
        <v>600</v>
      </c>
      <c r="C159" s="702">
        <v>600</v>
      </c>
      <c r="D159" s="702"/>
      <c r="E159" s="702"/>
      <c r="F159" s="703"/>
      <c r="G159" s="704" t="s">
        <v>3014</v>
      </c>
      <c r="H159" s="705"/>
      <c r="I159" s="705">
        <v>0</v>
      </c>
      <c r="J159" s="706"/>
    </row>
    <row r="160" spans="1:10" s="58" customFormat="1">
      <c r="A160" s="701">
        <v>110</v>
      </c>
      <c r="B160" s="707">
        <v>700</v>
      </c>
      <c r="C160" s="707"/>
      <c r="D160" s="707"/>
      <c r="E160" s="707"/>
      <c r="F160" s="708"/>
      <c r="G160" s="709" t="s">
        <v>2215</v>
      </c>
      <c r="H160" s="710"/>
      <c r="I160" s="710"/>
      <c r="J160" s="706"/>
    </row>
    <row r="161" spans="1:10" s="58" customFormat="1">
      <c r="A161" s="701">
        <v>110</v>
      </c>
      <c r="B161" s="707">
        <v>700</v>
      </c>
      <c r="C161" s="707">
        <v>100</v>
      </c>
      <c r="D161" s="737"/>
      <c r="E161" s="737"/>
      <c r="F161" s="738"/>
      <c r="G161" s="709" t="s">
        <v>3015</v>
      </c>
      <c r="H161" s="710"/>
      <c r="I161" s="710"/>
      <c r="J161" s="706" t="s">
        <v>2608</v>
      </c>
    </row>
    <row r="162" spans="1:10" s="58" customFormat="1">
      <c r="A162" s="701">
        <v>110</v>
      </c>
      <c r="B162" s="707">
        <v>700</v>
      </c>
      <c r="C162" s="707">
        <v>100</v>
      </c>
      <c r="D162" s="739">
        <v>100</v>
      </c>
      <c r="E162" s="739"/>
      <c r="F162" s="740"/>
      <c r="G162" s="704" t="s">
        <v>3016</v>
      </c>
      <c r="H162" s="741">
        <v>7430286.0999999996</v>
      </c>
      <c r="I162" s="741">
        <v>6708661.7599999998</v>
      </c>
      <c r="J162" s="706"/>
    </row>
    <row r="163" spans="1:10" s="58" customFormat="1">
      <c r="A163" s="701">
        <v>110</v>
      </c>
      <c r="B163" s="707">
        <v>700</v>
      </c>
      <c r="C163" s="707">
        <v>100</v>
      </c>
      <c r="D163" s="739">
        <v>200</v>
      </c>
      <c r="E163" s="739"/>
      <c r="F163" s="740"/>
      <c r="G163" s="704" t="s">
        <v>3017</v>
      </c>
      <c r="H163" s="741">
        <v>970653.97</v>
      </c>
      <c r="I163" s="741">
        <v>1005818.0900000001</v>
      </c>
      <c r="J163" s="706"/>
    </row>
    <row r="164" spans="1:10" s="58" customFormat="1">
      <c r="A164" s="701">
        <v>110</v>
      </c>
      <c r="B164" s="707">
        <v>700</v>
      </c>
      <c r="C164" s="707">
        <v>100</v>
      </c>
      <c r="D164" s="739">
        <v>300</v>
      </c>
      <c r="E164" s="739"/>
      <c r="F164" s="740"/>
      <c r="G164" s="704" t="s">
        <v>3018</v>
      </c>
      <c r="H164" s="741">
        <v>16726.91</v>
      </c>
      <c r="I164" s="741">
        <v>40456.92</v>
      </c>
      <c r="J164" s="706"/>
    </row>
    <row r="165" spans="1:10" s="58" customFormat="1">
      <c r="A165" s="701">
        <v>110</v>
      </c>
      <c r="B165" s="707">
        <v>700</v>
      </c>
      <c r="C165" s="707">
        <v>100</v>
      </c>
      <c r="D165" s="739">
        <v>800</v>
      </c>
      <c r="E165" s="739"/>
      <c r="F165" s="740"/>
      <c r="G165" s="704" t="s">
        <v>2970</v>
      </c>
      <c r="H165" s="741">
        <v>499675.33</v>
      </c>
      <c r="I165" s="741">
        <v>2083789.8800000001</v>
      </c>
      <c r="J165" s="706"/>
    </row>
    <row r="166" spans="1:10" s="58" customFormat="1">
      <c r="A166" s="701">
        <v>110</v>
      </c>
      <c r="B166" s="707">
        <v>700</v>
      </c>
      <c r="C166" s="707">
        <v>100</v>
      </c>
      <c r="D166" s="739">
        <v>900</v>
      </c>
      <c r="E166" s="739"/>
      <c r="F166" s="740"/>
      <c r="G166" s="704" t="s">
        <v>3472</v>
      </c>
      <c r="H166" s="741"/>
      <c r="I166" s="741">
        <v>-175038.3</v>
      </c>
      <c r="J166" s="706"/>
    </row>
    <row r="167" spans="1:10" s="58" customFormat="1">
      <c r="A167" s="701">
        <v>110</v>
      </c>
      <c r="B167" s="707">
        <v>700</v>
      </c>
      <c r="C167" s="702">
        <v>200</v>
      </c>
      <c r="D167" s="702"/>
      <c r="E167" s="702"/>
      <c r="F167" s="703"/>
      <c r="G167" s="704" t="s">
        <v>3019</v>
      </c>
      <c r="H167" s="741"/>
      <c r="I167" s="741">
        <v>0</v>
      </c>
      <c r="J167" s="706" t="s">
        <v>2610</v>
      </c>
    </row>
    <row r="168" spans="1:10" s="58" customFormat="1">
      <c r="A168" s="701">
        <v>110</v>
      </c>
      <c r="B168" s="707">
        <v>700</v>
      </c>
      <c r="C168" s="707">
        <v>300</v>
      </c>
      <c r="D168" s="737"/>
      <c r="E168" s="737"/>
      <c r="F168" s="738"/>
      <c r="G168" s="709" t="s">
        <v>3020</v>
      </c>
      <c r="H168" s="742"/>
      <c r="I168" s="742"/>
      <c r="J168" s="706" t="s">
        <v>2612</v>
      </c>
    </row>
    <row r="169" spans="1:10" s="58" customFormat="1">
      <c r="A169" s="701">
        <v>110</v>
      </c>
      <c r="B169" s="707">
        <v>700</v>
      </c>
      <c r="C169" s="707">
        <v>300</v>
      </c>
      <c r="D169" s="739">
        <v>100</v>
      </c>
      <c r="E169" s="739"/>
      <c r="F169" s="740"/>
      <c r="G169" s="704" t="s">
        <v>3021</v>
      </c>
      <c r="H169" s="741"/>
      <c r="I169" s="741">
        <v>0</v>
      </c>
      <c r="J169" s="706"/>
    </row>
    <row r="170" spans="1:10" s="58" customFormat="1">
      <c r="A170" s="701">
        <v>110</v>
      </c>
      <c r="B170" s="707">
        <v>700</v>
      </c>
      <c r="C170" s="707">
        <v>300</v>
      </c>
      <c r="D170" s="739">
        <v>200</v>
      </c>
      <c r="E170" s="739"/>
      <c r="F170" s="740"/>
      <c r="G170" s="704" t="s">
        <v>3022</v>
      </c>
      <c r="H170" s="741">
        <v>1528007.4</v>
      </c>
      <c r="I170" s="741">
        <v>1727178.24</v>
      </c>
      <c r="J170" s="706"/>
    </row>
    <row r="171" spans="1:10" s="58" customFormat="1">
      <c r="A171" s="701">
        <v>110</v>
      </c>
      <c r="B171" s="707">
        <v>700</v>
      </c>
      <c r="C171" s="707">
        <v>300</v>
      </c>
      <c r="D171" s="739">
        <v>800</v>
      </c>
      <c r="E171" s="739"/>
      <c r="F171" s="740"/>
      <c r="G171" s="704" t="s">
        <v>2970</v>
      </c>
      <c r="H171" s="741">
        <v>614549.87</v>
      </c>
      <c r="I171" s="741">
        <v>308233.98</v>
      </c>
      <c r="J171" s="706"/>
    </row>
    <row r="172" spans="1:10" s="58" customFormat="1">
      <c r="A172" s="701">
        <v>110</v>
      </c>
      <c r="B172" s="707">
        <v>700</v>
      </c>
      <c r="C172" s="707">
        <v>300</v>
      </c>
      <c r="D172" s="739">
        <v>900</v>
      </c>
      <c r="E172" s="739"/>
      <c r="F172" s="740"/>
      <c r="G172" s="704" t="s">
        <v>3472</v>
      </c>
      <c r="H172" s="741"/>
      <c r="I172" s="741">
        <v>0</v>
      </c>
      <c r="J172" s="706"/>
    </row>
    <row r="173" spans="1:10" s="58" customFormat="1">
      <c r="A173" s="701">
        <v>110</v>
      </c>
      <c r="B173" s="707">
        <v>700</v>
      </c>
      <c r="C173" s="702">
        <v>400</v>
      </c>
      <c r="D173" s="739"/>
      <c r="E173" s="739"/>
      <c r="F173" s="740"/>
      <c r="G173" s="704" t="s">
        <v>3023</v>
      </c>
      <c r="H173" s="741"/>
      <c r="I173" s="741">
        <v>0</v>
      </c>
      <c r="J173" s="706" t="s">
        <v>2614</v>
      </c>
    </row>
    <row r="174" spans="1:10" s="58" customFormat="1">
      <c r="A174" s="701">
        <v>110</v>
      </c>
      <c r="B174" s="707">
        <v>700</v>
      </c>
      <c r="C174" s="707">
        <v>500</v>
      </c>
      <c r="D174" s="737"/>
      <c r="E174" s="737"/>
      <c r="F174" s="738"/>
      <c r="G174" s="709" t="s">
        <v>3024</v>
      </c>
      <c r="H174" s="742"/>
      <c r="I174" s="742"/>
      <c r="J174" s="706" t="s">
        <v>2616</v>
      </c>
    </row>
    <row r="175" spans="1:10" s="58" customFormat="1">
      <c r="A175" s="701"/>
      <c r="B175" s="707"/>
      <c r="C175" s="707"/>
      <c r="D175" s="737"/>
      <c r="E175" s="737"/>
      <c r="F175" s="738"/>
      <c r="G175" s="704" t="s">
        <v>3024</v>
      </c>
      <c r="H175" s="743"/>
      <c r="I175" s="743"/>
      <c r="J175" s="744" t="s">
        <v>2618</v>
      </c>
    </row>
    <row r="176" spans="1:10" s="58" customFormat="1">
      <c r="A176" s="701">
        <v>110</v>
      </c>
      <c r="B176" s="707">
        <v>700</v>
      </c>
      <c r="C176" s="707">
        <v>500</v>
      </c>
      <c r="D176" s="737">
        <v>100</v>
      </c>
      <c r="E176" s="737"/>
      <c r="F176" s="738"/>
      <c r="G176" s="709" t="s">
        <v>3025</v>
      </c>
      <c r="H176" s="745"/>
      <c r="I176" s="835"/>
      <c r="J176" s="744" t="s">
        <v>2618</v>
      </c>
    </row>
    <row r="177" spans="1:10" s="58" customFormat="1">
      <c r="A177" s="701">
        <v>110</v>
      </c>
      <c r="B177" s="707">
        <v>700</v>
      </c>
      <c r="C177" s="707">
        <v>500</v>
      </c>
      <c r="D177" s="737">
        <v>100</v>
      </c>
      <c r="E177" s="739">
        <v>10</v>
      </c>
      <c r="F177" s="740"/>
      <c r="G177" s="704" t="s">
        <v>3026</v>
      </c>
      <c r="H177" s="746">
        <v>6118</v>
      </c>
      <c r="I177" s="836">
        <v>6830</v>
      </c>
      <c r="J177" s="744" t="s">
        <v>2618</v>
      </c>
    </row>
    <row r="178" spans="1:10" s="58" customFormat="1">
      <c r="A178" s="701">
        <v>110</v>
      </c>
      <c r="B178" s="707">
        <v>700</v>
      </c>
      <c r="C178" s="707">
        <v>500</v>
      </c>
      <c r="D178" s="737">
        <v>100</v>
      </c>
      <c r="E178" s="739">
        <v>90</v>
      </c>
      <c r="F178" s="740"/>
      <c r="G178" s="704" t="s">
        <v>3027</v>
      </c>
      <c r="H178" s="746">
        <v>342229.56</v>
      </c>
      <c r="I178" s="836">
        <v>430186.97000000003</v>
      </c>
      <c r="J178" s="744" t="s">
        <v>2618</v>
      </c>
    </row>
    <row r="179" spans="1:10" s="58" customFormat="1">
      <c r="A179" s="701">
        <v>110</v>
      </c>
      <c r="B179" s="707">
        <v>700</v>
      </c>
      <c r="C179" s="707">
        <v>500</v>
      </c>
      <c r="D179" s="739">
        <v>200</v>
      </c>
      <c r="E179" s="739"/>
      <c r="F179" s="740"/>
      <c r="G179" s="704" t="s">
        <v>3028</v>
      </c>
      <c r="H179" s="746">
        <v>2136200.7799999998</v>
      </c>
      <c r="I179" s="836">
        <v>0</v>
      </c>
      <c r="J179" s="744" t="s">
        <v>2618</v>
      </c>
    </row>
    <row r="180" spans="1:10" s="58" customFormat="1">
      <c r="A180" s="701">
        <v>110</v>
      </c>
      <c r="B180" s="707">
        <v>700</v>
      </c>
      <c r="C180" s="707">
        <v>500</v>
      </c>
      <c r="D180" s="739">
        <v>300</v>
      </c>
      <c r="E180" s="739"/>
      <c r="F180" s="740"/>
      <c r="G180" s="704" t="s">
        <v>3029</v>
      </c>
      <c r="H180" s="746">
        <v>739946.01</v>
      </c>
      <c r="I180" s="836">
        <v>43506.01</v>
      </c>
      <c r="J180" s="744" t="s">
        <v>2618</v>
      </c>
    </row>
    <row r="181" spans="1:10" s="58" customFormat="1">
      <c r="A181" s="701">
        <v>110</v>
      </c>
      <c r="B181" s="707">
        <v>700</v>
      </c>
      <c r="C181" s="707">
        <v>500</v>
      </c>
      <c r="D181" s="739">
        <v>400</v>
      </c>
      <c r="E181" s="739"/>
      <c r="F181" s="740"/>
      <c r="G181" s="704" t="s">
        <v>2233</v>
      </c>
      <c r="H181" s="746">
        <v>106283.31</v>
      </c>
      <c r="I181" s="836">
        <v>108483.31</v>
      </c>
      <c r="J181" s="744" t="s">
        <v>2618</v>
      </c>
    </row>
    <row r="182" spans="1:10" s="58" customFormat="1">
      <c r="A182" s="701">
        <v>110</v>
      </c>
      <c r="B182" s="707">
        <v>700</v>
      </c>
      <c r="C182" s="707">
        <v>500</v>
      </c>
      <c r="D182" s="739">
        <v>900</v>
      </c>
      <c r="E182" s="739"/>
      <c r="F182" s="747"/>
      <c r="G182" s="704" t="s">
        <v>3024</v>
      </c>
      <c r="H182" s="746">
        <v>3137158.63</v>
      </c>
      <c r="I182" s="836">
        <v>3136784.39</v>
      </c>
      <c r="J182" s="744" t="s">
        <v>2618</v>
      </c>
    </row>
    <row r="183" spans="1:10" s="58" customFormat="1">
      <c r="A183" s="701">
        <v>110</v>
      </c>
      <c r="B183" s="707">
        <v>700</v>
      </c>
      <c r="C183" s="707">
        <v>500</v>
      </c>
      <c r="D183" s="739">
        <v>910</v>
      </c>
      <c r="E183" s="739"/>
      <c r="F183" s="747"/>
      <c r="G183" s="748" t="s">
        <v>3030</v>
      </c>
      <c r="H183" s="741"/>
      <c r="I183" s="741">
        <v>0</v>
      </c>
      <c r="J183" s="706" t="s">
        <v>2620</v>
      </c>
    </row>
    <row r="184" spans="1:10" s="58" customFormat="1" ht="25.5">
      <c r="A184" s="701">
        <v>110</v>
      </c>
      <c r="B184" s="707">
        <v>700</v>
      </c>
      <c r="C184" s="707">
        <v>600</v>
      </c>
      <c r="D184" s="749"/>
      <c r="E184" s="749"/>
      <c r="F184" s="750"/>
      <c r="G184" s="751" t="s">
        <v>3031</v>
      </c>
      <c r="H184" s="742"/>
      <c r="I184" s="742"/>
      <c r="J184" s="706" t="s">
        <v>2622</v>
      </c>
    </row>
    <row r="185" spans="1:10" s="58" customFormat="1" ht="25.5">
      <c r="A185" s="701">
        <v>110</v>
      </c>
      <c r="B185" s="707">
        <v>700</v>
      </c>
      <c r="C185" s="707">
        <v>600</v>
      </c>
      <c r="D185" s="752">
        <v>100</v>
      </c>
      <c r="E185" s="752"/>
      <c r="F185" s="753"/>
      <c r="G185" s="754" t="s">
        <v>3031</v>
      </c>
      <c r="H185" s="741">
        <v>4287784</v>
      </c>
      <c r="I185" s="741">
        <v>0</v>
      </c>
      <c r="J185" s="706" t="s">
        <v>2624</v>
      </c>
    </row>
    <row r="186" spans="1:10" s="58" customFormat="1">
      <c r="A186" s="701">
        <v>110</v>
      </c>
      <c r="B186" s="707">
        <v>700</v>
      </c>
      <c r="C186" s="707">
        <v>600</v>
      </c>
      <c r="D186" s="752">
        <v>200</v>
      </c>
      <c r="E186" s="752"/>
      <c r="F186" s="753"/>
      <c r="G186" s="754" t="s">
        <v>3032</v>
      </c>
      <c r="H186" s="741"/>
      <c r="I186" s="741">
        <v>0</v>
      </c>
      <c r="J186" s="706" t="s">
        <v>2626</v>
      </c>
    </row>
    <row r="187" spans="1:10" s="58" customFormat="1">
      <c r="A187" s="711">
        <v>120</v>
      </c>
      <c r="B187" s="712">
        <v>0</v>
      </c>
      <c r="C187" s="712">
        <v>0</v>
      </c>
      <c r="D187" s="712">
        <v>0</v>
      </c>
      <c r="E187" s="712">
        <v>0</v>
      </c>
      <c r="F187" s="713">
        <v>0</v>
      </c>
      <c r="G187" s="714" t="s">
        <v>3033</v>
      </c>
      <c r="H187" s="743"/>
      <c r="I187" s="743"/>
      <c r="J187" s="755"/>
    </row>
    <row r="188" spans="1:10" s="58" customFormat="1">
      <c r="A188" s="756">
        <v>120</v>
      </c>
      <c r="B188" s="737">
        <v>100</v>
      </c>
      <c r="C188" s="707"/>
      <c r="D188" s="707"/>
      <c r="E188" s="707"/>
      <c r="F188" s="708"/>
      <c r="G188" s="709" t="s">
        <v>2217</v>
      </c>
      <c r="H188" s="742"/>
      <c r="I188" s="742"/>
      <c r="J188" s="706" t="s">
        <v>2630</v>
      </c>
    </row>
    <row r="189" spans="1:10" s="58" customFormat="1">
      <c r="A189" s="756">
        <v>120</v>
      </c>
      <c r="B189" s="737">
        <v>100</v>
      </c>
      <c r="C189" s="739">
        <v>100</v>
      </c>
      <c r="D189" s="739"/>
      <c r="E189" s="739"/>
      <c r="F189" s="740"/>
      <c r="G189" s="704" t="s">
        <v>3034</v>
      </c>
      <c r="H189" s="757"/>
      <c r="I189" s="757">
        <v>0</v>
      </c>
      <c r="J189" s="724"/>
    </row>
    <row r="190" spans="1:10" s="62" customFormat="1">
      <c r="A190" s="756">
        <v>120</v>
      </c>
      <c r="B190" s="737">
        <v>100</v>
      </c>
      <c r="C190" s="739">
        <v>200</v>
      </c>
      <c r="D190" s="739"/>
      <c r="E190" s="739"/>
      <c r="F190" s="740"/>
      <c r="G190" s="704" t="s">
        <v>3035</v>
      </c>
      <c r="H190" s="757"/>
      <c r="I190" s="757">
        <v>0</v>
      </c>
      <c r="J190" s="724"/>
    </row>
    <row r="191" spans="1:10" s="58" customFormat="1">
      <c r="A191" s="756">
        <v>120</v>
      </c>
      <c r="B191" s="737">
        <v>100</v>
      </c>
      <c r="C191" s="739">
        <v>300</v>
      </c>
      <c r="D191" s="739"/>
      <c r="E191" s="739"/>
      <c r="F191" s="740"/>
      <c r="G191" s="704" t="s">
        <v>3036</v>
      </c>
      <c r="H191" s="757"/>
      <c r="I191" s="757">
        <v>0</v>
      </c>
      <c r="J191" s="724"/>
    </row>
    <row r="192" spans="1:10" s="58" customFormat="1">
      <c r="A192" s="756">
        <v>120</v>
      </c>
      <c r="B192" s="739">
        <v>200</v>
      </c>
      <c r="C192" s="739"/>
      <c r="D192" s="702"/>
      <c r="E192" s="702"/>
      <c r="F192" s="703"/>
      <c r="G192" s="704" t="s">
        <v>2218</v>
      </c>
      <c r="H192" s="741"/>
      <c r="I192" s="741">
        <v>0</v>
      </c>
      <c r="J192" s="706" t="s">
        <v>2632</v>
      </c>
    </row>
    <row r="193" spans="1:10" s="58" customFormat="1">
      <c r="A193" s="711">
        <v>130</v>
      </c>
      <c r="B193" s="712">
        <v>0</v>
      </c>
      <c r="C193" s="712">
        <v>0</v>
      </c>
      <c r="D193" s="712">
        <v>0</v>
      </c>
      <c r="E193" s="712">
        <v>0</v>
      </c>
      <c r="F193" s="713">
        <v>0</v>
      </c>
      <c r="G193" s="714" t="s">
        <v>3037</v>
      </c>
      <c r="H193" s="743"/>
      <c r="I193" s="743"/>
      <c r="J193" s="755"/>
    </row>
    <row r="194" spans="1:10" s="58" customFormat="1">
      <c r="A194" s="701">
        <v>130</v>
      </c>
      <c r="B194" s="737">
        <v>100</v>
      </c>
      <c r="C194" s="737"/>
      <c r="D194" s="707"/>
      <c r="E194" s="707"/>
      <c r="F194" s="708"/>
      <c r="G194" s="709" t="s">
        <v>2220</v>
      </c>
      <c r="H194" s="742"/>
      <c r="I194" s="742"/>
      <c r="J194" s="706" t="s">
        <v>2636</v>
      </c>
    </row>
    <row r="195" spans="1:10" s="58" customFormat="1">
      <c r="A195" s="701">
        <v>130</v>
      </c>
      <c r="B195" s="737">
        <v>100</v>
      </c>
      <c r="C195" s="707">
        <v>100</v>
      </c>
      <c r="D195" s="707"/>
      <c r="E195" s="707"/>
      <c r="F195" s="708"/>
      <c r="G195" s="709" t="s">
        <v>3038</v>
      </c>
      <c r="H195" s="742"/>
      <c r="I195" s="742"/>
      <c r="J195" s="758"/>
    </row>
    <row r="196" spans="1:10" s="62" customFormat="1">
      <c r="A196" s="701">
        <v>130</v>
      </c>
      <c r="B196" s="737">
        <v>100</v>
      </c>
      <c r="C196" s="707">
        <v>100</v>
      </c>
      <c r="D196" s="702">
        <v>100</v>
      </c>
      <c r="E196" s="702"/>
      <c r="F196" s="703"/>
      <c r="G196" s="704" t="s">
        <v>3039</v>
      </c>
      <c r="H196" s="741">
        <v>19528.41</v>
      </c>
      <c r="I196" s="741">
        <v>10980.72</v>
      </c>
      <c r="J196" s="706"/>
    </row>
    <row r="197" spans="1:10" s="58" customFormat="1">
      <c r="A197" s="701">
        <v>130</v>
      </c>
      <c r="B197" s="737">
        <v>100</v>
      </c>
      <c r="C197" s="707">
        <v>100</v>
      </c>
      <c r="D197" s="702">
        <v>200</v>
      </c>
      <c r="E197" s="702"/>
      <c r="F197" s="703"/>
      <c r="G197" s="704" t="s">
        <v>3040</v>
      </c>
      <c r="H197" s="741">
        <f>540.6+1226.94+3510.21+1634.15+315.97+780.03</f>
        <v>8007.9</v>
      </c>
      <c r="I197" s="741">
        <v>16571</v>
      </c>
      <c r="J197" s="706"/>
    </row>
    <row r="198" spans="1:10" s="58" customFormat="1">
      <c r="A198" s="701">
        <v>130</v>
      </c>
      <c r="B198" s="737">
        <v>100</v>
      </c>
      <c r="C198" s="707">
        <v>100</v>
      </c>
      <c r="D198" s="702">
        <v>300</v>
      </c>
      <c r="E198" s="702"/>
      <c r="F198" s="703"/>
      <c r="G198" s="704" t="s">
        <v>3041</v>
      </c>
      <c r="H198" s="741"/>
      <c r="I198" s="741">
        <v>0</v>
      </c>
      <c r="J198" s="706"/>
    </row>
    <row r="199" spans="1:10" s="58" customFormat="1">
      <c r="A199" s="701">
        <v>130</v>
      </c>
      <c r="B199" s="737">
        <v>100</v>
      </c>
      <c r="C199" s="707">
        <v>100</v>
      </c>
      <c r="D199" s="702">
        <v>400</v>
      </c>
      <c r="E199" s="702"/>
      <c r="F199" s="703"/>
      <c r="G199" s="704" t="s">
        <v>3042</v>
      </c>
      <c r="H199" s="741">
        <v>1726.65</v>
      </c>
      <c r="I199" s="741">
        <v>2000</v>
      </c>
      <c r="J199" s="706"/>
    </row>
    <row r="200" spans="1:10" s="58" customFormat="1">
      <c r="A200" s="701">
        <v>130</v>
      </c>
      <c r="B200" s="737">
        <v>100</v>
      </c>
      <c r="C200" s="707">
        <v>100</v>
      </c>
      <c r="D200" s="702">
        <v>500</v>
      </c>
      <c r="E200" s="702"/>
      <c r="F200" s="703"/>
      <c r="G200" s="704" t="s">
        <v>3043</v>
      </c>
      <c r="H200" s="741">
        <v>371.2</v>
      </c>
      <c r="I200" s="741">
        <v>500</v>
      </c>
      <c r="J200" s="706"/>
    </row>
    <row r="201" spans="1:10" s="58" customFormat="1">
      <c r="A201" s="701">
        <v>130</v>
      </c>
      <c r="B201" s="737">
        <v>100</v>
      </c>
      <c r="C201" s="707">
        <v>100</v>
      </c>
      <c r="D201" s="702">
        <v>600</v>
      </c>
      <c r="E201" s="702"/>
      <c r="F201" s="703"/>
      <c r="G201" s="704" t="s">
        <v>3044</v>
      </c>
      <c r="H201" s="741"/>
      <c r="I201" s="741">
        <v>0</v>
      </c>
      <c r="J201" s="706"/>
    </row>
    <row r="202" spans="1:10" s="58" customFormat="1">
      <c r="A202" s="701">
        <v>130</v>
      </c>
      <c r="B202" s="737">
        <v>100</v>
      </c>
      <c r="C202" s="707">
        <v>100</v>
      </c>
      <c r="D202" s="702">
        <v>700</v>
      </c>
      <c r="E202" s="702"/>
      <c r="F202" s="703"/>
      <c r="G202" s="704" t="s">
        <v>3045</v>
      </c>
      <c r="H202" s="741">
        <v>811.76</v>
      </c>
      <c r="I202" s="741">
        <v>3000</v>
      </c>
      <c r="J202" s="706"/>
    </row>
    <row r="203" spans="1:10" s="58" customFormat="1">
      <c r="A203" s="701">
        <v>130</v>
      </c>
      <c r="B203" s="737">
        <v>100</v>
      </c>
      <c r="C203" s="707">
        <v>100</v>
      </c>
      <c r="D203" s="702">
        <v>800</v>
      </c>
      <c r="E203" s="702"/>
      <c r="F203" s="703"/>
      <c r="G203" s="704" t="s">
        <v>3046</v>
      </c>
      <c r="H203" s="741"/>
      <c r="I203" s="741">
        <v>0</v>
      </c>
      <c r="J203" s="706"/>
    </row>
    <row r="204" spans="1:10" s="58" customFormat="1">
      <c r="A204" s="701">
        <v>130</v>
      </c>
      <c r="B204" s="737">
        <v>100</v>
      </c>
      <c r="C204" s="707">
        <v>100</v>
      </c>
      <c r="D204" s="702">
        <v>900</v>
      </c>
      <c r="E204" s="702"/>
      <c r="F204" s="703"/>
      <c r="G204" s="704" t="s">
        <v>3047</v>
      </c>
      <c r="H204" s="741">
        <v>646.86</v>
      </c>
      <c r="I204" s="741">
        <v>0</v>
      </c>
      <c r="J204" s="706"/>
    </row>
    <row r="205" spans="1:10" s="58" customFormat="1">
      <c r="A205" s="701">
        <v>130</v>
      </c>
      <c r="B205" s="737">
        <v>100</v>
      </c>
      <c r="C205" s="707">
        <v>200</v>
      </c>
      <c r="D205" s="707"/>
      <c r="E205" s="707"/>
      <c r="F205" s="708"/>
      <c r="G205" s="709" t="s">
        <v>3048</v>
      </c>
      <c r="H205" s="742"/>
      <c r="I205" s="742"/>
      <c r="J205" s="758"/>
    </row>
    <row r="206" spans="1:10" s="58" customFormat="1">
      <c r="A206" s="701">
        <v>130</v>
      </c>
      <c r="B206" s="737">
        <v>100</v>
      </c>
      <c r="C206" s="707">
        <v>200</v>
      </c>
      <c r="D206" s="702">
        <v>100</v>
      </c>
      <c r="E206" s="702"/>
      <c r="F206" s="703"/>
      <c r="G206" s="704" t="s">
        <v>3049</v>
      </c>
      <c r="H206" s="741">
        <f>10076.01+15299.35+1394.18+254+372.8+37.7</f>
        <v>27434.04</v>
      </c>
      <c r="I206" s="741">
        <v>93269.319999999992</v>
      </c>
      <c r="J206" s="706"/>
    </row>
    <row r="207" spans="1:10" s="58" customFormat="1">
      <c r="A207" s="701">
        <v>130</v>
      </c>
      <c r="B207" s="737">
        <v>100</v>
      </c>
      <c r="C207" s="707">
        <v>200</v>
      </c>
      <c r="D207" s="702">
        <v>200</v>
      </c>
      <c r="E207" s="702"/>
      <c r="F207" s="703"/>
      <c r="G207" s="704" t="s">
        <v>3050</v>
      </c>
      <c r="H207" s="741"/>
      <c r="I207" s="741">
        <v>0</v>
      </c>
      <c r="J207" s="706"/>
    </row>
    <row r="208" spans="1:10" s="58" customFormat="1">
      <c r="A208" s="701">
        <v>130</v>
      </c>
      <c r="B208" s="737">
        <v>100</v>
      </c>
      <c r="C208" s="707">
        <v>200</v>
      </c>
      <c r="D208" s="702">
        <v>300</v>
      </c>
      <c r="E208" s="702"/>
      <c r="F208" s="703"/>
      <c r="G208" s="704" t="s">
        <v>3051</v>
      </c>
      <c r="H208" s="741">
        <f>921.1+10423.9+9715.08+1829.74+329.03+363.9</f>
        <v>23582.750000000004</v>
      </c>
      <c r="I208" s="741">
        <v>0</v>
      </c>
      <c r="J208" s="706"/>
    </row>
    <row r="209" spans="1:10" s="58" customFormat="1">
      <c r="A209" s="701">
        <v>130</v>
      </c>
      <c r="B209" s="737">
        <v>100</v>
      </c>
      <c r="C209" s="707">
        <v>200</v>
      </c>
      <c r="D209" s="702">
        <v>400</v>
      </c>
      <c r="E209" s="702"/>
      <c r="F209" s="703"/>
      <c r="G209" s="704" t="s">
        <v>3052</v>
      </c>
      <c r="H209" s="741">
        <f>564.2+256.55+1444+244.1+222.5+1042.1+94+58</f>
        <v>3925.45</v>
      </c>
      <c r="I209" s="741">
        <v>0</v>
      </c>
      <c r="J209" s="706"/>
    </row>
    <row r="210" spans="1:10" s="58" customFormat="1">
      <c r="A210" s="701">
        <v>130</v>
      </c>
      <c r="B210" s="737">
        <v>100</v>
      </c>
      <c r="C210" s="707">
        <v>200</v>
      </c>
      <c r="D210" s="702">
        <v>500</v>
      </c>
      <c r="E210" s="702"/>
      <c r="F210" s="703"/>
      <c r="G210" s="704" t="s">
        <v>3053</v>
      </c>
      <c r="H210" s="741">
        <f>1823.6+217.71+2861.44+3202.99+2962.8</f>
        <v>11068.54</v>
      </c>
      <c r="I210" s="741">
        <v>0</v>
      </c>
      <c r="J210" s="706"/>
    </row>
    <row r="211" spans="1:10" s="58" customFormat="1">
      <c r="A211" s="701">
        <v>130</v>
      </c>
      <c r="B211" s="737">
        <v>100</v>
      </c>
      <c r="C211" s="707">
        <v>200</v>
      </c>
      <c r="D211" s="702">
        <v>600</v>
      </c>
      <c r="E211" s="702"/>
      <c r="F211" s="703"/>
      <c r="G211" s="704" t="s">
        <v>3054</v>
      </c>
      <c r="H211" s="741"/>
      <c r="I211" s="741">
        <v>0</v>
      </c>
      <c r="J211" s="706"/>
    </row>
    <row r="212" spans="1:10" s="58" customFormat="1">
      <c r="A212" s="701">
        <v>130</v>
      </c>
      <c r="B212" s="737">
        <v>100</v>
      </c>
      <c r="C212" s="707">
        <v>200</v>
      </c>
      <c r="D212" s="702">
        <v>700</v>
      </c>
      <c r="E212" s="702"/>
      <c r="F212" s="703"/>
      <c r="G212" s="704" t="s">
        <v>3055</v>
      </c>
      <c r="H212" s="741"/>
      <c r="I212" s="741">
        <v>0</v>
      </c>
      <c r="J212" s="706"/>
    </row>
    <row r="213" spans="1:10" s="58" customFormat="1">
      <c r="A213" s="701">
        <v>130</v>
      </c>
      <c r="B213" s="737">
        <v>100</v>
      </c>
      <c r="C213" s="707">
        <v>200</v>
      </c>
      <c r="D213" s="702">
        <v>800</v>
      </c>
      <c r="E213" s="702"/>
      <c r="F213" s="703"/>
      <c r="G213" s="704" t="s">
        <v>3056</v>
      </c>
      <c r="H213" s="741"/>
      <c r="I213" s="741">
        <v>0</v>
      </c>
      <c r="J213" s="706"/>
    </row>
    <row r="214" spans="1:10" s="58" customFormat="1">
      <c r="A214" s="701">
        <v>130</v>
      </c>
      <c r="B214" s="737">
        <v>200</v>
      </c>
      <c r="C214" s="737"/>
      <c r="D214" s="707"/>
      <c r="E214" s="707"/>
      <c r="F214" s="708"/>
      <c r="G214" s="709" t="s">
        <v>2221</v>
      </c>
      <c r="H214" s="742"/>
      <c r="I214" s="742"/>
      <c r="J214" s="706" t="s">
        <v>2638</v>
      </c>
    </row>
    <row r="215" spans="1:10" s="58" customFormat="1">
      <c r="A215" s="701">
        <v>130</v>
      </c>
      <c r="B215" s="737">
        <v>200</v>
      </c>
      <c r="C215" s="739">
        <v>100</v>
      </c>
      <c r="D215" s="702"/>
      <c r="E215" s="702"/>
      <c r="F215" s="703"/>
      <c r="G215" s="704" t="s">
        <v>3057</v>
      </c>
      <c r="H215" s="741">
        <v>239115355.11000001</v>
      </c>
      <c r="I215" s="741">
        <v>179923676.42000002</v>
      </c>
      <c r="J215" s="758"/>
    </row>
    <row r="216" spans="1:10" s="58" customFormat="1">
      <c r="A216" s="701">
        <v>130</v>
      </c>
      <c r="B216" s="737">
        <v>200</v>
      </c>
      <c r="C216" s="739">
        <v>110</v>
      </c>
      <c r="D216" s="702"/>
      <c r="E216" s="702"/>
      <c r="F216" s="703"/>
      <c r="G216" s="704" t="s">
        <v>3058</v>
      </c>
      <c r="H216" s="741"/>
      <c r="I216" s="741">
        <v>0</v>
      </c>
      <c r="J216" s="758"/>
    </row>
    <row r="217" spans="1:10" s="58" customFormat="1">
      <c r="A217" s="701">
        <v>130</v>
      </c>
      <c r="B217" s="737">
        <v>200</v>
      </c>
      <c r="C217" s="739">
        <v>200</v>
      </c>
      <c r="D217" s="702"/>
      <c r="E217" s="702"/>
      <c r="F217" s="703"/>
      <c r="G217" s="704" t="s">
        <v>3059</v>
      </c>
      <c r="H217" s="741"/>
      <c r="I217" s="741">
        <v>0</v>
      </c>
      <c r="J217" s="706"/>
    </row>
    <row r="218" spans="1:10" s="58" customFormat="1">
      <c r="A218" s="701">
        <v>130</v>
      </c>
      <c r="B218" s="739">
        <v>300</v>
      </c>
      <c r="C218" s="702"/>
      <c r="D218" s="702"/>
      <c r="E218" s="702"/>
      <c r="F218" s="703"/>
      <c r="G218" s="704" t="s">
        <v>2222</v>
      </c>
      <c r="H218" s="741"/>
      <c r="I218" s="741">
        <v>0</v>
      </c>
      <c r="J218" s="706" t="s">
        <v>2640</v>
      </c>
    </row>
    <row r="219" spans="1:10" s="58" customFormat="1">
      <c r="A219" s="701">
        <v>130</v>
      </c>
      <c r="B219" s="737">
        <v>400</v>
      </c>
      <c r="C219" s="707"/>
      <c r="D219" s="707"/>
      <c r="E219" s="707"/>
      <c r="F219" s="708"/>
      <c r="G219" s="709" t="s">
        <v>2223</v>
      </c>
      <c r="H219" s="742"/>
      <c r="I219" s="742"/>
      <c r="J219" s="706" t="s">
        <v>2642</v>
      </c>
    </row>
    <row r="220" spans="1:10" s="58" customFormat="1">
      <c r="A220" s="701">
        <v>130</v>
      </c>
      <c r="B220" s="737">
        <v>400</v>
      </c>
      <c r="C220" s="739">
        <v>100</v>
      </c>
      <c r="D220" s="739"/>
      <c r="E220" s="739"/>
      <c r="F220" s="740"/>
      <c r="G220" s="704" t="s">
        <v>3060</v>
      </c>
      <c r="H220" s="741">
        <v>33565.08</v>
      </c>
      <c r="I220" s="741">
        <v>68436.11</v>
      </c>
      <c r="J220" s="758"/>
    </row>
    <row r="221" spans="1:10" s="58" customFormat="1">
      <c r="A221" s="701">
        <v>130</v>
      </c>
      <c r="B221" s="737">
        <v>400</v>
      </c>
      <c r="C221" s="739">
        <v>110</v>
      </c>
      <c r="D221" s="739"/>
      <c r="E221" s="739"/>
      <c r="F221" s="740"/>
      <c r="G221" s="704" t="s">
        <v>3061</v>
      </c>
      <c r="H221" s="741">
        <v>6694.13</v>
      </c>
      <c r="I221" s="741">
        <v>7602.17</v>
      </c>
      <c r="J221" s="758"/>
    </row>
    <row r="222" spans="1:10" s="58" customFormat="1">
      <c r="A222" s="701">
        <v>130</v>
      </c>
      <c r="B222" s="737">
        <v>400</v>
      </c>
      <c r="C222" s="739">
        <v>120</v>
      </c>
      <c r="D222" s="739"/>
      <c r="E222" s="739"/>
      <c r="F222" s="740"/>
      <c r="G222" s="704" t="s">
        <v>3062</v>
      </c>
      <c r="H222" s="741"/>
      <c r="I222" s="741">
        <v>976.82</v>
      </c>
      <c r="J222" s="758"/>
    </row>
    <row r="223" spans="1:10" s="58" customFormat="1">
      <c r="A223" s="701">
        <v>130</v>
      </c>
      <c r="B223" s="737">
        <v>400</v>
      </c>
      <c r="C223" s="739">
        <v>130</v>
      </c>
      <c r="D223" s="739"/>
      <c r="E223" s="739"/>
      <c r="F223" s="740"/>
      <c r="G223" s="704" t="s">
        <v>3063</v>
      </c>
      <c r="H223" s="741"/>
      <c r="I223" s="741">
        <v>0</v>
      </c>
      <c r="J223" s="758"/>
    </row>
    <row r="224" spans="1:10" s="58" customFormat="1">
      <c r="A224" s="701">
        <v>130</v>
      </c>
      <c r="B224" s="737">
        <v>400</v>
      </c>
      <c r="C224" s="739">
        <v>200</v>
      </c>
      <c r="D224" s="739"/>
      <c r="E224" s="739"/>
      <c r="F224" s="740"/>
      <c r="G224" s="704" t="s">
        <v>3064</v>
      </c>
      <c r="H224" s="741">
        <v>37385.230000000003</v>
      </c>
      <c r="I224" s="741">
        <v>35597</v>
      </c>
      <c r="J224" s="706"/>
    </row>
    <row r="225" spans="1:10" s="58" customFormat="1">
      <c r="A225" s="701">
        <v>130</v>
      </c>
      <c r="B225" s="737">
        <v>400</v>
      </c>
      <c r="C225" s="739">
        <v>300</v>
      </c>
      <c r="D225" s="739"/>
      <c r="E225" s="739"/>
      <c r="F225" s="740"/>
      <c r="G225" s="704" t="s">
        <v>3065</v>
      </c>
      <c r="H225" s="741"/>
      <c r="I225" s="741">
        <v>0</v>
      </c>
      <c r="J225" s="706"/>
    </row>
    <row r="226" spans="1:10" s="58" customFormat="1">
      <c r="A226" s="701">
        <v>130</v>
      </c>
      <c r="B226" s="737">
        <v>400</v>
      </c>
      <c r="C226" s="739">
        <v>400</v>
      </c>
      <c r="D226" s="739"/>
      <c r="E226" s="739"/>
      <c r="F226" s="740"/>
      <c r="G226" s="704" t="s">
        <v>3066</v>
      </c>
      <c r="H226" s="741"/>
      <c r="I226" s="741">
        <v>0</v>
      </c>
      <c r="J226" s="706"/>
    </row>
    <row r="227" spans="1:10" s="58" customFormat="1">
      <c r="A227" s="701">
        <v>130</v>
      </c>
      <c r="B227" s="737">
        <v>900</v>
      </c>
      <c r="C227" s="737"/>
      <c r="D227" s="737"/>
      <c r="E227" s="737"/>
      <c r="F227" s="738"/>
      <c r="G227" s="709" t="s">
        <v>3067</v>
      </c>
      <c r="H227" s="742"/>
      <c r="I227" s="742"/>
      <c r="J227" s="706"/>
    </row>
    <row r="228" spans="1:10" s="58" customFormat="1">
      <c r="A228" s="701">
        <v>130</v>
      </c>
      <c r="B228" s="737">
        <v>900</v>
      </c>
      <c r="C228" s="739">
        <v>100</v>
      </c>
      <c r="D228" s="739"/>
      <c r="E228" s="739"/>
      <c r="F228" s="740"/>
      <c r="G228" s="704" t="s">
        <v>3068</v>
      </c>
      <c r="H228" s="741"/>
      <c r="I228" s="741">
        <v>0</v>
      </c>
      <c r="J228" s="706"/>
    </row>
    <row r="229" spans="1:10" s="58" customFormat="1">
      <c r="A229" s="701">
        <v>130</v>
      </c>
      <c r="B229" s="737">
        <v>900</v>
      </c>
      <c r="C229" s="739">
        <v>200</v>
      </c>
      <c r="D229" s="739"/>
      <c r="E229" s="739"/>
      <c r="F229" s="740"/>
      <c r="G229" s="704" t="s">
        <v>3069</v>
      </c>
      <c r="H229" s="741"/>
      <c r="I229" s="741">
        <v>0</v>
      </c>
      <c r="J229" s="706"/>
    </row>
    <row r="230" spans="1:10" s="58" customFormat="1">
      <c r="A230" s="701">
        <v>130</v>
      </c>
      <c r="B230" s="737">
        <v>900</v>
      </c>
      <c r="C230" s="739">
        <v>300</v>
      </c>
      <c r="D230" s="739"/>
      <c r="E230" s="739"/>
      <c r="F230" s="740"/>
      <c r="G230" s="704" t="s">
        <v>3070</v>
      </c>
      <c r="H230" s="741"/>
      <c r="I230" s="741">
        <v>0</v>
      </c>
      <c r="J230" s="706"/>
    </row>
    <row r="231" spans="1:10" s="58" customFormat="1">
      <c r="A231" s="701">
        <v>130</v>
      </c>
      <c r="B231" s="737">
        <v>900</v>
      </c>
      <c r="C231" s="739">
        <v>301</v>
      </c>
      <c r="D231" s="739"/>
      <c r="E231" s="739"/>
      <c r="F231" s="740"/>
      <c r="G231" s="704" t="s">
        <v>3071</v>
      </c>
      <c r="H231" s="741"/>
      <c r="I231" s="741">
        <v>0</v>
      </c>
      <c r="J231" s="706"/>
    </row>
    <row r="232" spans="1:10" s="58" customFormat="1">
      <c r="A232" s="701">
        <v>130</v>
      </c>
      <c r="B232" s="737">
        <v>900</v>
      </c>
      <c r="C232" s="739">
        <v>302</v>
      </c>
      <c r="D232" s="739"/>
      <c r="E232" s="739"/>
      <c r="F232" s="740"/>
      <c r="G232" s="704" t="s">
        <v>3072</v>
      </c>
      <c r="H232" s="741"/>
      <c r="I232" s="741">
        <v>0</v>
      </c>
      <c r="J232" s="706"/>
    </row>
    <row r="233" spans="1:10" s="58" customFormat="1">
      <c r="A233" s="701">
        <v>130</v>
      </c>
      <c r="B233" s="737">
        <v>900</v>
      </c>
      <c r="C233" s="739">
        <v>303</v>
      </c>
      <c r="D233" s="739"/>
      <c r="E233" s="739"/>
      <c r="F233" s="740"/>
      <c r="G233" s="704" t="s">
        <v>3073</v>
      </c>
      <c r="H233" s="741"/>
      <c r="I233" s="741">
        <v>0</v>
      </c>
      <c r="J233" s="706"/>
    </row>
    <row r="234" spans="1:10" s="58" customFormat="1">
      <c r="A234" s="701">
        <v>130</v>
      </c>
      <c r="B234" s="737">
        <v>900</v>
      </c>
      <c r="C234" s="739">
        <v>304</v>
      </c>
      <c r="D234" s="739"/>
      <c r="E234" s="739"/>
      <c r="F234" s="740"/>
      <c r="G234" s="704" t="s">
        <v>3074</v>
      </c>
      <c r="H234" s="741"/>
      <c r="I234" s="741">
        <v>0</v>
      </c>
      <c r="J234" s="706"/>
    </row>
    <row r="235" spans="1:10" s="58" customFormat="1">
      <c r="A235" s="701">
        <v>130</v>
      </c>
      <c r="B235" s="737">
        <v>900</v>
      </c>
      <c r="C235" s="739">
        <v>305</v>
      </c>
      <c r="D235" s="739"/>
      <c r="E235" s="739"/>
      <c r="F235" s="740"/>
      <c r="G235" s="704" t="s">
        <v>3075</v>
      </c>
      <c r="H235" s="741"/>
      <c r="I235" s="741">
        <v>0</v>
      </c>
      <c r="J235" s="706"/>
    </row>
    <row r="236" spans="1:10" s="58" customFormat="1">
      <c r="A236" s="701">
        <v>130</v>
      </c>
      <c r="B236" s="737">
        <v>900</v>
      </c>
      <c r="C236" s="739">
        <v>306</v>
      </c>
      <c r="D236" s="739"/>
      <c r="E236" s="739"/>
      <c r="F236" s="740"/>
      <c r="G236" s="704" t="s">
        <v>3076</v>
      </c>
      <c r="H236" s="741"/>
      <c r="I236" s="741">
        <v>0</v>
      </c>
      <c r="J236" s="706"/>
    </row>
    <row r="237" spans="1:10" s="58" customFormat="1">
      <c r="A237" s="701">
        <v>130</v>
      </c>
      <c r="B237" s="737">
        <v>900</v>
      </c>
      <c r="C237" s="739">
        <v>307</v>
      </c>
      <c r="D237" s="739"/>
      <c r="E237" s="739"/>
      <c r="F237" s="740"/>
      <c r="G237" s="704" t="s">
        <v>3077</v>
      </c>
      <c r="H237" s="741"/>
      <c r="I237" s="741">
        <v>0</v>
      </c>
      <c r="J237" s="706"/>
    </row>
    <row r="238" spans="1:10" s="58" customFormat="1">
      <c r="A238" s="701">
        <v>130</v>
      </c>
      <c r="B238" s="737">
        <v>900</v>
      </c>
      <c r="C238" s="739">
        <v>308</v>
      </c>
      <c r="D238" s="739"/>
      <c r="E238" s="739"/>
      <c r="F238" s="740"/>
      <c r="G238" s="704" t="s">
        <v>3078</v>
      </c>
      <c r="H238" s="741"/>
      <c r="I238" s="741">
        <v>0</v>
      </c>
      <c r="J238" s="706"/>
    </row>
    <row r="239" spans="1:10" s="58" customFormat="1">
      <c r="A239" s="701">
        <v>130</v>
      </c>
      <c r="B239" s="737">
        <v>900</v>
      </c>
      <c r="C239" s="739">
        <v>309</v>
      </c>
      <c r="D239" s="739"/>
      <c r="E239" s="739"/>
      <c r="F239" s="740"/>
      <c r="G239" s="704" t="s">
        <v>3079</v>
      </c>
      <c r="H239" s="741"/>
      <c r="I239" s="741">
        <v>0</v>
      </c>
      <c r="J239" s="706"/>
    </row>
    <row r="240" spans="1:10" s="58" customFormat="1">
      <c r="A240" s="711">
        <v>140</v>
      </c>
      <c r="B240" s="712">
        <v>0</v>
      </c>
      <c r="C240" s="712">
        <v>0</v>
      </c>
      <c r="D240" s="712">
        <v>0</v>
      </c>
      <c r="E240" s="712">
        <v>0</v>
      </c>
      <c r="F240" s="713">
        <v>0</v>
      </c>
      <c r="G240" s="714" t="s">
        <v>2225</v>
      </c>
      <c r="H240" s="743"/>
      <c r="I240" s="743"/>
      <c r="J240" s="755"/>
    </row>
    <row r="241" spans="1:10" s="58" customFormat="1">
      <c r="A241" s="756">
        <v>140</v>
      </c>
      <c r="B241" s="737">
        <v>100</v>
      </c>
      <c r="C241" s="707"/>
      <c r="D241" s="707"/>
      <c r="E241" s="707"/>
      <c r="F241" s="708"/>
      <c r="G241" s="709" t="s">
        <v>3080</v>
      </c>
      <c r="H241" s="742"/>
      <c r="I241" s="742"/>
      <c r="J241" s="706"/>
    </row>
    <row r="242" spans="1:10" s="58" customFormat="1">
      <c r="A242" s="756">
        <v>140</v>
      </c>
      <c r="B242" s="737">
        <v>100</v>
      </c>
      <c r="C242" s="739">
        <v>100</v>
      </c>
      <c r="D242" s="702"/>
      <c r="E242" s="702"/>
      <c r="F242" s="703"/>
      <c r="G242" s="704" t="s">
        <v>2226</v>
      </c>
      <c r="H242" s="741">
        <v>2250</v>
      </c>
      <c r="I242" s="741">
        <v>0</v>
      </c>
      <c r="J242" s="706" t="s">
        <v>2648</v>
      </c>
    </row>
    <row r="243" spans="1:10" s="62" customFormat="1">
      <c r="A243" s="756">
        <v>140</v>
      </c>
      <c r="B243" s="737">
        <v>100</v>
      </c>
      <c r="C243" s="739">
        <v>200</v>
      </c>
      <c r="D243" s="702"/>
      <c r="E243" s="702"/>
      <c r="F243" s="703"/>
      <c r="G243" s="704" t="s">
        <v>3081</v>
      </c>
      <c r="H243" s="741"/>
      <c r="I243" s="741">
        <v>0</v>
      </c>
      <c r="J243" s="706" t="s">
        <v>2650</v>
      </c>
    </row>
    <row r="244" spans="1:10" s="58" customFormat="1">
      <c r="A244" s="756">
        <v>140</v>
      </c>
      <c r="B244" s="737">
        <v>200</v>
      </c>
      <c r="C244" s="707"/>
      <c r="D244" s="707"/>
      <c r="E244" s="707"/>
      <c r="F244" s="708"/>
      <c r="G244" s="709" t="s">
        <v>3082</v>
      </c>
      <c r="H244" s="742"/>
      <c r="I244" s="742">
        <v>0</v>
      </c>
      <c r="J244" s="706"/>
    </row>
    <row r="245" spans="1:10" s="58" customFormat="1">
      <c r="A245" s="756">
        <v>140</v>
      </c>
      <c r="B245" s="737">
        <v>200</v>
      </c>
      <c r="C245" s="739">
        <v>100</v>
      </c>
      <c r="D245" s="702"/>
      <c r="E245" s="702"/>
      <c r="F245" s="703"/>
      <c r="G245" s="704" t="s">
        <v>2227</v>
      </c>
      <c r="H245" s="741">
        <v>93959.39</v>
      </c>
      <c r="I245" s="741">
        <v>416589.7</v>
      </c>
      <c r="J245" s="706" t="s">
        <v>2654</v>
      </c>
    </row>
    <row r="246" spans="1:10" s="58" customFormat="1">
      <c r="A246" s="756">
        <v>140</v>
      </c>
      <c r="B246" s="737">
        <v>200</v>
      </c>
      <c r="C246" s="739">
        <v>200</v>
      </c>
      <c r="D246" s="702"/>
      <c r="E246" s="702"/>
      <c r="F246" s="703"/>
      <c r="G246" s="704" t="s">
        <v>3083</v>
      </c>
      <c r="H246" s="741"/>
      <c r="I246" s="741"/>
      <c r="J246" s="706" t="s">
        <v>2656</v>
      </c>
    </row>
    <row r="247" spans="1:10" s="58" customFormat="1">
      <c r="A247" s="759">
        <v>150</v>
      </c>
      <c r="B247" s="760">
        <v>0</v>
      </c>
      <c r="C247" s="760">
        <v>0</v>
      </c>
      <c r="D247" s="760">
        <v>0</v>
      </c>
      <c r="E247" s="760">
        <v>0</v>
      </c>
      <c r="F247" s="761">
        <v>0</v>
      </c>
      <c r="G247" s="762" t="s">
        <v>3084</v>
      </c>
      <c r="H247" s="763">
        <f>SUM(H4:H246)</f>
        <v>1306259952.5899999</v>
      </c>
      <c r="I247" s="763">
        <f>SUM(I4:I246)</f>
        <v>1205626254.4574299</v>
      </c>
      <c r="J247" s="764" t="s">
        <v>2658</v>
      </c>
    </row>
    <row r="248" spans="1:10" s="58" customFormat="1">
      <c r="A248" s="711">
        <v>195</v>
      </c>
      <c r="B248" s="712">
        <v>0</v>
      </c>
      <c r="C248" s="712">
        <v>0</v>
      </c>
      <c r="D248" s="712">
        <v>0</v>
      </c>
      <c r="E248" s="712">
        <v>0</v>
      </c>
      <c r="F248" s="713">
        <v>0</v>
      </c>
      <c r="G248" s="714" t="s">
        <v>2230</v>
      </c>
      <c r="H248" s="743"/>
      <c r="I248" s="743"/>
      <c r="J248" s="755"/>
    </row>
    <row r="249" spans="1:10" s="58" customFormat="1">
      <c r="A249" s="756">
        <v>195</v>
      </c>
      <c r="B249" s="739">
        <v>100</v>
      </c>
      <c r="C249" s="702"/>
      <c r="D249" s="702"/>
      <c r="E249" s="702"/>
      <c r="F249" s="703"/>
      <c r="G249" s="704" t="s">
        <v>3085</v>
      </c>
      <c r="H249" s="741"/>
      <c r="I249" s="741"/>
      <c r="J249" s="706" t="s">
        <v>2662</v>
      </c>
    </row>
    <row r="250" spans="1:10" s="62" customFormat="1">
      <c r="A250" s="756">
        <v>195</v>
      </c>
      <c r="B250" s="739">
        <v>200</v>
      </c>
      <c r="C250" s="702"/>
      <c r="D250" s="702"/>
      <c r="E250" s="702"/>
      <c r="F250" s="703"/>
      <c r="G250" s="704" t="s">
        <v>3086</v>
      </c>
      <c r="H250" s="741">
        <v>539194.87</v>
      </c>
      <c r="I250" s="741">
        <v>5237.47</v>
      </c>
      <c r="J250" s="706" t="s">
        <v>2664</v>
      </c>
    </row>
    <row r="251" spans="1:10" s="62" customFormat="1">
      <c r="A251" s="756">
        <v>195</v>
      </c>
      <c r="B251" s="739">
        <v>300</v>
      </c>
      <c r="C251" s="702"/>
      <c r="D251" s="702"/>
      <c r="E251" s="702"/>
      <c r="F251" s="703"/>
      <c r="G251" s="704" t="s">
        <v>3087</v>
      </c>
      <c r="H251" s="741">
        <v>2715845.78</v>
      </c>
      <c r="I251" s="741">
        <v>453686.63</v>
      </c>
      <c r="J251" s="706" t="s">
        <v>2666</v>
      </c>
    </row>
    <row r="252" spans="1:10" s="58" customFormat="1">
      <c r="A252" s="756">
        <v>195</v>
      </c>
      <c r="B252" s="739">
        <v>350</v>
      </c>
      <c r="C252" s="702"/>
      <c r="D252" s="702"/>
      <c r="E252" s="702"/>
      <c r="F252" s="703"/>
      <c r="G252" s="704" t="s">
        <v>3088</v>
      </c>
      <c r="H252" s="741"/>
      <c r="I252" s="741">
        <v>0</v>
      </c>
      <c r="J252" s="706" t="s">
        <v>2668</v>
      </c>
    </row>
    <row r="253" spans="1:10" s="58" customFormat="1">
      <c r="A253" s="756">
        <v>195</v>
      </c>
      <c r="B253" s="737">
        <v>400</v>
      </c>
      <c r="C253" s="707"/>
      <c r="D253" s="707"/>
      <c r="E253" s="707"/>
      <c r="F253" s="708"/>
      <c r="G253" s="709" t="s">
        <v>3089</v>
      </c>
      <c r="H253" s="742"/>
      <c r="I253" s="742"/>
      <c r="J253" s="706" t="s">
        <v>2670</v>
      </c>
    </row>
    <row r="254" spans="1:10" s="58" customFormat="1">
      <c r="A254" s="756">
        <v>195</v>
      </c>
      <c r="B254" s="737">
        <v>400</v>
      </c>
      <c r="C254" s="702">
        <v>100</v>
      </c>
      <c r="D254" s="702"/>
      <c r="E254" s="702"/>
      <c r="F254" s="703"/>
      <c r="G254" s="704" t="s">
        <v>3090</v>
      </c>
      <c r="H254" s="741"/>
      <c r="I254" s="741">
        <v>0</v>
      </c>
      <c r="J254" s="706"/>
    </row>
    <row r="255" spans="1:10" s="58" customFormat="1">
      <c r="A255" s="756">
        <v>195</v>
      </c>
      <c r="B255" s="737">
        <v>400</v>
      </c>
      <c r="C255" s="702">
        <v>200</v>
      </c>
      <c r="D255" s="702"/>
      <c r="E255" s="702"/>
      <c r="F255" s="703"/>
      <c r="G255" s="704" t="s">
        <v>2233</v>
      </c>
      <c r="H255" s="741"/>
      <c r="I255" s="741">
        <v>0</v>
      </c>
      <c r="J255" s="706"/>
    </row>
    <row r="256" spans="1:10" s="58" customFormat="1">
      <c r="A256" s="756">
        <v>195</v>
      </c>
      <c r="B256" s="737">
        <v>400</v>
      </c>
      <c r="C256" s="702">
        <v>300</v>
      </c>
      <c r="D256" s="702"/>
      <c r="E256" s="702"/>
      <c r="F256" s="703"/>
      <c r="G256" s="704" t="s">
        <v>3091</v>
      </c>
      <c r="H256" s="741">
        <v>4257242.7</v>
      </c>
      <c r="I256" s="741">
        <v>11933304.719999999</v>
      </c>
      <c r="J256" s="706"/>
    </row>
    <row r="257" spans="1:10" s="58" customFormat="1">
      <c r="A257" s="756">
        <v>195</v>
      </c>
      <c r="B257" s="737">
        <v>400</v>
      </c>
      <c r="C257" s="702">
        <v>400</v>
      </c>
      <c r="D257" s="702"/>
      <c r="E257" s="702"/>
      <c r="F257" s="703"/>
      <c r="G257" s="704" t="s">
        <v>3092</v>
      </c>
      <c r="H257" s="741">
        <v>8757</v>
      </c>
      <c r="I257" s="741">
        <v>0</v>
      </c>
      <c r="J257" s="706"/>
    </row>
    <row r="258" spans="1:10" s="58" customFormat="1">
      <c r="A258" s="756">
        <v>195</v>
      </c>
      <c r="B258" s="737">
        <v>400</v>
      </c>
      <c r="C258" s="702">
        <v>500</v>
      </c>
      <c r="D258" s="702"/>
      <c r="E258" s="702"/>
      <c r="F258" s="703"/>
      <c r="G258" s="704" t="s">
        <v>3093</v>
      </c>
      <c r="H258" s="741">
        <v>30381844.93</v>
      </c>
      <c r="I258" s="741">
        <v>13957755.59</v>
      </c>
      <c r="J258" s="706"/>
    </row>
    <row r="259" spans="1:10" s="58" customFormat="1">
      <c r="A259" s="756">
        <v>195</v>
      </c>
      <c r="B259" s="737">
        <v>400</v>
      </c>
      <c r="C259" s="702">
        <v>600</v>
      </c>
      <c r="D259" s="702"/>
      <c r="E259" s="702"/>
      <c r="F259" s="703"/>
      <c r="G259" s="704" t="s">
        <v>3094</v>
      </c>
      <c r="H259" s="741"/>
      <c r="I259" s="741"/>
      <c r="J259" s="706"/>
    </row>
    <row r="260" spans="1:10" s="58" customFormat="1" ht="13.5" thickBot="1">
      <c r="A260" s="765">
        <v>195</v>
      </c>
      <c r="B260" s="766">
        <v>400</v>
      </c>
      <c r="C260" s="767">
        <v>900</v>
      </c>
      <c r="D260" s="767"/>
      <c r="E260" s="767"/>
      <c r="F260" s="768"/>
      <c r="G260" s="769" t="s">
        <v>3095</v>
      </c>
      <c r="H260" s="770"/>
      <c r="I260" s="770"/>
      <c r="J260" s="771"/>
    </row>
    <row r="261" spans="1:10" s="58" customFormat="1">
      <c r="H261" s="772">
        <f>SUM(H4:H245)</f>
        <v>1306259952.5899999</v>
      </c>
      <c r="I261" s="772">
        <f>SUM(I4:I245)</f>
        <v>1205626254.4574299</v>
      </c>
    </row>
    <row r="262" spans="1:10" s="58" customFormat="1">
      <c r="H262" s="319">
        <f>SUM(H250:H258)</f>
        <v>37902885.280000001</v>
      </c>
      <c r="I262" s="319">
        <f>SUM(I250:I258)</f>
        <v>26349984.409999996</v>
      </c>
    </row>
    <row r="263" spans="1:10" s="58" customFormat="1">
      <c r="A263" s="694"/>
      <c r="B263" s="694"/>
      <c r="C263" s="694"/>
      <c r="D263" s="694"/>
      <c r="E263" s="694"/>
      <c r="F263" s="694"/>
      <c r="G263" s="694"/>
      <c r="H263" s="773">
        <f>SUM(H261:H262)</f>
        <v>1344162837.8699999</v>
      </c>
      <c r="I263" s="773">
        <f>SUM(I261:I262)</f>
        <v>1231976238.86743</v>
      </c>
      <c r="J263" s="694"/>
    </row>
    <row r="264" spans="1:10" s="58" customFormat="1">
      <c r="A264" s="694"/>
      <c r="B264" s="694"/>
      <c r="C264" s="694"/>
      <c r="D264" s="694"/>
      <c r="E264" s="694"/>
      <c r="F264" s="694"/>
      <c r="G264" s="694"/>
      <c r="H264" s="773"/>
      <c r="I264" s="773"/>
      <c r="J264" s="694"/>
    </row>
    <row r="265" spans="1:10" s="58" customFormat="1">
      <c r="A265" s="694"/>
      <c r="B265" s="694"/>
      <c r="C265" s="694"/>
      <c r="D265" s="694"/>
      <c r="E265" s="694"/>
      <c r="F265" s="694"/>
      <c r="G265" s="694"/>
      <c r="H265" s="773"/>
      <c r="I265" s="773"/>
      <c r="J265" s="694"/>
    </row>
  </sheetData>
  <mergeCells count="5">
    <mergeCell ref="A1:F1"/>
    <mergeCell ref="G1:G2"/>
    <mergeCell ref="H1:H2"/>
    <mergeCell ref="J1:J2"/>
    <mergeCell ref="I1:I2"/>
  </mergeCells>
  <printOptions horizontalCentered="1"/>
  <pageMargins left="0.59055118110236227" right="0.23622047244094491" top="0.35433070866141736" bottom="0.31496062992125984" header="0.19685039370078741" footer="0.27559055118110237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J326"/>
  <sheetViews>
    <sheetView zoomScale="130" zoomScaleNormal="130" workbookViewId="0">
      <pane ySplit="2" topLeftCell="A3" activePane="bottomLeft" state="frozen"/>
      <selection activeCell="I144" sqref="I144"/>
      <selection pane="bottomLeft" sqref="A1:F1"/>
    </sheetView>
  </sheetViews>
  <sheetFormatPr defaultColWidth="8.85546875" defaultRowHeight="12.75"/>
  <cols>
    <col min="1" max="4" width="4" style="833" bestFit="1" customWidth="1"/>
    <col min="5" max="5" width="3" style="833" bestFit="1" customWidth="1"/>
    <col min="6" max="6" width="3.5703125" style="833" customWidth="1"/>
    <col min="7" max="7" width="70.5703125" style="833" customWidth="1"/>
    <col min="8" max="9" width="16.5703125" style="834" customWidth="1"/>
    <col min="10" max="10" width="13.28515625" style="833" customWidth="1"/>
    <col min="11" max="11" width="4.140625" style="833" customWidth="1"/>
    <col min="12" max="16384" width="8.85546875" style="833"/>
  </cols>
  <sheetData>
    <row r="1" spans="1:10" s="58" customFormat="1" ht="20.25" customHeight="1" thickBot="1">
      <c r="A1" s="1036" t="s">
        <v>120</v>
      </c>
      <c r="B1" s="1037"/>
      <c r="C1" s="1037"/>
      <c r="D1" s="1037"/>
      <c r="E1" s="1037"/>
      <c r="F1" s="1038"/>
      <c r="G1" s="1039" t="s">
        <v>3096</v>
      </c>
      <c r="H1" s="980" t="s">
        <v>3485</v>
      </c>
      <c r="I1" s="980" t="s">
        <v>3484</v>
      </c>
      <c r="J1" s="985" t="s">
        <v>2939</v>
      </c>
    </row>
    <row r="2" spans="1:10" s="58" customFormat="1" ht="20.25" customHeight="1" thickBot="1">
      <c r="A2" s="380" t="s">
        <v>123</v>
      </c>
      <c r="B2" s="380" t="s">
        <v>124</v>
      </c>
      <c r="C2" s="380" t="s">
        <v>125</v>
      </c>
      <c r="D2" s="380" t="s">
        <v>126</v>
      </c>
      <c r="E2" s="380" t="s">
        <v>127</v>
      </c>
      <c r="F2" s="380" t="s">
        <v>128</v>
      </c>
      <c r="G2" s="1040"/>
      <c r="H2" s="981"/>
      <c r="I2" s="981"/>
      <c r="J2" s="986"/>
    </row>
    <row r="3" spans="1:10" s="62" customFormat="1" ht="13.5" thickBot="1">
      <c r="A3" s="774">
        <v>200</v>
      </c>
      <c r="B3" s="775">
        <v>0</v>
      </c>
      <c r="C3" s="775">
        <v>0</v>
      </c>
      <c r="D3" s="775">
        <v>0</v>
      </c>
      <c r="E3" s="776">
        <v>0</v>
      </c>
      <c r="F3" s="777">
        <v>0</v>
      </c>
      <c r="G3" s="778" t="s">
        <v>2239</v>
      </c>
      <c r="H3" s="779"/>
      <c r="I3" s="779"/>
      <c r="J3" s="780"/>
    </row>
    <row r="4" spans="1:10" s="58" customFormat="1">
      <c r="A4" s="781">
        <v>200</v>
      </c>
      <c r="B4" s="782">
        <v>100</v>
      </c>
      <c r="C4" s="783"/>
      <c r="D4" s="783"/>
      <c r="E4" s="783"/>
      <c r="F4" s="784"/>
      <c r="G4" s="754" t="s">
        <v>3097</v>
      </c>
      <c r="H4" s="785">
        <v>704665.54</v>
      </c>
      <c r="I4" s="785">
        <v>704665.54</v>
      </c>
      <c r="J4" s="744" t="s">
        <v>2674</v>
      </c>
    </row>
    <row r="5" spans="1:10" s="58" customFormat="1">
      <c r="A5" s="781">
        <v>200</v>
      </c>
      <c r="B5" s="786">
        <v>200</v>
      </c>
      <c r="C5" s="786"/>
      <c r="D5" s="786"/>
      <c r="E5" s="786"/>
      <c r="F5" s="787"/>
      <c r="G5" s="788" t="s">
        <v>3098</v>
      </c>
      <c r="H5" s="742"/>
      <c r="I5" s="742"/>
      <c r="J5" s="706"/>
    </row>
    <row r="6" spans="1:10" s="58" customFormat="1">
      <c r="A6" s="781">
        <v>200</v>
      </c>
      <c r="B6" s="786">
        <v>200</v>
      </c>
      <c r="C6" s="789">
        <v>100</v>
      </c>
      <c r="D6" s="786"/>
      <c r="E6" s="786"/>
      <c r="F6" s="787"/>
      <c r="G6" s="748" t="s">
        <v>3099</v>
      </c>
      <c r="H6" s="741">
        <v>124429047.03</v>
      </c>
      <c r="I6" s="741">
        <v>158603980.30000001</v>
      </c>
      <c r="J6" s="706" t="s">
        <v>2678</v>
      </c>
    </row>
    <row r="7" spans="1:10" s="58" customFormat="1">
      <c r="A7" s="781">
        <v>200</v>
      </c>
      <c r="B7" s="786">
        <v>200</v>
      </c>
      <c r="C7" s="786">
        <v>200</v>
      </c>
      <c r="D7" s="786"/>
      <c r="E7" s="786"/>
      <c r="F7" s="787"/>
      <c r="G7" s="788" t="s">
        <v>2243</v>
      </c>
      <c r="H7" s="742"/>
      <c r="I7" s="742"/>
      <c r="J7" s="706"/>
    </row>
    <row r="8" spans="1:10" s="58" customFormat="1">
      <c r="A8" s="781">
        <v>200</v>
      </c>
      <c r="B8" s="786">
        <v>200</v>
      </c>
      <c r="C8" s="786">
        <v>200</v>
      </c>
      <c r="D8" s="789">
        <v>100</v>
      </c>
      <c r="E8" s="789"/>
      <c r="F8" s="790"/>
      <c r="G8" s="748" t="s">
        <v>2245</v>
      </c>
      <c r="H8" s="741"/>
      <c r="I8" s="741">
        <v>0</v>
      </c>
      <c r="J8" s="706" t="s">
        <v>2682</v>
      </c>
    </row>
    <row r="9" spans="1:10" s="58" customFormat="1">
      <c r="A9" s="781">
        <v>200</v>
      </c>
      <c r="B9" s="786">
        <v>200</v>
      </c>
      <c r="C9" s="786">
        <v>200</v>
      </c>
      <c r="D9" s="789">
        <v>200</v>
      </c>
      <c r="E9" s="789"/>
      <c r="F9" s="790"/>
      <c r="G9" s="748" t="s">
        <v>3100</v>
      </c>
      <c r="H9" s="741"/>
      <c r="I9" s="741">
        <v>0</v>
      </c>
      <c r="J9" s="706" t="s">
        <v>2684</v>
      </c>
    </row>
    <row r="10" spans="1:10" s="58" customFormat="1">
      <c r="A10" s="781">
        <v>200</v>
      </c>
      <c r="B10" s="786">
        <v>200</v>
      </c>
      <c r="C10" s="786">
        <v>200</v>
      </c>
      <c r="D10" s="789">
        <v>300</v>
      </c>
      <c r="E10" s="789"/>
      <c r="F10" s="790"/>
      <c r="G10" s="748" t="s">
        <v>3101</v>
      </c>
      <c r="H10" s="741"/>
      <c r="I10" s="741">
        <v>0</v>
      </c>
      <c r="J10" s="706" t="s">
        <v>2686</v>
      </c>
    </row>
    <row r="11" spans="1:10" s="58" customFormat="1">
      <c r="A11" s="781">
        <v>200</v>
      </c>
      <c r="B11" s="786">
        <v>200</v>
      </c>
      <c r="C11" s="786">
        <v>300</v>
      </c>
      <c r="D11" s="786"/>
      <c r="E11" s="786"/>
      <c r="F11" s="787"/>
      <c r="G11" s="788" t="s">
        <v>2249</v>
      </c>
      <c r="H11" s="742"/>
      <c r="I11" s="742"/>
      <c r="J11" s="706" t="s">
        <v>2688</v>
      </c>
    </row>
    <row r="12" spans="1:10" s="58" customFormat="1">
      <c r="A12" s="781">
        <v>200</v>
      </c>
      <c r="B12" s="786">
        <v>200</v>
      </c>
      <c r="C12" s="786">
        <v>300</v>
      </c>
      <c r="D12" s="789">
        <v>100</v>
      </c>
      <c r="E12" s="789"/>
      <c r="F12" s="790"/>
      <c r="G12" s="791" t="s">
        <v>3102</v>
      </c>
      <c r="H12" s="741">
        <v>254809876.13</v>
      </c>
      <c r="I12" s="741">
        <v>254439354.81</v>
      </c>
      <c r="J12" s="706"/>
    </row>
    <row r="13" spans="1:10" s="58" customFormat="1">
      <c r="A13" s="781">
        <v>200</v>
      </c>
      <c r="B13" s="786">
        <v>200</v>
      </c>
      <c r="C13" s="786">
        <v>300</v>
      </c>
      <c r="D13" s="789">
        <v>200</v>
      </c>
      <c r="E13" s="789"/>
      <c r="F13" s="790"/>
      <c r="G13" s="791" t="s">
        <v>3103</v>
      </c>
      <c r="H13" s="741">
        <v>67415807.969999999</v>
      </c>
      <c r="I13" s="741">
        <v>31416358.650000002</v>
      </c>
      <c r="J13" s="706"/>
    </row>
    <row r="14" spans="1:10" s="58" customFormat="1">
      <c r="A14" s="781">
        <v>200</v>
      </c>
      <c r="B14" s="786">
        <v>200</v>
      </c>
      <c r="C14" s="786">
        <v>400</v>
      </c>
      <c r="D14" s="786"/>
      <c r="E14" s="786"/>
      <c r="F14" s="787"/>
      <c r="G14" s="788" t="s">
        <v>2250</v>
      </c>
      <c r="H14" s="742"/>
      <c r="I14" s="742"/>
      <c r="J14" s="706" t="s">
        <v>2690</v>
      </c>
    </row>
    <row r="15" spans="1:10" s="58" customFormat="1">
      <c r="A15" s="781">
        <v>200</v>
      </c>
      <c r="B15" s="786">
        <v>200</v>
      </c>
      <c r="C15" s="786">
        <v>400</v>
      </c>
      <c r="D15" s="789">
        <v>100</v>
      </c>
      <c r="E15" s="789"/>
      <c r="F15" s="790"/>
      <c r="G15" s="791" t="s">
        <v>3104</v>
      </c>
      <c r="H15" s="741"/>
      <c r="I15" s="741">
        <v>0</v>
      </c>
      <c r="J15" s="706"/>
    </row>
    <row r="16" spans="1:10" s="58" customFormat="1">
      <c r="A16" s="781">
        <v>200</v>
      </c>
      <c r="B16" s="786">
        <v>200</v>
      </c>
      <c r="C16" s="786">
        <v>400</v>
      </c>
      <c r="D16" s="789">
        <v>200</v>
      </c>
      <c r="E16" s="789"/>
      <c r="F16" s="790"/>
      <c r="G16" s="791" t="s">
        <v>3105</v>
      </c>
      <c r="H16" s="741">
        <v>8784473.5999999996</v>
      </c>
      <c r="I16" s="741">
        <v>11033906.6</v>
      </c>
      <c r="J16" s="706"/>
    </row>
    <row r="17" spans="1:10" s="58" customFormat="1">
      <c r="A17" s="781">
        <v>200</v>
      </c>
      <c r="B17" s="786">
        <v>200</v>
      </c>
      <c r="C17" s="789">
        <v>500</v>
      </c>
      <c r="D17" s="789"/>
      <c r="E17" s="789"/>
      <c r="F17" s="790"/>
      <c r="G17" s="748" t="s">
        <v>2251</v>
      </c>
      <c r="H17" s="741">
        <v>18825.72</v>
      </c>
      <c r="I17" s="741">
        <v>23095.4</v>
      </c>
      <c r="J17" s="706" t="s">
        <v>2692</v>
      </c>
    </row>
    <row r="18" spans="1:10" s="58" customFormat="1">
      <c r="A18" s="781">
        <v>200</v>
      </c>
      <c r="B18" s="789">
        <v>300</v>
      </c>
      <c r="C18" s="789"/>
      <c r="D18" s="789"/>
      <c r="E18" s="789"/>
      <c r="F18" s="790"/>
      <c r="G18" s="748" t="s">
        <v>3106</v>
      </c>
      <c r="H18" s="741">
        <v>17827103.129999999</v>
      </c>
      <c r="I18" s="741">
        <v>14041901.139999999</v>
      </c>
      <c r="J18" s="706" t="s">
        <v>2694</v>
      </c>
    </row>
    <row r="19" spans="1:10" s="58" customFormat="1">
      <c r="A19" s="781">
        <v>200</v>
      </c>
      <c r="B19" s="786">
        <v>400</v>
      </c>
      <c r="C19" s="786"/>
      <c r="D19" s="786"/>
      <c r="E19" s="786"/>
      <c r="F19" s="787"/>
      <c r="G19" s="788" t="s">
        <v>3107</v>
      </c>
      <c r="H19" s="742"/>
      <c r="I19" s="742"/>
      <c r="J19" s="706"/>
    </row>
    <row r="20" spans="1:10" s="58" customFormat="1">
      <c r="A20" s="781">
        <v>200</v>
      </c>
      <c r="B20" s="786">
        <v>400</v>
      </c>
      <c r="C20" s="789">
        <v>100</v>
      </c>
      <c r="D20" s="789"/>
      <c r="E20" s="789"/>
      <c r="F20" s="790"/>
      <c r="G20" s="748" t="s">
        <v>3108</v>
      </c>
      <c r="H20" s="741"/>
      <c r="I20" s="741">
        <v>0</v>
      </c>
      <c r="J20" s="706" t="s">
        <v>2698</v>
      </c>
    </row>
    <row r="21" spans="1:10" s="58" customFormat="1">
      <c r="A21" s="781">
        <v>200</v>
      </c>
      <c r="B21" s="786">
        <v>400</v>
      </c>
      <c r="C21" s="789">
        <v>200</v>
      </c>
      <c r="D21" s="789"/>
      <c r="E21" s="789"/>
      <c r="F21" s="790"/>
      <c r="G21" s="748" t="s">
        <v>3109</v>
      </c>
      <c r="H21" s="741">
        <v>12438.11</v>
      </c>
      <c r="I21" s="741">
        <v>12438.11</v>
      </c>
      <c r="J21" s="706" t="s">
        <v>2700</v>
      </c>
    </row>
    <row r="22" spans="1:10" s="58" customFormat="1">
      <c r="A22" s="781">
        <v>200</v>
      </c>
      <c r="B22" s="786">
        <v>400</v>
      </c>
      <c r="C22" s="789">
        <v>300</v>
      </c>
      <c r="D22" s="789"/>
      <c r="E22" s="789"/>
      <c r="F22" s="790"/>
      <c r="G22" s="748" t="s">
        <v>3110</v>
      </c>
      <c r="H22" s="741">
        <v>7098.32</v>
      </c>
      <c r="I22" s="741">
        <v>7433.74</v>
      </c>
      <c r="J22" s="706" t="s">
        <v>2702</v>
      </c>
    </row>
    <row r="23" spans="1:10" s="58" customFormat="1">
      <c r="A23" s="781">
        <v>200</v>
      </c>
      <c r="B23" s="786">
        <v>400</v>
      </c>
      <c r="C23" s="789">
        <v>400</v>
      </c>
      <c r="D23" s="789"/>
      <c r="E23" s="789"/>
      <c r="F23" s="790"/>
      <c r="G23" s="748" t="s">
        <v>3111</v>
      </c>
      <c r="H23" s="741">
        <v>1445970.11</v>
      </c>
      <c r="I23" s="741">
        <v>1217244.67</v>
      </c>
      <c r="J23" s="706" t="s">
        <v>2704</v>
      </c>
    </row>
    <row r="24" spans="1:10" s="58" customFormat="1">
      <c r="A24" s="781">
        <v>200</v>
      </c>
      <c r="B24" s="786">
        <v>400</v>
      </c>
      <c r="C24" s="789">
        <v>500</v>
      </c>
      <c r="D24" s="789"/>
      <c r="E24" s="789"/>
      <c r="F24" s="790"/>
      <c r="G24" s="748" t="s">
        <v>3112</v>
      </c>
      <c r="H24" s="741">
        <v>4056868.64</v>
      </c>
      <c r="I24" s="741">
        <v>5971395.9199999999</v>
      </c>
      <c r="J24" s="706" t="s">
        <v>2706</v>
      </c>
    </row>
    <row r="25" spans="1:10" s="58" customFormat="1">
      <c r="A25" s="781">
        <v>200</v>
      </c>
      <c r="B25" s="786">
        <v>500</v>
      </c>
      <c r="C25" s="786"/>
      <c r="D25" s="786"/>
      <c r="E25" s="786"/>
      <c r="F25" s="787"/>
      <c r="G25" s="788" t="s">
        <v>3113</v>
      </c>
      <c r="H25" s="742"/>
      <c r="I25" s="742"/>
      <c r="J25" s="706"/>
    </row>
    <row r="26" spans="1:10" s="58" customFormat="1">
      <c r="A26" s="781">
        <v>200</v>
      </c>
      <c r="B26" s="786">
        <v>500</v>
      </c>
      <c r="C26" s="789">
        <v>100</v>
      </c>
      <c r="D26" s="789"/>
      <c r="E26" s="789"/>
      <c r="F26" s="790"/>
      <c r="G26" s="748" t="s">
        <v>3114</v>
      </c>
      <c r="H26" s="741"/>
      <c r="I26" s="741">
        <v>0</v>
      </c>
      <c r="J26" s="706" t="s">
        <v>2710</v>
      </c>
    </row>
    <row r="27" spans="1:10" s="58" customFormat="1">
      <c r="A27" s="781">
        <v>200</v>
      </c>
      <c r="B27" s="786">
        <v>500</v>
      </c>
      <c r="C27" s="789">
        <v>200</v>
      </c>
      <c r="D27" s="789"/>
      <c r="E27" s="789"/>
      <c r="F27" s="790"/>
      <c r="G27" s="748" t="s">
        <v>3115</v>
      </c>
      <c r="H27" s="741"/>
      <c r="I27" s="741">
        <v>0</v>
      </c>
      <c r="J27" s="706" t="s">
        <v>2712</v>
      </c>
    </row>
    <row r="28" spans="1:10" s="58" customFormat="1">
      <c r="A28" s="781">
        <v>200</v>
      </c>
      <c r="B28" s="786">
        <v>500</v>
      </c>
      <c r="C28" s="789">
        <v>300</v>
      </c>
      <c r="D28" s="789"/>
      <c r="E28" s="789"/>
      <c r="F28" s="790"/>
      <c r="G28" s="748" t="s">
        <v>785</v>
      </c>
      <c r="H28" s="741"/>
      <c r="I28" s="741">
        <v>0</v>
      </c>
      <c r="J28" s="706" t="s">
        <v>2714</v>
      </c>
    </row>
    <row r="29" spans="1:10" s="58" customFormat="1">
      <c r="A29" s="781">
        <v>200</v>
      </c>
      <c r="B29" s="789">
        <v>600</v>
      </c>
      <c r="C29" s="789"/>
      <c r="D29" s="789"/>
      <c r="E29" s="789"/>
      <c r="F29" s="790"/>
      <c r="G29" s="748" t="s">
        <v>3116</v>
      </c>
      <c r="H29" s="741"/>
      <c r="I29" s="741">
        <v>0</v>
      </c>
      <c r="J29" s="706" t="s">
        <v>2716</v>
      </c>
    </row>
    <row r="30" spans="1:10" s="58" customFormat="1">
      <c r="A30" s="792">
        <v>200</v>
      </c>
      <c r="B30" s="793">
        <v>700</v>
      </c>
      <c r="C30" s="793"/>
      <c r="D30" s="793"/>
      <c r="E30" s="793"/>
      <c r="F30" s="794"/>
      <c r="G30" s="795" t="s">
        <v>3117</v>
      </c>
      <c r="H30" s="757">
        <v>77845.440000000002</v>
      </c>
      <c r="I30" s="757">
        <v>400963.87959999999</v>
      </c>
      <c r="J30" s="724" t="s">
        <v>2718</v>
      </c>
    </row>
    <row r="31" spans="1:10" s="62" customFormat="1">
      <c r="A31" s="796">
        <v>210</v>
      </c>
      <c r="B31" s="797">
        <v>0</v>
      </c>
      <c r="C31" s="797">
        <v>0</v>
      </c>
      <c r="D31" s="797">
        <v>0</v>
      </c>
      <c r="E31" s="797">
        <v>0</v>
      </c>
      <c r="F31" s="798">
        <v>0</v>
      </c>
      <c r="G31" s="799" t="s">
        <v>3118</v>
      </c>
      <c r="H31" s="800"/>
      <c r="I31" s="800"/>
      <c r="J31" s="730"/>
    </row>
    <row r="32" spans="1:10" s="58" customFormat="1">
      <c r="A32" s="781">
        <v>210</v>
      </c>
      <c r="B32" s="786">
        <v>100</v>
      </c>
      <c r="C32" s="786"/>
      <c r="D32" s="786"/>
      <c r="E32" s="786"/>
      <c r="F32" s="787"/>
      <c r="G32" s="801" t="s">
        <v>3119</v>
      </c>
      <c r="H32" s="742"/>
      <c r="I32" s="742"/>
      <c r="J32" s="706"/>
    </row>
    <row r="33" spans="1:10" s="58" customFormat="1">
      <c r="A33" s="781">
        <v>210</v>
      </c>
      <c r="B33" s="786">
        <v>100</v>
      </c>
      <c r="C33" s="789">
        <v>100</v>
      </c>
      <c r="D33" s="789"/>
      <c r="E33" s="789"/>
      <c r="F33" s="790"/>
      <c r="G33" s="791" t="s">
        <v>3120</v>
      </c>
      <c r="H33" s="741"/>
      <c r="I33" s="741">
        <v>0</v>
      </c>
      <c r="J33" s="706" t="s">
        <v>2311</v>
      </c>
    </row>
    <row r="34" spans="1:10" s="58" customFormat="1">
      <c r="A34" s="781">
        <v>210</v>
      </c>
      <c r="B34" s="786">
        <v>100</v>
      </c>
      <c r="C34" s="789">
        <v>200</v>
      </c>
      <c r="D34" s="789"/>
      <c r="E34" s="789"/>
      <c r="F34" s="790"/>
      <c r="G34" s="791" t="s">
        <v>3121</v>
      </c>
      <c r="H34" s="741">
        <v>60773.06</v>
      </c>
      <c r="I34" s="741">
        <v>60773.07</v>
      </c>
      <c r="J34" s="706" t="s">
        <v>2317</v>
      </c>
    </row>
    <row r="35" spans="1:10" s="58" customFormat="1" ht="25.5">
      <c r="A35" s="781">
        <v>210</v>
      </c>
      <c r="B35" s="786">
        <v>100</v>
      </c>
      <c r="C35" s="789">
        <v>300</v>
      </c>
      <c r="D35" s="789"/>
      <c r="E35" s="789"/>
      <c r="F35" s="790"/>
      <c r="G35" s="791" t="s">
        <v>3122</v>
      </c>
      <c r="H35" s="741"/>
      <c r="I35" s="741">
        <v>0</v>
      </c>
      <c r="J35" s="706" t="s">
        <v>2323</v>
      </c>
    </row>
    <row r="36" spans="1:10" s="58" customFormat="1" ht="25.5">
      <c r="A36" s="781">
        <v>210</v>
      </c>
      <c r="B36" s="786">
        <v>100</v>
      </c>
      <c r="C36" s="789">
        <v>400</v>
      </c>
      <c r="D36" s="789"/>
      <c r="E36" s="789"/>
      <c r="F36" s="790"/>
      <c r="G36" s="791" t="s">
        <v>3123</v>
      </c>
      <c r="H36" s="741"/>
      <c r="I36" s="741">
        <v>0</v>
      </c>
      <c r="J36" s="706" t="s">
        <v>2327</v>
      </c>
    </row>
    <row r="37" spans="1:10" s="58" customFormat="1">
      <c r="A37" s="781">
        <v>210</v>
      </c>
      <c r="B37" s="786">
        <v>100</v>
      </c>
      <c r="C37" s="789">
        <v>500</v>
      </c>
      <c r="D37" s="789"/>
      <c r="E37" s="789"/>
      <c r="F37" s="790"/>
      <c r="G37" s="791" t="s">
        <v>3124</v>
      </c>
      <c r="H37" s="741">
        <v>5296761.43</v>
      </c>
      <c r="I37" s="741">
        <v>5112782.4000000004</v>
      </c>
      <c r="J37" s="706" t="s">
        <v>2335</v>
      </c>
    </row>
    <row r="38" spans="1:10" s="58" customFormat="1">
      <c r="A38" s="781">
        <v>210</v>
      </c>
      <c r="B38" s="786">
        <v>100</v>
      </c>
      <c r="C38" s="789">
        <v>600</v>
      </c>
      <c r="D38" s="789"/>
      <c r="E38" s="789"/>
      <c r="F38" s="790"/>
      <c r="G38" s="791" t="s">
        <v>3125</v>
      </c>
      <c r="H38" s="741">
        <v>485936.97</v>
      </c>
      <c r="I38" s="741">
        <v>443546.57</v>
      </c>
      <c r="J38" s="706" t="s">
        <v>2339</v>
      </c>
    </row>
    <row r="39" spans="1:10" s="58" customFormat="1">
      <c r="A39" s="781">
        <v>210</v>
      </c>
      <c r="B39" s="786">
        <v>100</v>
      </c>
      <c r="C39" s="789">
        <v>700</v>
      </c>
      <c r="D39" s="789"/>
      <c r="E39" s="789"/>
      <c r="F39" s="790"/>
      <c r="G39" s="791" t="s">
        <v>3126</v>
      </c>
      <c r="H39" s="741"/>
      <c r="I39" s="741">
        <v>0</v>
      </c>
      <c r="J39" s="706" t="s">
        <v>2343</v>
      </c>
    </row>
    <row r="40" spans="1:10" s="58" customFormat="1">
      <c r="A40" s="781">
        <v>210</v>
      </c>
      <c r="B40" s="786">
        <v>100</v>
      </c>
      <c r="C40" s="789">
        <v>800</v>
      </c>
      <c r="D40" s="789"/>
      <c r="E40" s="789"/>
      <c r="F40" s="790"/>
      <c r="G40" s="791" t="s">
        <v>3127</v>
      </c>
      <c r="H40" s="741"/>
      <c r="I40" s="741">
        <v>0</v>
      </c>
      <c r="J40" s="706" t="s">
        <v>2347</v>
      </c>
    </row>
    <row r="41" spans="1:10" s="58" customFormat="1">
      <c r="A41" s="781">
        <v>210</v>
      </c>
      <c r="B41" s="786">
        <v>200</v>
      </c>
      <c r="C41" s="786"/>
      <c r="D41" s="786"/>
      <c r="E41" s="786"/>
      <c r="F41" s="787"/>
      <c r="G41" s="801" t="s">
        <v>3128</v>
      </c>
      <c r="H41" s="802"/>
      <c r="I41" s="802"/>
      <c r="J41" s="69"/>
    </row>
    <row r="42" spans="1:10" s="58" customFormat="1">
      <c r="A42" s="781">
        <v>210</v>
      </c>
      <c r="B42" s="786">
        <v>200</v>
      </c>
      <c r="C42" s="789">
        <v>100</v>
      </c>
      <c r="D42" s="789"/>
      <c r="E42" s="789"/>
      <c r="F42" s="790"/>
      <c r="G42" s="791" t="s">
        <v>3129</v>
      </c>
      <c r="H42" s="741">
        <v>1557333.21</v>
      </c>
      <c r="I42" s="741">
        <v>1476090.19</v>
      </c>
      <c r="J42" s="706" t="s">
        <v>2373</v>
      </c>
    </row>
    <row r="43" spans="1:10" s="58" customFormat="1">
      <c r="A43" s="781">
        <v>210</v>
      </c>
      <c r="B43" s="786">
        <v>200</v>
      </c>
      <c r="C43" s="789">
        <v>200</v>
      </c>
      <c r="D43" s="789"/>
      <c r="E43" s="789"/>
      <c r="F43" s="790"/>
      <c r="G43" s="791" t="s">
        <v>3130</v>
      </c>
      <c r="H43" s="741">
        <v>244827904.12</v>
      </c>
      <c r="I43" s="741">
        <v>228981840.80000001</v>
      </c>
      <c r="J43" s="706" t="s">
        <v>2379</v>
      </c>
    </row>
    <row r="44" spans="1:10" s="58" customFormat="1">
      <c r="A44" s="781">
        <v>210</v>
      </c>
      <c r="B44" s="786">
        <v>200</v>
      </c>
      <c r="C44" s="789">
        <v>300</v>
      </c>
      <c r="D44" s="789"/>
      <c r="E44" s="789"/>
      <c r="F44" s="790"/>
      <c r="G44" s="791" t="s">
        <v>3131</v>
      </c>
      <c r="H44" s="741">
        <v>48402837.579999998</v>
      </c>
      <c r="I44" s="741">
        <v>47531064.430000007</v>
      </c>
      <c r="J44" s="706" t="s">
        <v>2385</v>
      </c>
    </row>
    <row r="45" spans="1:10" s="58" customFormat="1">
      <c r="A45" s="781">
        <v>210</v>
      </c>
      <c r="B45" s="786">
        <v>200</v>
      </c>
      <c r="C45" s="789">
        <v>400</v>
      </c>
      <c r="D45" s="789"/>
      <c r="E45" s="789"/>
      <c r="F45" s="790"/>
      <c r="G45" s="791" t="s">
        <v>3132</v>
      </c>
      <c r="H45" s="741">
        <v>114615141.53</v>
      </c>
      <c r="I45" s="741">
        <v>111547433.44</v>
      </c>
      <c r="J45" s="706" t="s">
        <v>2391</v>
      </c>
    </row>
    <row r="46" spans="1:10" s="58" customFormat="1">
      <c r="A46" s="781">
        <v>210</v>
      </c>
      <c r="B46" s="786">
        <v>200</v>
      </c>
      <c r="C46" s="789">
        <v>500</v>
      </c>
      <c r="D46" s="789"/>
      <c r="E46" s="789"/>
      <c r="F46" s="790"/>
      <c r="G46" s="791" t="s">
        <v>3133</v>
      </c>
      <c r="H46" s="741">
        <v>24020205.75</v>
      </c>
      <c r="I46" s="741">
        <v>23267973.27</v>
      </c>
      <c r="J46" s="706" t="s">
        <v>2397</v>
      </c>
    </row>
    <row r="47" spans="1:10" s="58" customFormat="1">
      <c r="A47" s="781">
        <v>210</v>
      </c>
      <c r="B47" s="786">
        <v>200</v>
      </c>
      <c r="C47" s="789">
        <v>600</v>
      </c>
      <c r="D47" s="789"/>
      <c r="E47" s="789"/>
      <c r="F47" s="790"/>
      <c r="G47" s="791" t="s">
        <v>3134</v>
      </c>
      <c r="H47" s="741">
        <v>4615353.3899999997</v>
      </c>
      <c r="I47" s="741">
        <v>4453020.66</v>
      </c>
      <c r="J47" s="706" t="s">
        <v>2403</v>
      </c>
    </row>
    <row r="48" spans="1:10" s="58" customFormat="1">
      <c r="A48" s="781">
        <v>210</v>
      </c>
      <c r="B48" s="786">
        <v>200</v>
      </c>
      <c r="C48" s="789">
        <v>700</v>
      </c>
      <c r="D48" s="789"/>
      <c r="E48" s="789"/>
      <c r="F48" s="790"/>
      <c r="G48" s="791" t="s">
        <v>3135</v>
      </c>
      <c r="H48" s="741">
        <v>38028621.420000002</v>
      </c>
      <c r="I48" s="741">
        <v>36742768.189999998</v>
      </c>
      <c r="J48" s="706" t="s">
        <v>2411</v>
      </c>
    </row>
    <row r="49" spans="1:10" s="58" customFormat="1">
      <c r="A49" s="781">
        <v>210</v>
      </c>
      <c r="B49" s="786">
        <v>300</v>
      </c>
      <c r="C49" s="786"/>
      <c r="D49" s="786"/>
      <c r="E49" s="786"/>
      <c r="F49" s="787"/>
      <c r="G49" s="801" t="s">
        <v>3136</v>
      </c>
      <c r="H49" s="742"/>
      <c r="I49" s="742"/>
      <c r="J49" s="706"/>
    </row>
    <row r="50" spans="1:10" s="58" customFormat="1">
      <c r="A50" s="781">
        <v>210</v>
      </c>
      <c r="B50" s="786">
        <v>300</v>
      </c>
      <c r="C50" s="789">
        <v>100</v>
      </c>
      <c r="D50" s="789"/>
      <c r="E50" s="789"/>
      <c r="F50" s="790"/>
      <c r="G50" s="791" t="s">
        <v>3137</v>
      </c>
      <c r="H50" s="741"/>
      <c r="I50" s="741">
        <v>0</v>
      </c>
      <c r="J50" s="706" t="s">
        <v>2351</v>
      </c>
    </row>
    <row r="51" spans="1:10" s="58" customFormat="1">
      <c r="A51" s="781">
        <v>210</v>
      </c>
      <c r="B51" s="786">
        <v>300</v>
      </c>
      <c r="C51" s="789">
        <v>200</v>
      </c>
      <c r="D51" s="789"/>
      <c r="E51" s="789"/>
      <c r="F51" s="790"/>
      <c r="G51" s="791" t="s">
        <v>3138</v>
      </c>
      <c r="H51" s="741"/>
      <c r="I51" s="741">
        <v>0</v>
      </c>
      <c r="J51" s="706" t="s">
        <v>2353</v>
      </c>
    </row>
    <row r="52" spans="1:10" s="58" customFormat="1" ht="25.5">
      <c r="A52" s="781">
        <v>210</v>
      </c>
      <c r="B52" s="786">
        <v>300</v>
      </c>
      <c r="C52" s="789">
        <v>300</v>
      </c>
      <c r="D52" s="789"/>
      <c r="E52" s="789"/>
      <c r="F52" s="790"/>
      <c r="G52" s="791" t="s">
        <v>3139</v>
      </c>
      <c r="H52" s="741"/>
      <c r="I52" s="741">
        <v>0</v>
      </c>
      <c r="J52" s="706" t="s">
        <v>2355</v>
      </c>
    </row>
    <row r="53" spans="1:10" s="58" customFormat="1">
      <c r="A53" s="781">
        <v>210</v>
      </c>
      <c r="B53" s="786">
        <v>300</v>
      </c>
      <c r="C53" s="789">
        <v>400</v>
      </c>
      <c r="D53" s="789"/>
      <c r="E53" s="789"/>
      <c r="F53" s="790"/>
      <c r="G53" s="791" t="s">
        <v>3140</v>
      </c>
      <c r="H53" s="741"/>
      <c r="I53" s="741">
        <v>0</v>
      </c>
      <c r="J53" s="706" t="s">
        <v>2357</v>
      </c>
    </row>
    <row r="54" spans="1:10" s="58" customFormat="1">
      <c r="A54" s="781">
        <v>210</v>
      </c>
      <c r="B54" s="786">
        <v>400</v>
      </c>
      <c r="C54" s="786"/>
      <c r="D54" s="786"/>
      <c r="E54" s="786"/>
      <c r="F54" s="787"/>
      <c r="G54" s="801" t="s">
        <v>3141</v>
      </c>
      <c r="H54" s="802"/>
      <c r="I54" s="802"/>
      <c r="J54" s="69"/>
    </row>
    <row r="55" spans="1:10" s="58" customFormat="1">
      <c r="A55" s="781">
        <v>210</v>
      </c>
      <c r="B55" s="786">
        <v>400</v>
      </c>
      <c r="C55" s="789">
        <v>50</v>
      </c>
      <c r="D55" s="789"/>
      <c r="E55" s="789"/>
      <c r="F55" s="790"/>
      <c r="G55" s="791" t="s">
        <v>3142</v>
      </c>
      <c r="H55" s="741"/>
      <c r="I55" s="741">
        <v>0</v>
      </c>
      <c r="J55" s="706" t="s">
        <v>2417</v>
      </c>
    </row>
    <row r="56" spans="1:10" s="58" customFormat="1">
      <c r="A56" s="781">
        <v>210</v>
      </c>
      <c r="B56" s="786">
        <v>400</v>
      </c>
      <c r="C56" s="789">
        <v>100</v>
      </c>
      <c r="D56" s="789"/>
      <c r="E56" s="789"/>
      <c r="F56" s="790"/>
      <c r="G56" s="791" t="s">
        <v>3143</v>
      </c>
      <c r="H56" s="741"/>
      <c r="I56" s="741">
        <v>0</v>
      </c>
      <c r="J56" s="706" t="s">
        <v>2417</v>
      </c>
    </row>
    <row r="57" spans="1:10" s="58" customFormat="1">
      <c r="A57" s="781">
        <v>210</v>
      </c>
      <c r="B57" s="786">
        <v>400</v>
      </c>
      <c r="C57" s="789">
        <v>150</v>
      </c>
      <c r="D57" s="789"/>
      <c r="E57" s="789"/>
      <c r="F57" s="790"/>
      <c r="G57" s="791" t="s">
        <v>3144</v>
      </c>
      <c r="H57" s="741"/>
      <c r="I57" s="741">
        <v>0</v>
      </c>
      <c r="J57" s="706" t="s">
        <v>2419</v>
      </c>
    </row>
    <row r="58" spans="1:10" s="58" customFormat="1">
      <c r="A58" s="781">
        <v>210</v>
      </c>
      <c r="B58" s="786">
        <v>400</v>
      </c>
      <c r="C58" s="789">
        <v>200</v>
      </c>
      <c r="D58" s="789"/>
      <c r="E58" s="789"/>
      <c r="F58" s="790"/>
      <c r="G58" s="791" t="s">
        <v>3145</v>
      </c>
      <c r="H58" s="741"/>
      <c r="I58" s="741">
        <v>0</v>
      </c>
      <c r="J58" s="706" t="s">
        <v>2417</v>
      </c>
    </row>
    <row r="59" spans="1:10" s="58" customFormat="1">
      <c r="A59" s="781">
        <v>210</v>
      </c>
      <c r="B59" s="786">
        <v>400</v>
      </c>
      <c r="C59" s="789">
        <v>300</v>
      </c>
      <c r="D59" s="789"/>
      <c r="E59" s="789"/>
      <c r="F59" s="790"/>
      <c r="G59" s="791" t="s">
        <v>3146</v>
      </c>
      <c r="H59" s="741"/>
      <c r="I59" s="741">
        <v>0</v>
      </c>
      <c r="J59" s="706" t="s">
        <v>2421</v>
      </c>
    </row>
    <row r="60" spans="1:10" s="58" customFormat="1">
      <c r="A60" s="781">
        <v>210</v>
      </c>
      <c r="B60" s="786">
        <v>400</v>
      </c>
      <c r="C60" s="789">
        <v>400</v>
      </c>
      <c r="D60" s="789"/>
      <c r="E60" s="789"/>
      <c r="F60" s="790"/>
      <c r="G60" s="791" t="s">
        <v>3147</v>
      </c>
      <c r="H60" s="741"/>
      <c r="I60" s="741">
        <v>0</v>
      </c>
      <c r="J60" s="706" t="s">
        <v>2423</v>
      </c>
    </row>
    <row r="61" spans="1:10" s="58" customFormat="1">
      <c r="A61" s="781">
        <v>210</v>
      </c>
      <c r="B61" s="786">
        <v>400</v>
      </c>
      <c r="C61" s="789">
        <v>500</v>
      </c>
      <c r="D61" s="789"/>
      <c r="E61" s="789"/>
      <c r="F61" s="790"/>
      <c r="G61" s="791" t="s">
        <v>3148</v>
      </c>
      <c r="H61" s="741"/>
      <c r="I61" s="741">
        <v>0</v>
      </c>
      <c r="J61" s="706" t="s">
        <v>2425</v>
      </c>
    </row>
    <row r="62" spans="1:10" s="58" customFormat="1">
      <c r="A62" s="781">
        <v>210</v>
      </c>
      <c r="B62" s="786">
        <v>400</v>
      </c>
      <c r="C62" s="789">
        <v>600</v>
      </c>
      <c r="D62" s="789"/>
      <c r="E62" s="789"/>
      <c r="F62" s="790"/>
      <c r="G62" s="791" t="s">
        <v>3149</v>
      </c>
      <c r="H62" s="741"/>
      <c r="I62" s="741">
        <v>0</v>
      </c>
      <c r="J62" s="706" t="s">
        <v>2427</v>
      </c>
    </row>
    <row r="63" spans="1:10" s="58" customFormat="1">
      <c r="A63" s="781">
        <v>210</v>
      </c>
      <c r="B63" s="786">
        <v>400</v>
      </c>
      <c r="C63" s="789">
        <v>700</v>
      </c>
      <c r="D63" s="789"/>
      <c r="E63" s="789"/>
      <c r="F63" s="790"/>
      <c r="G63" s="791" t="s">
        <v>3150</v>
      </c>
      <c r="H63" s="741"/>
      <c r="I63" s="741">
        <v>0</v>
      </c>
      <c r="J63" s="706" t="s">
        <v>2429</v>
      </c>
    </row>
    <row r="64" spans="1:10" s="58" customFormat="1">
      <c r="A64" s="781">
        <v>210</v>
      </c>
      <c r="B64" s="786">
        <v>400</v>
      </c>
      <c r="C64" s="789">
        <v>800</v>
      </c>
      <c r="D64" s="789"/>
      <c r="E64" s="789"/>
      <c r="F64" s="790"/>
      <c r="G64" s="791" t="s">
        <v>3151</v>
      </c>
      <c r="H64" s="741"/>
      <c r="I64" s="741">
        <v>0</v>
      </c>
      <c r="J64" s="706" t="s">
        <v>2431</v>
      </c>
    </row>
    <row r="65" spans="1:10" s="58" customFormat="1">
      <c r="A65" s="781">
        <v>210</v>
      </c>
      <c r="B65" s="786">
        <v>500</v>
      </c>
      <c r="C65" s="786"/>
      <c r="D65" s="786"/>
      <c r="E65" s="786"/>
      <c r="F65" s="787"/>
      <c r="G65" s="801" t="s">
        <v>3152</v>
      </c>
      <c r="H65" s="743"/>
      <c r="I65" s="743"/>
      <c r="J65" s="744"/>
    </row>
    <row r="66" spans="1:10" s="58" customFormat="1">
      <c r="A66" s="781">
        <v>210</v>
      </c>
      <c r="B66" s="786">
        <v>500</v>
      </c>
      <c r="C66" s="789">
        <v>100</v>
      </c>
      <c r="D66" s="789"/>
      <c r="E66" s="789"/>
      <c r="F66" s="790"/>
      <c r="G66" s="748" t="s">
        <v>3153</v>
      </c>
      <c r="H66" s="785"/>
      <c r="I66" s="785">
        <v>0</v>
      </c>
      <c r="J66" s="744" t="s">
        <v>2437</v>
      </c>
    </row>
    <row r="67" spans="1:10" s="58" customFormat="1">
      <c r="A67" s="781">
        <v>210</v>
      </c>
      <c r="B67" s="786">
        <v>500</v>
      </c>
      <c r="C67" s="789">
        <v>101</v>
      </c>
      <c r="D67" s="789"/>
      <c r="E67" s="789"/>
      <c r="F67" s="790"/>
      <c r="G67" s="748" t="s">
        <v>3154</v>
      </c>
      <c r="H67" s="785"/>
      <c r="I67" s="785">
        <v>0</v>
      </c>
      <c r="J67" s="744" t="s">
        <v>2439</v>
      </c>
    </row>
    <row r="68" spans="1:10" s="58" customFormat="1">
      <c r="A68" s="781">
        <v>210</v>
      </c>
      <c r="B68" s="786">
        <v>500</v>
      </c>
      <c r="C68" s="789">
        <v>102</v>
      </c>
      <c r="D68" s="789"/>
      <c r="E68" s="789"/>
      <c r="F68" s="790"/>
      <c r="G68" s="748" t="s">
        <v>3155</v>
      </c>
      <c r="H68" s="785"/>
      <c r="I68" s="785">
        <v>0</v>
      </c>
      <c r="J68" s="744" t="s">
        <v>2441</v>
      </c>
    </row>
    <row r="69" spans="1:10" s="58" customFormat="1">
      <c r="A69" s="781">
        <v>210</v>
      </c>
      <c r="B69" s="786">
        <v>500</v>
      </c>
      <c r="C69" s="789">
        <v>103</v>
      </c>
      <c r="D69" s="789"/>
      <c r="E69" s="789"/>
      <c r="F69" s="790"/>
      <c r="G69" s="748" t="s">
        <v>3156</v>
      </c>
      <c r="H69" s="785"/>
      <c r="I69" s="785">
        <v>0</v>
      </c>
      <c r="J69" s="744" t="s">
        <v>2443</v>
      </c>
    </row>
    <row r="70" spans="1:10" s="58" customFormat="1">
      <c r="A70" s="781">
        <v>210</v>
      </c>
      <c r="B70" s="786">
        <v>500</v>
      </c>
      <c r="C70" s="789">
        <v>200</v>
      </c>
      <c r="D70" s="789"/>
      <c r="E70" s="789"/>
      <c r="F70" s="790"/>
      <c r="G70" s="748" t="s">
        <v>3157</v>
      </c>
      <c r="H70" s="785"/>
      <c r="I70" s="785">
        <v>0</v>
      </c>
      <c r="J70" s="744" t="s">
        <v>2503</v>
      </c>
    </row>
    <row r="71" spans="1:10" s="58" customFormat="1">
      <c r="A71" s="781">
        <v>210</v>
      </c>
      <c r="B71" s="786">
        <v>500</v>
      </c>
      <c r="C71" s="789">
        <v>201</v>
      </c>
      <c r="D71" s="789"/>
      <c r="E71" s="789"/>
      <c r="F71" s="790"/>
      <c r="G71" s="748" t="s">
        <v>3158</v>
      </c>
      <c r="H71" s="785"/>
      <c r="I71" s="785">
        <v>0</v>
      </c>
      <c r="J71" s="744" t="s">
        <v>2505</v>
      </c>
    </row>
    <row r="72" spans="1:10" s="58" customFormat="1">
      <c r="A72" s="781">
        <v>210</v>
      </c>
      <c r="B72" s="786">
        <v>500</v>
      </c>
      <c r="C72" s="789">
        <v>202</v>
      </c>
      <c r="D72" s="789"/>
      <c r="E72" s="789"/>
      <c r="F72" s="790"/>
      <c r="G72" s="748" t="s">
        <v>3159</v>
      </c>
      <c r="H72" s="785"/>
      <c r="I72" s="785">
        <v>0</v>
      </c>
      <c r="J72" s="744" t="s">
        <v>2507</v>
      </c>
    </row>
    <row r="73" spans="1:10" s="58" customFormat="1">
      <c r="A73" s="781">
        <v>210</v>
      </c>
      <c r="B73" s="786">
        <v>500</v>
      </c>
      <c r="C73" s="789">
        <v>203</v>
      </c>
      <c r="D73" s="789"/>
      <c r="E73" s="789"/>
      <c r="F73" s="790"/>
      <c r="G73" s="748" t="s">
        <v>3160</v>
      </c>
      <c r="H73" s="785">
        <v>44466.720000000001</v>
      </c>
      <c r="I73" s="785">
        <v>44466.720000000001</v>
      </c>
      <c r="J73" s="744" t="s">
        <v>2509</v>
      </c>
    </row>
    <row r="74" spans="1:10" s="58" customFormat="1" ht="25.5">
      <c r="A74" s="781">
        <v>210</v>
      </c>
      <c r="B74" s="786">
        <v>500</v>
      </c>
      <c r="C74" s="789">
        <v>204</v>
      </c>
      <c r="D74" s="789"/>
      <c r="E74" s="789"/>
      <c r="F74" s="790"/>
      <c r="G74" s="748" t="s">
        <v>3161</v>
      </c>
      <c r="H74" s="785"/>
      <c r="I74" s="785">
        <v>0</v>
      </c>
      <c r="J74" s="744" t="s">
        <v>2511</v>
      </c>
    </row>
    <row r="75" spans="1:10" s="58" customFormat="1" ht="25.5">
      <c r="A75" s="781">
        <v>210</v>
      </c>
      <c r="B75" s="786">
        <v>500</v>
      </c>
      <c r="C75" s="789">
        <v>205</v>
      </c>
      <c r="D75" s="789"/>
      <c r="E75" s="789"/>
      <c r="F75" s="790"/>
      <c r="G75" s="748" t="s">
        <v>3162</v>
      </c>
      <c r="H75" s="785"/>
      <c r="I75" s="785">
        <v>0</v>
      </c>
      <c r="J75" s="744" t="s">
        <v>2513</v>
      </c>
    </row>
    <row r="76" spans="1:10" s="58" customFormat="1">
      <c r="A76" s="781">
        <v>210</v>
      </c>
      <c r="B76" s="786">
        <v>500</v>
      </c>
      <c r="C76" s="789">
        <v>206</v>
      </c>
      <c r="D76" s="789"/>
      <c r="E76" s="789"/>
      <c r="F76" s="790"/>
      <c r="G76" s="748" t="s">
        <v>3163</v>
      </c>
      <c r="H76" s="785">
        <v>614705.6</v>
      </c>
      <c r="I76" s="785">
        <v>461355.13</v>
      </c>
      <c r="J76" s="744" t="s">
        <v>2515</v>
      </c>
    </row>
    <row r="77" spans="1:10" s="58" customFormat="1" ht="25.5">
      <c r="A77" s="781">
        <v>210</v>
      </c>
      <c r="B77" s="786">
        <v>500</v>
      </c>
      <c r="C77" s="789">
        <v>212</v>
      </c>
      <c r="D77" s="789"/>
      <c r="E77" s="789"/>
      <c r="F77" s="790"/>
      <c r="G77" s="748" t="s">
        <v>3164</v>
      </c>
      <c r="H77" s="785"/>
      <c r="I77" s="785">
        <v>0</v>
      </c>
      <c r="J77" s="744" t="s">
        <v>2517</v>
      </c>
    </row>
    <row r="78" spans="1:10" s="58" customFormat="1">
      <c r="A78" s="781">
        <v>210</v>
      </c>
      <c r="B78" s="786">
        <v>500</v>
      </c>
      <c r="C78" s="789">
        <v>207</v>
      </c>
      <c r="D78" s="789"/>
      <c r="E78" s="789"/>
      <c r="F78" s="790"/>
      <c r="G78" s="748" t="s">
        <v>3165</v>
      </c>
      <c r="H78" s="785"/>
      <c r="I78" s="785">
        <v>0</v>
      </c>
      <c r="J78" s="744" t="s">
        <v>2519</v>
      </c>
    </row>
    <row r="79" spans="1:10" s="58" customFormat="1" ht="25.5">
      <c r="A79" s="781">
        <v>210</v>
      </c>
      <c r="B79" s="786">
        <v>500</v>
      </c>
      <c r="C79" s="789">
        <v>208</v>
      </c>
      <c r="D79" s="789"/>
      <c r="E79" s="789"/>
      <c r="F79" s="790"/>
      <c r="G79" s="748" t="s">
        <v>3166</v>
      </c>
      <c r="H79" s="785">
        <v>20271.169999999998</v>
      </c>
      <c r="I79" s="785">
        <v>12394.97</v>
      </c>
      <c r="J79" s="744" t="s">
        <v>2523</v>
      </c>
    </row>
    <row r="80" spans="1:10" s="58" customFormat="1" ht="25.5">
      <c r="A80" s="781">
        <v>210</v>
      </c>
      <c r="B80" s="786">
        <v>500</v>
      </c>
      <c r="C80" s="789">
        <v>209</v>
      </c>
      <c r="D80" s="789"/>
      <c r="E80" s="789"/>
      <c r="F80" s="790"/>
      <c r="G80" s="748" t="s">
        <v>3167</v>
      </c>
      <c r="H80" s="785"/>
      <c r="I80" s="785">
        <v>0</v>
      </c>
      <c r="J80" s="744" t="s">
        <v>2525</v>
      </c>
    </row>
    <row r="81" spans="1:10" s="58" customFormat="1" ht="25.5">
      <c r="A81" s="781">
        <v>210</v>
      </c>
      <c r="B81" s="786">
        <v>500</v>
      </c>
      <c r="C81" s="789">
        <v>210</v>
      </c>
      <c r="D81" s="789"/>
      <c r="E81" s="789"/>
      <c r="F81" s="790"/>
      <c r="G81" s="748" t="s">
        <v>3168</v>
      </c>
      <c r="H81" s="785"/>
      <c r="I81" s="785">
        <v>0</v>
      </c>
      <c r="J81" s="744" t="s">
        <v>2527</v>
      </c>
    </row>
    <row r="82" spans="1:10" s="58" customFormat="1" ht="25.5">
      <c r="A82" s="781">
        <v>210</v>
      </c>
      <c r="B82" s="786">
        <v>500</v>
      </c>
      <c r="C82" s="789">
        <v>211</v>
      </c>
      <c r="D82" s="789"/>
      <c r="E82" s="789"/>
      <c r="F82" s="790"/>
      <c r="G82" s="748" t="s">
        <v>3169</v>
      </c>
      <c r="H82" s="785"/>
      <c r="I82" s="785">
        <v>0</v>
      </c>
      <c r="J82" s="744" t="s">
        <v>2529</v>
      </c>
    </row>
    <row r="83" spans="1:10" s="58" customFormat="1">
      <c r="A83" s="781">
        <v>210</v>
      </c>
      <c r="B83" s="786">
        <v>500</v>
      </c>
      <c r="C83" s="789">
        <v>300</v>
      </c>
      <c r="D83" s="789"/>
      <c r="E83" s="789"/>
      <c r="F83" s="790"/>
      <c r="G83" s="748" t="s">
        <v>3170</v>
      </c>
      <c r="H83" s="785"/>
      <c r="I83" s="785">
        <v>0</v>
      </c>
      <c r="J83" s="744" t="s">
        <v>2531</v>
      </c>
    </row>
    <row r="84" spans="1:10" s="803" customFormat="1" ht="25.5">
      <c r="A84" s="781">
        <v>210</v>
      </c>
      <c r="B84" s="786">
        <v>500</v>
      </c>
      <c r="C84" s="789">
        <v>402</v>
      </c>
      <c r="D84" s="789"/>
      <c r="E84" s="789"/>
      <c r="F84" s="790"/>
      <c r="G84" s="748" t="s">
        <v>3171</v>
      </c>
      <c r="H84" s="785"/>
      <c r="I84" s="785">
        <v>0</v>
      </c>
      <c r="J84" s="744" t="s">
        <v>2538</v>
      </c>
    </row>
    <row r="85" spans="1:10" s="803" customFormat="1" ht="25.5">
      <c r="A85" s="781">
        <v>210</v>
      </c>
      <c r="B85" s="786">
        <v>500</v>
      </c>
      <c r="C85" s="789">
        <v>403</v>
      </c>
      <c r="D85" s="789"/>
      <c r="E85" s="789"/>
      <c r="F85" s="790"/>
      <c r="G85" s="748" t="s">
        <v>3172</v>
      </c>
      <c r="H85" s="785"/>
      <c r="I85" s="785">
        <v>0</v>
      </c>
      <c r="J85" s="744" t="s">
        <v>2540</v>
      </c>
    </row>
    <row r="86" spans="1:10" s="803" customFormat="1" ht="25.5">
      <c r="A86" s="781">
        <v>210</v>
      </c>
      <c r="B86" s="786">
        <v>500</v>
      </c>
      <c r="C86" s="789">
        <v>404</v>
      </c>
      <c r="D86" s="789"/>
      <c r="E86" s="789"/>
      <c r="F86" s="790"/>
      <c r="G86" s="748" t="s">
        <v>3173</v>
      </c>
      <c r="H86" s="785"/>
      <c r="I86" s="785">
        <v>0</v>
      </c>
      <c r="J86" s="744" t="s">
        <v>2542</v>
      </c>
    </row>
    <row r="87" spans="1:10" s="803" customFormat="1" ht="25.5">
      <c r="A87" s="781">
        <v>210</v>
      </c>
      <c r="B87" s="786">
        <v>500</v>
      </c>
      <c r="C87" s="789">
        <v>405</v>
      </c>
      <c r="D87" s="789"/>
      <c r="E87" s="789"/>
      <c r="F87" s="790"/>
      <c r="G87" s="748" t="s">
        <v>3174</v>
      </c>
      <c r="H87" s="785"/>
      <c r="I87" s="785">
        <v>0</v>
      </c>
      <c r="J87" s="744" t="s">
        <v>2544</v>
      </c>
    </row>
    <row r="88" spans="1:10" s="803" customFormat="1" ht="25.5">
      <c r="A88" s="781">
        <v>210</v>
      </c>
      <c r="B88" s="786">
        <v>500</v>
      </c>
      <c r="C88" s="789">
        <v>406</v>
      </c>
      <c r="D88" s="789"/>
      <c r="E88" s="789"/>
      <c r="F88" s="790"/>
      <c r="G88" s="748" t="s">
        <v>3175</v>
      </c>
      <c r="H88" s="785"/>
      <c r="I88" s="785">
        <v>0</v>
      </c>
      <c r="J88" s="744" t="s">
        <v>2546</v>
      </c>
    </row>
    <row r="89" spans="1:10" s="803" customFormat="1" ht="25.5">
      <c r="A89" s="781">
        <v>210</v>
      </c>
      <c r="B89" s="786">
        <v>500</v>
      </c>
      <c r="C89" s="789">
        <v>407</v>
      </c>
      <c r="D89" s="789"/>
      <c r="E89" s="789"/>
      <c r="F89" s="790"/>
      <c r="G89" s="748" t="s">
        <v>3176</v>
      </c>
      <c r="H89" s="785"/>
      <c r="I89" s="785">
        <v>0</v>
      </c>
      <c r="J89" s="744" t="s">
        <v>2548</v>
      </c>
    </row>
    <row r="90" spans="1:10" s="803" customFormat="1" ht="25.5">
      <c r="A90" s="781">
        <v>210</v>
      </c>
      <c r="B90" s="786">
        <v>500</v>
      </c>
      <c r="C90" s="789">
        <v>408</v>
      </c>
      <c r="D90" s="789"/>
      <c r="E90" s="789"/>
      <c r="F90" s="790"/>
      <c r="G90" s="748" t="s">
        <v>3177</v>
      </c>
      <c r="H90" s="785">
        <v>1732279.12</v>
      </c>
      <c r="I90" s="785">
        <v>1714137.82</v>
      </c>
      <c r="J90" s="744" t="s">
        <v>2550</v>
      </c>
    </row>
    <row r="91" spans="1:10" s="803" customFormat="1" ht="25.5">
      <c r="A91" s="781">
        <v>210</v>
      </c>
      <c r="B91" s="786">
        <v>500</v>
      </c>
      <c r="C91" s="789">
        <v>415</v>
      </c>
      <c r="D91" s="789"/>
      <c r="E91" s="789"/>
      <c r="F91" s="790"/>
      <c r="G91" s="748" t="s">
        <v>3178</v>
      </c>
      <c r="H91" s="785"/>
      <c r="I91" s="785">
        <v>0</v>
      </c>
      <c r="J91" s="744" t="s">
        <v>2552</v>
      </c>
    </row>
    <row r="92" spans="1:10" s="803" customFormat="1">
      <c r="A92" s="781">
        <v>210</v>
      </c>
      <c r="B92" s="786">
        <v>500</v>
      </c>
      <c r="C92" s="789">
        <v>409</v>
      </c>
      <c r="D92" s="789"/>
      <c r="E92" s="789"/>
      <c r="F92" s="790"/>
      <c r="G92" s="748" t="s">
        <v>3179</v>
      </c>
      <c r="H92" s="785"/>
      <c r="I92" s="785">
        <v>0</v>
      </c>
      <c r="J92" s="744" t="s">
        <v>2554</v>
      </c>
    </row>
    <row r="93" spans="1:10" s="803" customFormat="1" ht="25.5">
      <c r="A93" s="781">
        <v>210</v>
      </c>
      <c r="B93" s="786">
        <v>500</v>
      </c>
      <c r="C93" s="789">
        <v>416</v>
      </c>
      <c r="D93" s="789"/>
      <c r="E93" s="789"/>
      <c r="F93" s="790"/>
      <c r="G93" s="748" t="s">
        <v>3180</v>
      </c>
      <c r="H93" s="785"/>
      <c r="I93" s="785">
        <v>0</v>
      </c>
      <c r="J93" s="744" t="s">
        <v>2556</v>
      </c>
    </row>
    <row r="94" spans="1:10" s="803" customFormat="1" ht="25.5">
      <c r="A94" s="781">
        <v>210</v>
      </c>
      <c r="B94" s="786">
        <v>500</v>
      </c>
      <c r="C94" s="789">
        <v>410</v>
      </c>
      <c r="D94" s="789"/>
      <c r="E94" s="789"/>
      <c r="F94" s="790"/>
      <c r="G94" s="748" t="s">
        <v>3181</v>
      </c>
      <c r="H94" s="785"/>
      <c r="I94" s="785">
        <v>0</v>
      </c>
      <c r="J94" s="744" t="s">
        <v>2560</v>
      </c>
    </row>
    <row r="95" spans="1:10" s="803" customFormat="1" ht="25.5">
      <c r="A95" s="781">
        <v>210</v>
      </c>
      <c r="B95" s="786">
        <v>500</v>
      </c>
      <c r="C95" s="789">
        <v>411</v>
      </c>
      <c r="D95" s="789"/>
      <c r="E95" s="789"/>
      <c r="F95" s="790"/>
      <c r="G95" s="748" t="s">
        <v>3182</v>
      </c>
      <c r="H95" s="785"/>
      <c r="I95" s="785">
        <v>0</v>
      </c>
      <c r="J95" s="744" t="s">
        <v>2562</v>
      </c>
    </row>
    <row r="96" spans="1:10" s="803" customFormat="1" ht="25.5">
      <c r="A96" s="781">
        <v>210</v>
      </c>
      <c r="B96" s="786">
        <v>500</v>
      </c>
      <c r="C96" s="789">
        <v>412</v>
      </c>
      <c r="D96" s="789"/>
      <c r="E96" s="789"/>
      <c r="F96" s="790"/>
      <c r="G96" s="748" t="s">
        <v>3183</v>
      </c>
      <c r="H96" s="785"/>
      <c r="I96" s="785">
        <v>0</v>
      </c>
      <c r="J96" s="744" t="s">
        <v>2564</v>
      </c>
    </row>
    <row r="97" spans="1:10" s="803" customFormat="1">
      <c r="A97" s="781">
        <v>210</v>
      </c>
      <c r="B97" s="786">
        <v>500</v>
      </c>
      <c r="C97" s="789">
        <v>413</v>
      </c>
      <c r="D97" s="789"/>
      <c r="E97" s="789"/>
      <c r="F97" s="790"/>
      <c r="G97" s="748" t="s">
        <v>3184</v>
      </c>
      <c r="H97" s="785"/>
      <c r="I97" s="785">
        <v>0</v>
      </c>
      <c r="J97" s="744" t="s">
        <v>2568</v>
      </c>
    </row>
    <row r="98" spans="1:10" s="803" customFormat="1" ht="25.5">
      <c r="A98" s="781">
        <v>210</v>
      </c>
      <c r="B98" s="786">
        <v>500</v>
      </c>
      <c r="C98" s="789">
        <v>414</v>
      </c>
      <c r="D98" s="789"/>
      <c r="E98" s="789"/>
      <c r="F98" s="790"/>
      <c r="G98" s="748" t="s">
        <v>3185</v>
      </c>
      <c r="H98" s="785"/>
      <c r="I98" s="785">
        <v>0</v>
      </c>
      <c r="J98" s="744" t="s">
        <v>2570</v>
      </c>
    </row>
    <row r="99" spans="1:10" s="803" customFormat="1">
      <c r="A99" s="781">
        <v>210</v>
      </c>
      <c r="B99" s="786">
        <v>500</v>
      </c>
      <c r="C99" s="789">
        <v>500</v>
      </c>
      <c r="D99" s="789"/>
      <c r="E99" s="789"/>
      <c r="F99" s="790"/>
      <c r="G99" s="748" t="s">
        <v>3186</v>
      </c>
      <c r="H99" s="785">
        <v>17381.669999999998</v>
      </c>
      <c r="I99" s="785">
        <v>17381.669999999998</v>
      </c>
      <c r="J99" s="744" t="s">
        <v>2576</v>
      </c>
    </row>
    <row r="100" spans="1:10" s="803" customFormat="1" ht="25.5">
      <c r="A100" s="781">
        <v>210</v>
      </c>
      <c r="B100" s="786">
        <v>500</v>
      </c>
      <c r="C100" s="789">
        <v>600</v>
      </c>
      <c r="D100" s="789"/>
      <c r="E100" s="789"/>
      <c r="F100" s="790"/>
      <c r="G100" s="748" t="s">
        <v>3187</v>
      </c>
      <c r="H100" s="785"/>
      <c r="I100" s="785">
        <v>0</v>
      </c>
      <c r="J100" s="744" t="s">
        <v>2582</v>
      </c>
    </row>
    <row r="101" spans="1:10" s="58" customFormat="1" ht="25.5">
      <c r="A101" s="781">
        <v>210</v>
      </c>
      <c r="B101" s="786">
        <v>500</v>
      </c>
      <c r="C101" s="789">
        <v>601</v>
      </c>
      <c r="D101" s="789"/>
      <c r="E101" s="789"/>
      <c r="F101" s="790"/>
      <c r="G101" s="748" t="s">
        <v>3188</v>
      </c>
      <c r="H101" s="785"/>
      <c r="I101" s="785">
        <v>0</v>
      </c>
      <c r="J101" s="744" t="s">
        <v>2584</v>
      </c>
    </row>
    <row r="102" spans="1:10" s="58" customFormat="1" ht="25.5">
      <c r="A102" s="781">
        <v>210</v>
      </c>
      <c r="B102" s="786">
        <v>500</v>
      </c>
      <c r="C102" s="789">
        <v>602</v>
      </c>
      <c r="D102" s="789"/>
      <c r="E102" s="789"/>
      <c r="F102" s="790"/>
      <c r="G102" s="748" t="s">
        <v>3189</v>
      </c>
      <c r="H102" s="785">
        <v>81646</v>
      </c>
      <c r="I102" s="785">
        <v>81646</v>
      </c>
      <c r="J102" s="744" t="s">
        <v>2586</v>
      </c>
    </row>
    <row r="103" spans="1:10" s="58" customFormat="1" ht="25.5">
      <c r="A103" s="781">
        <v>210</v>
      </c>
      <c r="B103" s="786">
        <v>500</v>
      </c>
      <c r="C103" s="789">
        <v>603</v>
      </c>
      <c r="D103" s="789"/>
      <c r="E103" s="789"/>
      <c r="F103" s="790"/>
      <c r="G103" s="748" t="s">
        <v>3190</v>
      </c>
      <c r="H103" s="785"/>
      <c r="I103" s="785">
        <v>0</v>
      </c>
      <c r="J103" s="744" t="s">
        <v>2588</v>
      </c>
    </row>
    <row r="104" spans="1:10" s="58" customFormat="1">
      <c r="A104" s="781">
        <v>210</v>
      </c>
      <c r="B104" s="786">
        <v>500</v>
      </c>
      <c r="C104" s="789">
        <v>604</v>
      </c>
      <c r="D104" s="789"/>
      <c r="E104" s="789"/>
      <c r="F104" s="790"/>
      <c r="G104" s="748" t="s">
        <v>3191</v>
      </c>
      <c r="H104" s="785">
        <v>234581.53</v>
      </c>
      <c r="I104" s="785">
        <v>187064.11</v>
      </c>
      <c r="J104" s="744" t="s">
        <v>2592</v>
      </c>
    </row>
    <row r="105" spans="1:10" s="58" customFormat="1">
      <c r="A105" s="781">
        <v>210</v>
      </c>
      <c r="B105" s="786">
        <v>500</v>
      </c>
      <c r="C105" s="789">
        <v>700</v>
      </c>
      <c r="D105" s="789"/>
      <c r="E105" s="789"/>
      <c r="F105" s="790"/>
      <c r="G105" s="748" t="s">
        <v>3192</v>
      </c>
      <c r="H105" s="785"/>
      <c r="I105" s="785">
        <v>0</v>
      </c>
      <c r="J105" s="744" t="s">
        <v>2598</v>
      </c>
    </row>
    <row r="106" spans="1:10" s="58" customFormat="1">
      <c r="A106" s="781">
        <v>210</v>
      </c>
      <c r="B106" s="786">
        <v>500</v>
      </c>
      <c r="C106" s="789">
        <v>701</v>
      </c>
      <c r="D106" s="789"/>
      <c r="E106" s="789"/>
      <c r="F106" s="790"/>
      <c r="G106" s="748" t="s">
        <v>3193</v>
      </c>
      <c r="H106" s="785"/>
      <c r="I106" s="785">
        <v>0</v>
      </c>
      <c r="J106" s="744" t="s">
        <v>2600</v>
      </c>
    </row>
    <row r="107" spans="1:10" s="58" customFormat="1">
      <c r="A107" s="781">
        <v>210</v>
      </c>
      <c r="B107" s="786">
        <v>500</v>
      </c>
      <c r="C107" s="789">
        <v>702</v>
      </c>
      <c r="D107" s="789"/>
      <c r="E107" s="789"/>
      <c r="F107" s="790"/>
      <c r="G107" s="748" t="s">
        <v>3194</v>
      </c>
      <c r="H107" s="785"/>
      <c r="I107" s="785">
        <v>0</v>
      </c>
      <c r="J107" s="744" t="s">
        <v>2602</v>
      </c>
    </row>
    <row r="108" spans="1:10" s="58" customFormat="1">
      <c r="A108" s="781">
        <v>210</v>
      </c>
      <c r="B108" s="786">
        <v>500</v>
      </c>
      <c r="C108" s="789">
        <v>703</v>
      </c>
      <c r="D108" s="789"/>
      <c r="E108" s="789"/>
      <c r="F108" s="790"/>
      <c r="G108" s="748" t="s">
        <v>3195</v>
      </c>
      <c r="H108" s="785"/>
      <c r="I108" s="785">
        <v>0</v>
      </c>
      <c r="J108" s="744" t="s">
        <v>2604</v>
      </c>
    </row>
    <row r="109" spans="1:10" s="58" customFormat="1">
      <c r="A109" s="781">
        <v>210</v>
      </c>
      <c r="B109" s="786">
        <v>500</v>
      </c>
      <c r="C109" s="789">
        <v>900</v>
      </c>
      <c r="D109" s="789"/>
      <c r="E109" s="789"/>
      <c r="F109" s="790"/>
      <c r="G109" s="748" t="s">
        <v>3196</v>
      </c>
      <c r="H109" s="785">
        <v>4034763.45</v>
      </c>
      <c r="I109" s="785">
        <v>3932340.74</v>
      </c>
      <c r="J109" s="744" t="s">
        <v>2608</v>
      </c>
    </row>
    <row r="110" spans="1:10" s="58" customFormat="1">
      <c r="A110" s="781">
        <v>210</v>
      </c>
      <c r="B110" s="786">
        <v>500</v>
      </c>
      <c r="C110" s="789">
        <v>901</v>
      </c>
      <c r="D110" s="789"/>
      <c r="E110" s="789"/>
      <c r="F110" s="790"/>
      <c r="G110" s="748" t="s">
        <v>3197</v>
      </c>
      <c r="H110" s="785"/>
      <c r="I110" s="785">
        <v>0</v>
      </c>
      <c r="J110" s="744" t="s">
        <v>2610</v>
      </c>
    </row>
    <row r="111" spans="1:10" s="58" customFormat="1">
      <c r="A111" s="781">
        <v>210</v>
      </c>
      <c r="B111" s="786">
        <v>500</v>
      </c>
      <c r="C111" s="789">
        <v>902</v>
      </c>
      <c r="D111" s="789"/>
      <c r="E111" s="789"/>
      <c r="F111" s="790"/>
      <c r="G111" s="748" t="s">
        <v>3198</v>
      </c>
      <c r="H111" s="785">
        <v>132076.29</v>
      </c>
      <c r="I111" s="785">
        <v>126385.66</v>
      </c>
      <c r="J111" s="744" t="s">
        <v>2612</v>
      </c>
    </row>
    <row r="112" spans="1:10" s="58" customFormat="1">
      <c r="A112" s="781">
        <v>210</v>
      </c>
      <c r="B112" s="786">
        <v>500</v>
      </c>
      <c r="C112" s="789">
        <v>903</v>
      </c>
      <c r="D112" s="789"/>
      <c r="E112" s="789"/>
      <c r="F112" s="790"/>
      <c r="G112" s="748" t="s">
        <v>3199</v>
      </c>
      <c r="H112" s="785"/>
      <c r="I112" s="785">
        <v>0</v>
      </c>
      <c r="J112" s="744" t="s">
        <v>2614</v>
      </c>
    </row>
    <row r="113" spans="1:10" s="58" customFormat="1">
      <c r="A113" s="781">
        <v>210</v>
      </c>
      <c r="B113" s="786">
        <v>500</v>
      </c>
      <c r="C113" s="789">
        <v>990</v>
      </c>
      <c r="D113" s="789"/>
      <c r="E113" s="789"/>
      <c r="F113" s="790"/>
      <c r="G113" s="748" t="s">
        <v>3200</v>
      </c>
      <c r="H113" s="785">
        <v>217435.88</v>
      </c>
      <c r="I113" s="785">
        <v>62003.86</v>
      </c>
      <c r="J113" s="744" t="s">
        <v>2616</v>
      </c>
    </row>
    <row r="114" spans="1:10" s="58" customFormat="1" ht="25.5">
      <c r="A114" s="781">
        <v>210</v>
      </c>
      <c r="B114" s="786">
        <v>500</v>
      </c>
      <c r="C114" s="789">
        <v>991</v>
      </c>
      <c r="D114" s="782"/>
      <c r="E114" s="782"/>
      <c r="F114" s="804"/>
      <c r="G114" s="754" t="s">
        <v>3201</v>
      </c>
      <c r="H114" s="785"/>
      <c r="I114" s="785">
        <v>0</v>
      </c>
      <c r="J114" s="744" t="s">
        <v>2618</v>
      </c>
    </row>
    <row r="115" spans="1:10" s="58" customFormat="1">
      <c r="A115" s="805">
        <v>220</v>
      </c>
      <c r="B115" s="806">
        <v>0</v>
      </c>
      <c r="C115" s="806">
        <v>0</v>
      </c>
      <c r="D115" s="806">
        <v>0</v>
      </c>
      <c r="E115" s="806">
        <v>0</v>
      </c>
      <c r="F115" s="807">
        <v>0</v>
      </c>
      <c r="G115" s="808" t="s">
        <v>2258</v>
      </c>
      <c r="H115" s="800"/>
      <c r="I115" s="800"/>
      <c r="J115" s="730"/>
    </row>
    <row r="116" spans="1:10" s="58" customFormat="1">
      <c r="A116" s="781">
        <v>220</v>
      </c>
      <c r="B116" s="789">
        <v>100</v>
      </c>
      <c r="C116" s="789"/>
      <c r="D116" s="789"/>
      <c r="E116" s="789"/>
      <c r="F116" s="790"/>
      <c r="G116" s="748" t="s">
        <v>3202</v>
      </c>
      <c r="H116" s="741">
        <v>318314.21000000002</v>
      </c>
      <c r="I116" s="741">
        <v>318314.21000000002</v>
      </c>
      <c r="J116" s="706" t="s">
        <v>2722</v>
      </c>
    </row>
    <row r="117" spans="1:10" s="62" customFormat="1">
      <c r="A117" s="781">
        <v>220</v>
      </c>
      <c r="B117" s="786">
        <v>200</v>
      </c>
      <c r="C117" s="786"/>
      <c r="D117" s="786"/>
      <c r="E117" s="786"/>
      <c r="F117" s="787"/>
      <c r="G117" s="788" t="s">
        <v>3203</v>
      </c>
      <c r="H117" s="742"/>
      <c r="I117" s="742"/>
      <c r="J117" s="706"/>
    </row>
    <row r="118" spans="1:10" s="58" customFormat="1">
      <c r="A118" s="781">
        <v>220</v>
      </c>
      <c r="B118" s="786">
        <v>200</v>
      </c>
      <c r="C118" s="789">
        <v>100</v>
      </c>
      <c r="D118" s="789"/>
      <c r="E118" s="789"/>
      <c r="F118" s="790"/>
      <c r="G118" s="748" t="s">
        <v>3204</v>
      </c>
      <c r="H118" s="741">
        <v>7236618.6600000001</v>
      </c>
      <c r="I118" s="741">
        <v>4905211.7799999993</v>
      </c>
      <c r="J118" s="706" t="s">
        <v>2726</v>
      </c>
    </row>
    <row r="119" spans="1:10" s="58" customFormat="1">
      <c r="A119" s="781">
        <v>220</v>
      </c>
      <c r="B119" s="786">
        <v>200</v>
      </c>
      <c r="C119" s="789">
        <v>200</v>
      </c>
      <c r="D119" s="789"/>
      <c r="E119" s="789"/>
      <c r="F119" s="790"/>
      <c r="G119" s="748" t="s">
        <v>3205</v>
      </c>
      <c r="H119" s="741">
        <v>748885.44</v>
      </c>
      <c r="I119" s="741">
        <v>564415.87</v>
      </c>
      <c r="J119" s="706" t="s">
        <v>2728</v>
      </c>
    </row>
    <row r="120" spans="1:10" s="58" customFormat="1">
      <c r="A120" s="781">
        <v>220</v>
      </c>
      <c r="B120" s="786">
        <v>200</v>
      </c>
      <c r="C120" s="789">
        <v>300</v>
      </c>
      <c r="D120" s="789"/>
      <c r="E120" s="789"/>
      <c r="F120" s="790"/>
      <c r="G120" s="748" t="s">
        <v>3206</v>
      </c>
      <c r="H120" s="741">
        <v>1250872.6599999999</v>
      </c>
      <c r="I120" s="741">
        <v>1025537.66</v>
      </c>
      <c r="J120" s="706" t="s">
        <v>2730</v>
      </c>
    </row>
    <row r="121" spans="1:10" s="58" customFormat="1">
      <c r="A121" s="781">
        <v>220</v>
      </c>
      <c r="B121" s="786">
        <v>200</v>
      </c>
      <c r="C121" s="789">
        <v>400</v>
      </c>
      <c r="D121" s="789"/>
      <c r="E121" s="789"/>
      <c r="F121" s="790"/>
      <c r="G121" s="748" t="s">
        <v>3207</v>
      </c>
      <c r="H121" s="741"/>
      <c r="I121" s="741">
        <v>0</v>
      </c>
      <c r="J121" s="706" t="s">
        <v>2732</v>
      </c>
    </row>
    <row r="122" spans="1:10" s="58" customFormat="1">
      <c r="A122" s="781">
        <v>220</v>
      </c>
      <c r="B122" s="786">
        <v>200</v>
      </c>
      <c r="C122" s="789">
        <v>500</v>
      </c>
      <c r="D122" s="789"/>
      <c r="E122" s="789"/>
      <c r="F122" s="790"/>
      <c r="G122" s="748" t="s">
        <v>3208</v>
      </c>
      <c r="H122" s="741"/>
      <c r="I122" s="741">
        <v>0</v>
      </c>
      <c r="J122" s="706" t="s">
        <v>2734</v>
      </c>
    </row>
    <row r="123" spans="1:10" s="58" customFormat="1">
      <c r="A123" s="781">
        <v>220</v>
      </c>
      <c r="B123" s="786">
        <v>200</v>
      </c>
      <c r="C123" s="789">
        <v>600</v>
      </c>
      <c r="D123" s="789"/>
      <c r="E123" s="789"/>
      <c r="F123" s="790"/>
      <c r="G123" s="748" t="s">
        <v>3209</v>
      </c>
      <c r="H123" s="741"/>
      <c r="I123" s="741">
        <v>0</v>
      </c>
      <c r="J123" s="706" t="s">
        <v>2736</v>
      </c>
    </row>
    <row r="124" spans="1:10" s="58" customFormat="1">
      <c r="A124" s="781">
        <v>220</v>
      </c>
      <c r="B124" s="786">
        <v>200</v>
      </c>
      <c r="C124" s="786">
        <v>900</v>
      </c>
      <c r="D124" s="786"/>
      <c r="E124" s="786"/>
      <c r="F124" s="787"/>
      <c r="G124" s="788" t="s">
        <v>3210</v>
      </c>
      <c r="H124" s="742"/>
      <c r="I124" s="742"/>
      <c r="J124" s="706" t="s">
        <v>2738</v>
      </c>
    </row>
    <row r="125" spans="1:10" s="58" customFormat="1">
      <c r="A125" s="781">
        <v>220</v>
      </c>
      <c r="B125" s="786">
        <v>200</v>
      </c>
      <c r="C125" s="786">
        <v>900</v>
      </c>
      <c r="D125" s="789">
        <v>100</v>
      </c>
      <c r="E125" s="793"/>
      <c r="F125" s="794"/>
      <c r="G125" s="791" t="s">
        <v>3211</v>
      </c>
      <c r="H125" s="741">
        <v>81395.929999999993</v>
      </c>
      <c r="I125" s="741">
        <v>81395.929999999993</v>
      </c>
      <c r="J125" s="706"/>
    </row>
    <row r="126" spans="1:10" s="58" customFormat="1">
      <c r="A126" s="781">
        <v>220</v>
      </c>
      <c r="B126" s="786">
        <v>200</v>
      </c>
      <c r="C126" s="786">
        <v>900</v>
      </c>
      <c r="D126" s="789">
        <v>200</v>
      </c>
      <c r="E126" s="793"/>
      <c r="F126" s="794"/>
      <c r="G126" s="791" t="s">
        <v>3212</v>
      </c>
      <c r="H126" s="741"/>
      <c r="I126" s="741">
        <v>10500</v>
      </c>
      <c r="J126" s="706"/>
    </row>
    <row r="127" spans="1:10" s="58" customFormat="1">
      <c r="A127" s="781">
        <v>220</v>
      </c>
      <c r="B127" s="786">
        <v>200</v>
      </c>
      <c r="C127" s="786">
        <v>900</v>
      </c>
      <c r="D127" s="789">
        <v>900</v>
      </c>
      <c r="E127" s="789"/>
      <c r="F127" s="790"/>
      <c r="G127" s="791" t="s">
        <v>3210</v>
      </c>
      <c r="H127" s="741">
        <v>604238.13</v>
      </c>
      <c r="I127" s="741">
        <v>242914.22000000003</v>
      </c>
      <c r="J127" s="706"/>
    </row>
    <row r="128" spans="1:10" s="58" customFormat="1">
      <c r="A128" s="781">
        <v>220</v>
      </c>
      <c r="B128" s="786">
        <v>300</v>
      </c>
      <c r="C128" s="786"/>
      <c r="D128" s="809"/>
      <c r="E128" s="809"/>
      <c r="F128" s="810"/>
      <c r="G128" s="788" t="s">
        <v>3213</v>
      </c>
      <c r="H128" s="742"/>
      <c r="I128" s="742"/>
      <c r="J128" s="706"/>
    </row>
    <row r="129" spans="1:10" s="58" customFormat="1">
      <c r="A129" s="781">
        <v>220</v>
      </c>
      <c r="B129" s="786">
        <v>300</v>
      </c>
      <c r="C129" s="789">
        <v>100</v>
      </c>
      <c r="D129" s="793"/>
      <c r="E129" s="793"/>
      <c r="F129" s="794"/>
      <c r="G129" s="748" t="s">
        <v>3214</v>
      </c>
      <c r="H129" s="741"/>
      <c r="I129" s="741">
        <v>0</v>
      </c>
      <c r="J129" s="706" t="s">
        <v>2742</v>
      </c>
    </row>
    <row r="130" spans="1:10" s="58" customFormat="1">
      <c r="A130" s="781">
        <v>220</v>
      </c>
      <c r="B130" s="786">
        <v>300</v>
      </c>
      <c r="C130" s="789">
        <v>200</v>
      </c>
      <c r="D130" s="793"/>
      <c r="E130" s="793"/>
      <c r="F130" s="794"/>
      <c r="G130" s="748" t="s">
        <v>3215</v>
      </c>
      <c r="H130" s="741"/>
      <c r="I130" s="741">
        <v>0</v>
      </c>
      <c r="J130" s="706" t="s">
        <v>2744</v>
      </c>
    </row>
    <row r="131" spans="1:10" s="58" customFormat="1">
      <c r="A131" s="781">
        <v>220</v>
      </c>
      <c r="B131" s="786">
        <v>300</v>
      </c>
      <c r="C131" s="782">
        <v>300</v>
      </c>
      <c r="D131" s="793"/>
      <c r="E131" s="793"/>
      <c r="F131" s="794"/>
      <c r="G131" s="748" t="s">
        <v>3216</v>
      </c>
      <c r="H131" s="741"/>
      <c r="I131" s="741">
        <v>0</v>
      </c>
      <c r="J131" s="706" t="s">
        <v>2746</v>
      </c>
    </row>
    <row r="132" spans="1:10" s="58" customFormat="1">
      <c r="A132" s="781">
        <v>220</v>
      </c>
      <c r="B132" s="786">
        <v>300</v>
      </c>
      <c r="C132" s="789">
        <v>400</v>
      </c>
      <c r="D132" s="793"/>
      <c r="E132" s="793"/>
      <c r="F132" s="794"/>
      <c r="G132" s="748" t="s">
        <v>3217</v>
      </c>
      <c r="H132" s="741"/>
      <c r="I132" s="741">
        <v>0</v>
      </c>
      <c r="J132" s="706" t="s">
        <v>2748</v>
      </c>
    </row>
    <row r="133" spans="1:10" s="58" customFormat="1">
      <c r="A133" s="781">
        <v>220</v>
      </c>
      <c r="B133" s="786">
        <v>300</v>
      </c>
      <c r="C133" s="789">
        <v>500</v>
      </c>
      <c r="D133" s="793"/>
      <c r="E133" s="793"/>
      <c r="F133" s="794"/>
      <c r="G133" s="748" t="s">
        <v>3218</v>
      </c>
      <c r="H133" s="741"/>
      <c r="I133" s="741">
        <v>0</v>
      </c>
      <c r="J133" s="706" t="s">
        <v>2750</v>
      </c>
    </row>
    <row r="134" spans="1:10" s="58" customFormat="1">
      <c r="A134" s="781">
        <v>220</v>
      </c>
      <c r="B134" s="786">
        <v>300</v>
      </c>
      <c r="C134" s="789">
        <v>600</v>
      </c>
      <c r="D134" s="793"/>
      <c r="E134" s="793"/>
      <c r="F134" s="794"/>
      <c r="G134" s="748" t="s">
        <v>3219</v>
      </c>
      <c r="H134" s="741"/>
      <c r="I134" s="741">
        <v>0</v>
      </c>
      <c r="J134" s="706" t="s">
        <v>2752</v>
      </c>
    </row>
    <row r="135" spans="1:10" s="58" customFormat="1">
      <c r="A135" s="781">
        <v>220</v>
      </c>
      <c r="B135" s="786">
        <v>300</v>
      </c>
      <c r="C135" s="782">
        <v>700</v>
      </c>
      <c r="D135" s="793"/>
      <c r="E135" s="793"/>
      <c r="F135" s="794"/>
      <c r="G135" s="748" t="s">
        <v>3220</v>
      </c>
      <c r="H135" s="741"/>
      <c r="I135" s="741">
        <v>0</v>
      </c>
      <c r="J135" s="706" t="s">
        <v>2754</v>
      </c>
    </row>
    <row r="136" spans="1:10" s="58" customFormat="1" ht="25.5">
      <c r="A136" s="781">
        <v>220</v>
      </c>
      <c r="B136" s="786">
        <v>300</v>
      </c>
      <c r="C136" s="782">
        <v>800</v>
      </c>
      <c r="D136" s="793"/>
      <c r="E136" s="793"/>
      <c r="F136" s="794"/>
      <c r="G136" s="748" t="s">
        <v>3221</v>
      </c>
      <c r="H136" s="741"/>
      <c r="I136" s="741">
        <v>0</v>
      </c>
      <c r="J136" s="706" t="s">
        <v>2756</v>
      </c>
    </row>
    <row r="137" spans="1:10" s="58" customFormat="1">
      <c r="A137" s="781">
        <v>220</v>
      </c>
      <c r="B137" s="786">
        <v>400</v>
      </c>
      <c r="C137" s="786"/>
      <c r="D137" s="809"/>
      <c r="E137" s="809"/>
      <c r="F137" s="810"/>
      <c r="G137" s="788" t="s">
        <v>3222</v>
      </c>
      <c r="H137" s="742"/>
      <c r="I137" s="742"/>
      <c r="J137" s="706" t="s">
        <v>2758</v>
      </c>
    </row>
    <row r="138" spans="1:10" s="58" customFormat="1" ht="25.5">
      <c r="A138" s="781">
        <v>220</v>
      </c>
      <c r="B138" s="786">
        <v>400</v>
      </c>
      <c r="C138" s="789">
        <v>50</v>
      </c>
      <c r="D138" s="809"/>
      <c r="E138" s="809"/>
      <c r="F138" s="810"/>
      <c r="G138" s="748" t="s">
        <v>3223</v>
      </c>
      <c r="H138" s="741">
        <v>14055857.43</v>
      </c>
      <c r="I138" s="741">
        <v>0</v>
      </c>
      <c r="J138" s="706" t="s">
        <v>2760</v>
      </c>
    </row>
    <row r="139" spans="1:10" s="58" customFormat="1" ht="25.5">
      <c r="A139" s="781">
        <v>220</v>
      </c>
      <c r="B139" s="786">
        <v>400</v>
      </c>
      <c r="C139" s="789">
        <v>100</v>
      </c>
      <c r="D139" s="793"/>
      <c r="E139" s="793"/>
      <c r="F139" s="794"/>
      <c r="G139" s="748" t="s">
        <v>3224</v>
      </c>
      <c r="H139" s="741">
        <v>3860014.36</v>
      </c>
      <c r="I139" s="741">
        <v>1447339.92</v>
      </c>
      <c r="J139" s="706" t="s">
        <v>2762</v>
      </c>
    </row>
    <row r="140" spans="1:10" s="58" customFormat="1">
      <c r="A140" s="781">
        <v>220</v>
      </c>
      <c r="B140" s="786">
        <v>400</v>
      </c>
      <c r="C140" s="789">
        <v>200</v>
      </c>
      <c r="D140" s="793"/>
      <c r="E140" s="793"/>
      <c r="F140" s="794"/>
      <c r="G140" s="748" t="s">
        <v>3225</v>
      </c>
      <c r="H140" s="741">
        <v>9749357.4299999997</v>
      </c>
      <c r="I140" s="741">
        <v>5625372.3895999994</v>
      </c>
      <c r="J140" s="706" t="s">
        <v>2764</v>
      </c>
    </row>
    <row r="141" spans="1:10" s="58" customFormat="1">
      <c r="A141" s="781">
        <v>220</v>
      </c>
      <c r="B141" s="786">
        <v>400</v>
      </c>
      <c r="C141" s="789">
        <v>300</v>
      </c>
      <c r="D141" s="793"/>
      <c r="E141" s="793"/>
      <c r="F141" s="794"/>
      <c r="G141" s="748" t="s">
        <v>3226</v>
      </c>
      <c r="H141" s="741"/>
      <c r="I141" s="741">
        <v>0</v>
      </c>
      <c r="J141" s="706" t="s">
        <v>2766</v>
      </c>
    </row>
    <row r="142" spans="1:10" s="58" customFormat="1">
      <c r="A142" s="781">
        <v>220</v>
      </c>
      <c r="B142" s="786">
        <v>400</v>
      </c>
      <c r="C142" s="786">
        <v>400</v>
      </c>
      <c r="D142" s="809"/>
      <c r="E142" s="809"/>
      <c r="F142" s="810"/>
      <c r="G142" s="788" t="s">
        <v>3227</v>
      </c>
      <c r="H142" s="742"/>
      <c r="I142" s="742"/>
      <c r="J142" s="706" t="s">
        <v>2768</v>
      </c>
    </row>
    <row r="143" spans="1:10" s="58" customFormat="1">
      <c r="A143" s="781">
        <v>220</v>
      </c>
      <c r="B143" s="786">
        <v>400</v>
      </c>
      <c r="C143" s="786">
        <v>400</v>
      </c>
      <c r="D143" s="789">
        <v>100</v>
      </c>
      <c r="E143" s="793"/>
      <c r="F143" s="794"/>
      <c r="G143" s="791" t="s">
        <v>3228</v>
      </c>
      <c r="H143" s="741">
        <v>718546.24</v>
      </c>
      <c r="I143" s="741">
        <v>689241.66800000006</v>
      </c>
      <c r="J143" s="706"/>
    </row>
    <row r="144" spans="1:10" s="58" customFormat="1">
      <c r="A144" s="781">
        <v>220</v>
      </c>
      <c r="B144" s="786">
        <v>400</v>
      </c>
      <c r="C144" s="786">
        <v>400</v>
      </c>
      <c r="D144" s="789">
        <v>900</v>
      </c>
      <c r="E144" s="793"/>
      <c r="F144" s="794"/>
      <c r="G144" s="791" t="s">
        <v>3229</v>
      </c>
      <c r="H144" s="741">
        <v>5019328.95</v>
      </c>
      <c r="I144" s="741">
        <v>4787336.9991991958</v>
      </c>
      <c r="J144" s="706"/>
    </row>
    <row r="145" spans="1:10" s="58" customFormat="1">
      <c r="A145" s="781">
        <v>220</v>
      </c>
      <c r="B145" s="786">
        <v>500</v>
      </c>
      <c r="C145" s="786"/>
      <c r="D145" s="809"/>
      <c r="E145" s="809"/>
      <c r="F145" s="810"/>
      <c r="G145" s="788" t="s">
        <v>3230</v>
      </c>
      <c r="H145" s="742"/>
      <c r="I145" s="742"/>
      <c r="J145" s="706"/>
    </row>
    <row r="146" spans="1:10" s="58" customFormat="1">
      <c r="A146" s="781">
        <v>220</v>
      </c>
      <c r="B146" s="786">
        <v>500</v>
      </c>
      <c r="C146" s="789">
        <v>100</v>
      </c>
      <c r="D146" s="793"/>
      <c r="E146" s="793"/>
      <c r="F146" s="794"/>
      <c r="G146" s="748" t="s">
        <v>3231</v>
      </c>
      <c r="H146" s="741"/>
      <c r="I146" s="741">
        <v>0</v>
      </c>
      <c r="J146" s="706" t="s">
        <v>2772</v>
      </c>
    </row>
    <row r="147" spans="1:10" s="58" customFormat="1">
      <c r="A147" s="781">
        <v>220</v>
      </c>
      <c r="B147" s="786">
        <v>500</v>
      </c>
      <c r="C147" s="786">
        <v>200</v>
      </c>
      <c r="D147" s="809"/>
      <c r="E147" s="809"/>
      <c r="F147" s="810"/>
      <c r="G147" s="788" t="s">
        <v>3232</v>
      </c>
      <c r="H147" s="742"/>
      <c r="I147" s="742"/>
      <c r="J147" s="706"/>
    </row>
    <row r="148" spans="1:10" s="58" customFormat="1">
      <c r="A148" s="781">
        <v>220</v>
      </c>
      <c r="B148" s="786">
        <v>500</v>
      </c>
      <c r="C148" s="786">
        <v>200</v>
      </c>
      <c r="D148" s="789">
        <v>100</v>
      </c>
      <c r="E148" s="789"/>
      <c r="F148" s="790"/>
      <c r="G148" s="748" t="s">
        <v>3233</v>
      </c>
      <c r="H148" s="741">
        <v>9049473.8699999992</v>
      </c>
      <c r="I148" s="741">
        <v>6735803.0600000005</v>
      </c>
      <c r="J148" s="706" t="s">
        <v>2776</v>
      </c>
    </row>
    <row r="149" spans="1:10" s="58" customFormat="1">
      <c r="A149" s="781">
        <v>220</v>
      </c>
      <c r="B149" s="786">
        <v>500</v>
      </c>
      <c r="C149" s="786">
        <v>200</v>
      </c>
      <c r="D149" s="789">
        <v>200</v>
      </c>
      <c r="E149" s="789"/>
      <c r="F149" s="790"/>
      <c r="G149" s="748" t="s">
        <v>3234</v>
      </c>
      <c r="H149" s="741">
        <v>3761251.43</v>
      </c>
      <c r="I149" s="741">
        <v>4117146.99</v>
      </c>
      <c r="J149" s="706" t="s">
        <v>2778</v>
      </c>
    </row>
    <row r="150" spans="1:10" s="58" customFormat="1">
      <c r="A150" s="781">
        <v>220</v>
      </c>
      <c r="B150" s="786">
        <v>500</v>
      </c>
      <c r="C150" s="786">
        <v>200</v>
      </c>
      <c r="D150" s="789">
        <v>300</v>
      </c>
      <c r="E150" s="789"/>
      <c r="F150" s="790"/>
      <c r="G150" s="748" t="s">
        <v>3235</v>
      </c>
      <c r="H150" s="741">
        <v>415548.21</v>
      </c>
      <c r="I150" s="741">
        <v>349973.57999999996</v>
      </c>
      <c r="J150" s="706" t="s">
        <v>2780</v>
      </c>
    </row>
    <row r="151" spans="1:10" s="58" customFormat="1">
      <c r="A151" s="781">
        <v>220</v>
      </c>
      <c r="B151" s="786">
        <v>500</v>
      </c>
      <c r="C151" s="786">
        <v>900</v>
      </c>
      <c r="D151" s="786"/>
      <c r="E151" s="786"/>
      <c r="F151" s="810"/>
      <c r="G151" s="811" t="s">
        <v>3236</v>
      </c>
      <c r="H151" s="742"/>
      <c r="I151" s="742"/>
      <c r="J151" s="706" t="s">
        <v>2782</v>
      </c>
    </row>
    <row r="152" spans="1:10" s="58" customFormat="1">
      <c r="A152" s="781">
        <v>220</v>
      </c>
      <c r="B152" s="786">
        <v>500</v>
      </c>
      <c r="C152" s="786">
        <v>900</v>
      </c>
      <c r="D152" s="789">
        <v>100</v>
      </c>
      <c r="E152" s="793"/>
      <c r="F152" s="794"/>
      <c r="G152" s="791" t="s">
        <v>3237</v>
      </c>
      <c r="H152" s="785">
        <v>2132550.6</v>
      </c>
      <c r="I152" s="785">
        <v>2171232.21</v>
      </c>
      <c r="J152" s="744"/>
    </row>
    <row r="153" spans="1:10" s="58" customFormat="1">
      <c r="A153" s="781">
        <v>220</v>
      </c>
      <c r="B153" s="786">
        <v>500</v>
      </c>
      <c r="C153" s="786">
        <v>900</v>
      </c>
      <c r="D153" s="789">
        <v>900</v>
      </c>
      <c r="E153" s="789"/>
      <c r="F153" s="790"/>
      <c r="G153" s="791" t="s">
        <v>3236</v>
      </c>
      <c r="H153" s="741">
        <v>2182365.66</v>
      </c>
      <c r="I153" s="741">
        <v>2321711.3499999996</v>
      </c>
      <c r="J153" s="706"/>
    </row>
    <row r="154" spans="1:10" s="58" customFormat="1">
      <c r="A154" s="781">
        <v>220</v>
      </c>
      <c r="B154" s="786">
        <v>500</v>
      </c>
      <c r="C154" s="789">
        <v>950</v>
      </c>
      <c r="D154" s="782"/>
      <c r="E154" s="782"/>
      <c r="F154" s="804"/>
      <c r="G154" s="814" t="s">
        <v>3238</v>
      </c>
      <c r="H154" s="741">
        <v>354897.91</v>
      </c>
      <c r="I154" s="741">
        <v>423309.36</v>
      </c>
      <c r="J154" s="706" t="s">
        <v>2784</v>
      </c>
    </row>
    <row r="155" spans="1:10" s="58" customFormat="1">
      <c r="A155" s="805">
        <v>230</v>
      </c>
      <c r="B155" s="806">
        <v>0</v>
      </c>
      <c r="C155" s="806">
        <v>0</v>
      </c>
      <c r="D155" s="806">
        <v>0</v>
      </c>
      <c r="E155" s="806">
        <v>0</v>
      </c>
      <c r="F155" s="807">
        <v>0</v>
      </c>
      <c r="G155" s="808" t="s">
        <v>2264</v>
      </c>
      <c r="H155" s="800"/>
      <c r="I155" s="800"/>
      <c r="J155" s="730"/>
    </row>
    <row r="156" spans="1:10" s="58" customFormat="1">
      <c r="A156" s="812">
        <v>230</v>
      </c>
      <c r="B156" s="789">
        <v>100</v>
      </c>
      <c r="C156" s="789"/>
      <c r="D156" s="789"/>
      <c r="E156" s="789"/>
      <c r="F156" s="790"/>
      <c r="G156" s="748" t="s">
        <v>3239</v>
      </c>
      <c r="H156" s="741">
        <v>3449494.43</v>
      </c>
      <c r="I156" s="741">
        <v>3316528.42</v>
      </c>
      <c r="J156" s="706" t="s">
        <v>2788</v>
      </c>
    </row>
    <row r="157" spans="1:10" s="62" customFormat="1">
      <c r="A157" s="812">
        <v>230</v>
      </c>
      <c r="B157" s="789">
        <v>200</v>
      </c>
      <c r="C157" s="789"/>
      <c r="D157" s="789"/>
      <c r="E157" s="789"/>
      <c r="F157" s="790"/>
      <c r="G157" s="748" t="s">
        <v>3240</v>
      </c>
      <c r="H157" s="741"/>
      <c r="I157" s="741">
        <v>0</v>
      </c>
      <c r="J157" s="706" t="s">
        <v>2790</v>
      </c>
    </row>
    <row r="158" spans="1:10" s="58" customFormat="1">
      <c r="A158" s="813">
        <v>230</v>
      </c>
      <c r="B158" s="789">
        <v>300</v>
      </c>
      <c r="C158" s="789"/>
      <c r="D158" s="782"/>
      <c r="E158" s="782"/>
      <c r="F158" s="804"/>
      <c r="G158" s="814" t="s">
        <v>3241</v>
      </c>
      <c r="H158" s="741"/>
      <c r="I158" s="741">
        <v>0</v>
      </c>
      <c r="J158" s="706" t="s">
        <v>2792</v>
      </c>
    </row>
    <row r="159" spans="1:10" s="58" customFormat="1">
      <c r="A159" s="805">
        <v>240</v>
      </c>
      <c r="B159" s="806">
        <v>0</v>
      </c>
      <c r="C159" s="806">
        <v>0</v>
      </c>
      <c r="D159" s="806">
        <v>0</v>
      </c>
      <c r="E159" s="806">
        <v>0</v>
      </c>
      <c r="F159" s="807">
        <v>0</v>
      </c>
      <c r="G159" s="808" t="s">
        <v>3242</v>
      </c>
      <c r="H159" s="800"/>
      <c r="I159" s="800"/>
      <c r="J159" s="730"/>
    </row>
    <row r="160" spans="1:10" s="58" customFormat="1">
      <c r="A160" s="812">
        <v>240</v>
      </c>
      <c r="B160" s="789">
        <v>50</v>
      </c>
      <c r="C160" s="789"/>
      <c r="D160" s="789"/>
      <c r="E160" s="789"/>
      <c r="F160" s="790"/>
      <c r="G160" s="748" t="s">
        <v>3243</v>
      </c>
      <c r="H160" s="741"/>
      <c r="I160" s="741">
        <v>0</v>
      </c>
      <c r="J160" s="706" t="s">
        <v>2796</v>
      </c>
    </row>
    <row r="161" spans="1:10" s="62" customFormat="1">
      <c r="A161" s="812">
        <v>240</v>
      </c>
      <c r="B161" s="786">
        <v>100</v>
      </c>
      <c r="C161" s="815"/>
      <c r="D161" s="786"/>
      <c r="E161" s="786"/>
      <c r="F161" s="787"/>
      <c r="G161" s="788" t="s">
        <v>3244</v>
      </c>
      <c r="H161" s="742"/>
      <c r="I161" s="742"/>
      <c r="J161" s="706" t="s">
        <v>2798</v>
      </c>
    </row>
    <row r="162" spans="1:10" s="58" customFormat="1">
      <c r="A162" s="812">
        <v>240</v>
      </c>
      <c r="B162" s="786">
        <v>100</v>
      </c>
      <c r="C162" s="816">
        <v>100</v>
      </c>
      <c r="D162" s="789"/>
      <c r="E162" s="789"/>
      <c r="F162" s="790"/>
      <c r="G162" s="748" t="s">
        <v>3245</v>
      </c>
      <c r="H162" s="741"/>
      <c r="I162" s="741">
        <v>0</v>
      </c>
      <c r="J162" s="706" t="s">
        <v>2800</v>
      </c>
    </row>
    <row r="163" spans="1:10" s="58" customFormat="1">
      <c r="A163" s="812">
        <v>240</v>
      </c>
      <c r="B163" s="786">
        <v>100</v>
      </c>
      <c r="C163" s="816">
        <v>200</v>
      </c>
      <c r="D163" s="789"/>
      <c r="E163" s="789"/>
      <c r="F163" s="790"/>
      <c r="G163" s="748" t="s">
        <v>3246</v>
      </c>
      <c r="H163" s="741"/>
      <c r="I163" s="741">
        <v>0</v>
      </c>
      <c r="J163" s="706" t="s">
        <v>2802</v>
      </c>
    </row>
    <row r="164" spans="1:10" s="58" customFormat="1">
      <c r="A164" s="812">
        <v>240</v>
      </c>
      <c r="B164" s="786">
        <v>100</v>
      </c>
      <c r="C164" s="816">
        <v>300</v>
      </c>
      <c r="D164" s="789"/>
      <c r="E164" s="789"/>
      <c r="F164" s="790"/>
      <c r="G164" s="748" t="s">
        <v>3247</v>
      </c>
      <c r="H164" s="741"/>
      <c r="I164" s="741">
        <v>0</v>
      </c>
      <c r="J164" s="706" t="s">
        <v>2804</v>
      </c>
    </row>
    <row r="165" spans="1:10" s="58" customFormat="1">
      <c r="A165" s="812">
        <v>240</v>
      </c>
      <c r="B165" s="786">
        <v>100</v>
      </c>
      <c r="C165" s="816">
        <v>400</v>
      </c>
      <c r="D165" s="789"/>
      <c r="E165" s="789"/>
      <c r="F165" s="790"/>
      <c r="G165" s="748" t="s">
        <v>3248</v>
      </c>
      <c r="H165" s="741"/>
      <c r="I165" s="741">
        <v>0</v>
      </c>
      <c r="J165" s="706" t="s">
        <v>2806</v>
      </c>
    </row>
    <row r="166" spans="1:10" s="58" customFormat="1">
      <c r="A166" s="812">
        <v>240</v>
      </c>
      <c r="B166" s="786">
        <v>100</v>
      </c>
      <c r="C166" s="815">
        <v>500</v>
      </c>
      <c r="D166" s="786"/>
      <c r="E166" s="786"/>
      <c r="F166" s="787"/>
      <c r="G166" s="788" t="s">
        <v>3249</v>
      </c>
      <c r="H166" s="742"/>
      <c r="I166" s="742"/>
      <c r="J166" s="706" t="s">
        <v>2808</v>
      </c>
    </row>
    <row r="167" spans="1:10" s="58" customFormat="1">
      <c r="A167" s="812">
        <v>240</v>
      </c>
      <c r="B167" s="786">
        <v>100</v>
      </c>
      <c r="C167" s="815">
        <v>500</v>
      </c>
      <c r="D167" s="789">
        <v>100</v>
      </c>
      <c r="E167" s="789"/>
      <c r="F167" s="790"/>
      <c r="G167" s="791" t="s">
        <v>3250</v>
      </c>
      <c r="H167" s="741"/>
      <c r="I167" s="741">
        <v>0</v>
      </c>
      <c r="J167" s="706"/>
    </row>
    <row r="168" spans="1:10" s="58" customFormat="1">
      <c r="A168" s="812">
        <v>240</v>
      </c>
      <c r="B168" s="786">
        <v>100</v>
      </c>
      <c r="C168" s="815">
        <v>500</v>
      </c>
      <c r="D168" s="789">
        <v>200</v>
      </c>
      <c r="E168" s="789"/>
      <c r="F168" s="790"/>
      <c r="G168" s="791" t="s">
        <v>3249</v>
      </c>
      <c r="H168" s="741">
        <v>408.52</v>
      </c>
      <c r="I168" s="741">
        <v>277.51</v>
      </c>
      <c r="J168" s="706"/>
    </row>
    <row r="169" spans="1:10" s="58" customFormat="1">
      <c r="A169" s="812">
        <v>240</v>
      </c>
      <c r="B169" s="786">
        <v>100</v>
      </c>
      <c r="C169" s="815">
        <v>500</v>
      </c>
      <c r="D169" s="789">
        <v>800</v>
      </c>
      <c r="E169" s="789"/>
      <c r="F169" s="790"/>
      <c r="G169" s="791" t="s">
        <v>3251</v>
      </c>
      <c r="H169" s="741"/>
      <c r="I169" s="741">
        <v>0</v>
      </c>
      <c r="J169" s="706"/>
    </row>
    <row r="170" spans="1:10" s="58" customFormat="1">
      <c r="A170" s="812">
        <v>240</v>
      </c>
      <c r="B170" s="786">
        <v>100</v>
      </c>
      <c r="C170" s="815">
        <v>500</v>
      </c>
      <c r="D170" s="789">
        <v>900</v>
      </c>
      <c r="E170" s="789"/>
      <c r="F170" s="790"/>
      <c r="G170" s="791" t="s">
        <v>3471</v>
      </c>
      <c r="H170" s="741"/>
      <c r="I170" s="741">
        <v>0</v>
      </c>
      <c r="J170" s="706"/>
    </row>
    <row r="171" spans="1:10" s="58" customFormat="1">
      <c r="A171" s="812">
        <v>240</v>
      </c>
      <c r="B171" s="786">
        <v>150</v>
      </c>
      <c r="C171" s="815"/>
      <c r="D171" s="786"/>
      <c r="E171" s="786"/>
      <c r="F171" s="787"/>
      <c r="G171" s="788" t="s">
        <v>3252</v>
      </c>
      <c r="H171" s="742"/>
      <c r="I171" s="742"/>
      <c r="J171" s="706"/>
    </row>
    <row r="172" spans="1:10" s="58" customFormat="1">
      <c r="A172" s="812">
        <v>240</v>
      </c>
      <c r="B172" s="786">
        <v>150</v>
      </c>
      <c r="C172" s="816">
        <v>100</v>
      </c>
      <c r="D172" s="789"/>
      <c r="E172" s="789"/>
      <c r="F172" s="790"/>
      <c r="G172" s="748" t="s">
        <v>3254</v>
      </c>
      <c r="H172" s="741"/>
      <c r="I172" s="741">
        <v>12842583.300000001</v>
      </c>
      <c r="J172" s="706" t="s">
        <v>2812</v>
      </c>
    </row>
    <row r="173" spans="1:10" s="58" customFormat="1">
      <c r="A173" s="812">
        <v>240</v>
      </c>
      <c r="B173" s="786">
        <v>150</v>
      </c>
      <c r="C173" s="816">
        <v>150</v>
      </c>
      <c r="D173" s="789"/>
      <c r="E173" s="789"/>
      <c r="F173" s="790"/>
      <c r="G173" s="748" t="s">
        <v>3253</v>
      </c>
      <c r="H173" s="741">
        <v>8982792.0700000003</v>
      </c>
      <c r="I173" s="741">
        <v>0</v>
      </c>
      <c r="J173" s="706" t="s">
        <v>2814</v>
      </c>
    </row>
    <row r="174" spans="1:10" s="58" customFormat="1">
      <c r="A174" s="812">
        <v>240</v>
      </c>
      <c r="B174" s="786">
        <v>150</v>
      </c>
      <c r="C174" s="816">
        <v>200</v>
      </c>
      <c r="D174" s="789"/>
      <c r="E174" s="789"/>
      <c r="F174" s="790"/>
      <c r="G174" s="748" t="s">
        <v>3255</v>
      </c>
      <c r="H174" s="741"/>
      <c r="I174" s="741">
        <v>0</v>
      </c>
      <c r="J174" s="706" t="s">
        <v>2816</v>
      </c>
    </row>
    <row r="175" spans="1:10" s="58" customFormat="1" ht="25.5">
      <c r="A175" s="812">
        <v>240</v>
      </c>
      <c r="B175" s="786">
        <v>150</v>
      </c>
      <c r="C175" s="816">
        <v>300</v>
      </c>
      <c r="D175" s="789"/>
      <c r="E175" s="789"/>
      <c r="F175" s="790"/>
      <c r="G175" s="748" t="s">
        <v>3256</v>
      </c>
      <c r="H175" s="741">
        <v>804755.18</v>
      </c>
      <c r="I175" s="741">
        <v>804755.18</v>
      </c>
      <c r="J175" s="706" t="s">
        <v>2818</v>
      </c>
    </row>
    <row r="176" spans="1:10" s="58" customFormat="1" ht="25.5">
      <c r="A176" s="812">
        <v>240</v>
      </c>
      <c r="B176" s="786">
        <v>150</v>
      </c>
      <c r="C176" s="816">
        <v>350</v>
      </c>
      <c r="D176" s="789"/>
      <c r="E176" s="789"/>
      <c r="F176" s="790"/>
      <c r="G176" s="748" t="s">
        <v>3257</v>
      </c>
      <c r="H176" s="741"/>
      <c r="I176" s="741">
        <v>0</v>
      </c>
      <c r="J176" s="706" t="s">
        <v>2820</v>
      </c>
    </row>
    <row r="177" spans="1:10" s="58" customFormat="1">
      <c r="A177" s="812">
        <v>240</v>
      </c>
      <c r="B177" s="786">
        <v>150</v>
      </c>
      <c r="C177" s="816">
        <v>400</v>
      </c>
      <c r="D177" s="789"/>
      <c r="E177" s="789"/>
      <c r="F177" s="790"/>
      <c r="G177" s="748" t="s">
        <v>3258</v>
      </c>
      <c r="H177" s="741"/>
      <c r="I177" s="741">
        <v>0</v>
      </c>
      <c r="J177" s="706" t="s">
        <v>2822</v>
      </c>
    </row>
    <row r="178" spans="1:10" s="58" customFormat="1" ht="38.25">
      <c r="A178" s="812">
        <v>240</v>
      </c>
      <c r="B178" s="786">
        <v>150</v>
      </c>
      <c r="C178" s="816">
        <v>410</v>
      </c>
      <c r="D178" s="789"/>
      <c r="E178" s="789"/>
      <c r="F178" s="790"/>
      <c r="G178" s="748" t="s">
        <v>3259</v>
      </c>
      <c r="H178" s="741"/>
      <c r="I178" s="741">
        <v>0</v>
      </c>
      <c r="J178" s="706" t="s">
        <v>2824</v>
      </c>
    </row>
    <row r="179" spans="1:10" s="58" customFormat="1">
      <c r="A179" s="812">
        <v>240</v>
      </c>
      <c r="B179" s="786">
        <v>150</v>
      </c>
      <c r="C179" s="816">
        <v>420</v>
      </c>
      <c r="D179" s="789"/>
      <c r="E179" s="789"/>
      <c r="F179" s="790"/>
      <c r="G179" s="748" t="s">
        <v>3260</v>
      </c>
      <c r="H179" s="741"/>
      <c r="I179" s="741">
        <v>0</v>
      </c>
      <c r="J179" s="706" t="s">
        <v>2826</v>
      </c>
    </row>
    <row r="180" spans="1:10" s="58" customFormat="1">
      <c r="A180" s="812">
        <v>240</v>
      </c>
      <c r="B180" s="786">
        <v>150</v>
      </c>
      <c r="C180" s="816">
        <v>430</v>
      </c>
      <c r="D180" s="789"/>
      <c r="E180" s="789"/>
      <c r="F180" s="790"/>
      <c r="G180" s="748" t="s">
        <v>3261</v>
      </c>
      <c r="H180" s="741"/>
      <c r="I180" s="741">
        <v>0</v>
      </c>
      <c r="J180" s="706" t="s">
        <v>2828</v>
      </c>
    </row>
    <row r="181" spans="1:10" s="58" customFormat="1">
      <c r="A181" s="812">
        <v>240</v>
      </c>
      <c r="B181" s="786">
        <v>150</v>
      </c>
      <c r="C181" s="815">
        <v>500</v>
      </c>
      <c r="D181" s="786"/>
      <c r="E181" s="786"/>
      <c r="F181" s="787"/>
      <c r="G181" s="748" t="s">
        <v>3262</v>
      </c>
      <c r="H181" s="742"/>
      <c r="I181" s="742"/>
      <c r="J181" s="706" t="s">
        <v>2830</v>
      </c>
    </row>
    <row r="182" spans="1:10" s="58" customFormat="1">
      <c r="A182" s="812">
        <v>240</v>
      </c>
      <c r="B182" s="786">
        <v>150</v>
      </c>
      <c r="C182" s="815">
        <v>500</v>
      </c>
      <c r="D182" s="789">
        <v>100</v>
      </c>
      <c r="E182" s="789"/>
      <c r="F182" s="790"/>
      <c r="G182" s="791" t="s">
        <v>3263</v>
      </c>
      <c r="H182" s="741"/>
      <c r="I182" s="741">
        <v>0</v>
      </c>
      <c r="J182" s="706"/>
    </row>
    <row r="183" spans="1:10" s="58" customFormat="1" ht="25.5">
      <c r="A183" s="812">
        <v>240</v>
      </c>
      <c r="B183" s="786">
        <v>150</v>
      </c>
      <c r="C183" s="815">
        <v>500</v>
      </c>
      <c r="D183" s="789">
        <v>200</v>
      </c>
      <c r="E183" s="789"/>
      <c r="F183" s="790"/>
      <c r="G183" s="791" t="s">
        <v>3264</v>
      </c>
      <c r="H183" s="741">
        <v>2500</v>
      </c>
      <c r="I183" s="741">
        <v>2500</v>
      </c>
      <c r="J183" s="706"/>
    </row>
    <row r="184" spans="1:10" s="58" customFormat="1">
      <c r="A184" s="812">
        <v>240</v>
      </c>
      <c r="B184" s="786">
        <v>150</v>
      </c>
      <c r="C184" s="815">
        <v>500</v>
      </c>
      <c r="D184" s="789">
        <v>300</v>
      </c>
      <c r="E184" s="789"/>
      <c r="F184" s="790"/>
      <c r="G184" s="791" t="s">
        <v>3262</v>
      </c>
      <c r="H184" s="741">
        <v>27445521.690000001</v>
      </c>
      <c r="I184" s="741">
        <v>10216233.57</v>
      </c>
      <c r="J184" s="706"/>
    </row>
    <row r="185" spans="1:10" s="58" customFormat="1">
      <c r="A185" s="812">
        <v>240</v>
      </c>
      <c r="B185" s="786">
        <v>150</v>
      </c>
      <c r="C185" s="815">
        <v>500</v>
      </c>
      <c r="D185" s="789">
        <v>800</v>
      </c>
      <c r="E185" s="789"/>
      <c r="F185" s="790"/>
      <c r="G185" s="791" t="s">
        <v>3251</v>
      </c>
      <c r="H185" s="741"/>
      <c r="I185" s="741">
        <v>0</v>
      </c>
      <c r="J185" s="706"/>
    </row>
    <row r="186" spans="1:10" s="58" customFormat="1">
      <c r="A186" s="812">
        <v>240</v>
      </c>
      <c r="B186" s="786">
        <v>150</v>
      </c>
      <c r="C186" s="815">
        <v>500</v>
      </c>
      <c r="D186" s="789">
        <v>900</v>
      </c>
      <c r="E186" s="789"/>
      <c r="F186" s="790"/>
      <c r="G186" s="791" t="s">
        <v>3471</v>
      </c>
      <c r="H186" s="741"/>
      <c r="I186" s="741">
        <v>0</v>
      </c>
      <c r="J186" s="706"/>
    </row>
    <row r="187" spans="1:10" s="58" customFormat="1">
      <c r="A187" s="812">
        <v>240</v>
      </c>
      <c r="B187" s="786">
        <v>200</v>
      </c>
      <c r="C187" s="786"/>
      <c r="D187" s="786"/>
      <c r="E187" s="786"/>
      <c r="F187" s="787"/>
      <c r="G187" s="788" t="s">
        <v>3265</v>
      </c>
      <c r="H187" s="742"/>
      <c r="I187" s="742"/>
      <c r="J187" s="706" t="s">
        <v>2832</v>
      </c>
    </row>
    <row r="188" spans="1:10" s="58" customFormat="1">
      <c r="A188" s="812">
        <v>240</v>
      </c>
      <c r="B188" s="786">
        <v>200</v>
      </c>
      <c r="C188" s="789">
        <v>100</v>
      </c>
      <c r="D188" s="789"/>
      <c r="E188" s="789"/>
      <c r="F188" s="790"/>
      <c r="G188" s="791" t="s">
        <v>3266</v>
      </c>
      <c r="H188" s="741"/>
      <c r="I188" s="741">
        <v>0</v>
      </c>
      <c r="J188" s="706"/>
    </row>
    <row r="189" spans="1:10" s="58" customFormat="1">
      <c r="A189" s="812">
        <v>240</v>
      </c>
      <c r="B189" s="786">
        <v>200</v>
      </c>
      <c r="C189" s="789">
        <v>200</v>
      </c>
      <c r="D189" s="789"/>
      <c r="E189" s="789"/>
      <c r="F189" s="790"/>
      <c r="G189" s="791" t="s">
        <v>3267</v>
      </c>
      <c r="H189" s="741">
        <v>3115698.41</v>
      </c>
      <c r="I189" s="741">
        <v>5280713.7699999996</v>
      </c>
      <c r="J189" s="706"/>
    </row>
    <row r="190" spans="1:10" s="58" customFormat="1">
      <c r="A190" s="812">
        <v>240</v>
      </c>
      <c r="B190" s="786">
        <v>200</v>
      </c>
      <c r="C190" s="789">
        <v>800</v>
      </c>
      <c r="D190" s="789"/>
      <c r="E190" s="789"/>
      <c r="F190" s="790"/>
      <c r="G190" s="791" t="s">
        <v>3251</v>
      </c>
      <c r="H190" s="741">
        <v>85047.08</v>
      </c>
      <c r="I190" s="741">
        <v>334</v>
      </c>
      <c r="J190" s="706"/>
    </row>
    <row r="191" spans="1:10" s="58" customFormat="1">
      <c r="A191" s="812">
        <v>240</v>
      </c>
      <c r="B191" s="786">
        <v>200</v>
      </c>
      <c r="C191" s="789">
        <v>900</v>
      </c>
      <c r="D191" s="789"/>
      <c r="E191" s="789"/>
      <c r="F191" s="790"/>
      <c r="G191" s="791" t="s">
        <v>3471</v>
      </c>
      <c r="H191" s="741"/>
      <c r="I191" s="741">
        <v>0</v>
      </c>
      <c r="J191" s="706"/>
    </row>
    <row r="192" spans="1:10" s="58" customFormat="1">
      <c r="A192" s="812">
        <v>240</v>
      </c>
      <c r="B192" s="786">
        <v>250</v>
      </c>
      <c r="C192" s="786"/>
      <c r="D192" s="786"/>
      <c r="E192" s="786"/>
      <c r="F192" s="787"/>
      <c r="G192" s="788" t="s">
        <v>3268</v>
      </c>
      <c r="H192" s="742"/>
      <c r="I192" s="742"/>
      <c r="J192" s="706" t="s">
        <v>2834</v>
      </c>
    </row>
    <row r="193" spans="1:10" s="58" customFormat="1">
      <c r="A193" s="812">
        <v>240</v>
      </c>
      <c r="B193" s="786">
        <v>250</v>
      </c>
      <c r="C193" s="786">
        <v>100</v>
      </c>
      <c r="D193" s="786"/>
      <c r="E193" s="786"/>
      <c r="F193" s="787"/>
      <c r="G193" s="788" t="s">
        <v>3269</v>
      </c>
      <c r="H193" s="742"/>
      <c r="I193" s="742"/>
      <c r="J193" s="706" t="s">
        <v>2836</v>
      </c>
    </row>
    <row r="194" spans="1:10" s="58" customFormat="1">
      <c r="A194" s="812">
        <v>240</v>
      </c>
      <c r="B194" s="786">
        <v>250</v>
      </c>
      <c r="C194" s="786">
        <v>100</v>
      </c>
      <c r="D194" s="789">
        <v>100</v>
      </c>
      <c r="E194" s="789"/>
      <c r="F194" s="790"/>
      <c r="G194" s="748" t="s">
        <v>3270</v>
      </c>
      <c r="H194" s="741"/>
      <c r="I194" s="741">
        <v>0</v>
      </c>
      <c r="J194" s="706" t="s">
        <v>2838</v>
      </c>
    </row>
    <row r="195" spans="1:10" s="58" customFormat="1" ht="25.5">
      <c r="A195" s="812">
        <v>240</v>
      </c>
      <c r="B195" s="786">
        <v>250</v>
      </c>
      <c r="C195" s="786">
        <v>100</v>
      </c>
      <c r="D195" s="789">
        <v>200</v>
      </c>
      <c r="E195" s="789"/>
      <c r="F195" s="790"/>
      <c r="G195" s="748" t="s">
        <v>3271</v>
      </c>
      <c r="H195" s="741"/>
      <c r="I195" s="741">
        <v>0</v>
      </c>
      <c r="J195" s="706" t="s">
        <v>2840</v>
      </c>
    </row>
    <row r="196" spans="1:10" s="58" customFormat="1" ht="25.5">
      <c r="A196" s="812">
        <v>240</v>
      </c>
      <c r="B196" s="786">
        <v>250</v>
      </c>
      <c r="C196" s="786">
        <v>100</v>
      </c>
      <c r="D196" s="789">
        <v>300</v>
      </c>
      <c r="E196" s="789"/>
      <c r="F196" s="790"/>
      <c r="G196" s="748" t="s">
        <v>3272</v>
      </c>
      <c r="H196" s="741"/>
      <c r="I196" s="741">
        <v>0</v>
      </c>
      <c r="J196" s="706" t="s">
        <v>2842</v>
      </c>
    </row>
    <row r="197" spans="1:10" s="58" customFormat="1" ht="25.5">
      <c r="A197" s="812">
        <v>240</v>
      </c>
      <c r="B197" s="786">
        <v>250</v>
      </c>
      <c r="C197" s="786">
        <v>100</v>
      </c>
      <c r="D197" s="789">
        <v>400</v>
      </c>
      <c r="E197" s="789"/>
      <c r="F197" s="790"/>
      <c r="G197" s="748" t="s">
        <v>3273</v>
      </c>
      <c r="H197" s="741">
        <v>451861.9</v>
      </c>
      <c r="I197" s="741">
        <v>2256483</v>
      </c>
      <c r="J197" s="706" t="s">
        <v>2844</v>
      </c>
    </row>
    <row r="198" spans="1:10" s="58" customFormat="1" ht="25.5">
      <c r="A198" s="812">
        <v>240</v>
      </c>
      <c r="B198" s="786">
        <v>250</v>
      </c>
      <c r="C198" s="786">
        <v>100</v>
      </c>
      <c r="D198" s="786">
        <v>500</v>
      </c>
      <c r="E198" s="786"/>
      <c r="F198" s="787"/>
      <c r="G198" s="788" t="s">
        <v>3274</v>
      </c>
      <c r="H198" s="742"/>
      <c r="I198" s="742"/>
      <c r="J198" s="706" t="s">
        <v>2846</v>
      </c>
    </row>
    <row r="199" spans="1:10" s="58" customFormat="1" ht="25.5">
      <c r="A199" s="812">
        <v>240</v>
      </c>
      <c r="B199" s="786">
        <v>250</v>
      </c>
      <c r="C199" s="786">
        <v>100</v>
      </c>
      <c r="D199" s="786">
        <v>500</v>
      </c>
      <c r="E199" s="789">
        <v>10</v>
      </c>
      <c r="F199" s="790"/>
      <c r="G199" s="791" t="s">
        <v>3274</v>
      </c>
      <c r="H199" s="741">
        <v>7907555.6299999999</v>
      </c>
      <c r="I199" s="741">
        <v>13119977.26</v>
      </c>
      <c r="J199" s="706"/>
    </row>
    <row r="200" spans="1:10" s="58" customFormat="1">
      <c r="A200" s="812">
        <v>240</v>
      </c>
      <c r="B200" s="786">
        <v>250</v>
      </c>
      <c r="C200" s="786">
        <v>100</v>
      </c>
      <c r="D200" s="786">
        <v>500</v>
      </c>
      <c r="E200" s="789">
        <v>80</v>
      </c>
      <c r="F200" s="790"/>
      <c r="G200" s="791" t="s">
        <v>3251</v>
      </c>
      <c r="H200" s="741">
        <v>378862.69</v>
      </c>
      <c r="I200" s="741">
        <v>0</v>
      </c>
      <c r="J200" s="706"/>
    </row>
    <row r="201" spans="1:10" s="58" customFormat="1">
      <c r="A201" s="812">
        <v>240</v>
      </c>
      <c r="B201" s="786">
        <v>250</v>
      </c>
      <c r="C201" s="786">
        <v>100</v>
      </c>
      <c r="D201" s="786">
        <v>500</v>
      </c>
      <c r="E201" s="789">
        <v>90</v>
      </c>
      <c r="F201" s="790"/>
      <c r="G201" s="791" t="s">
        <v>3471</v>
      </c>
      <c r="H201" s="741"/>
      <c r="I201" s="741">
        <v>-15361.5</v>
      </c>
      <c r="J201" s="706"/>
    </row>
    <row r="202" spans="1:10" s="58" customFormat="1">
      <c r="A202" s="812">
        <v>240</v>
      </c>
      <c r="B202" s="786">
        <v>250</v>
      </c>
      <c r="C202" s="786">
        <v>100</v>
      </c>
      <c r="D202" s="786">
        <v>600</v>
      </c>
      <c r="E202" s="786"/>
      <c r="F202" s="787"/>
      <c r="G202" s="788" t="s">
        <v>3275</v>
      </c>
      <c r="H202" s="742"/>
      <c r="I202" s="742"/>
      <c r="J202" s="706" t="s">
        <v>2848</v>
      </c>
    </row>
    <row r="203" spans="1:10" s="58" customFormat="1">
      <c r="A203" s="812">
        <v>240</v>
      </c>
      <c r="B203" s="786">
        <v>250</v>
      </c>
      <c r="C203" s="786">
        <v>100</v>
      </c>
      <c r="D203" s="786">
        <v>600</v>
      </c>
      <c r="E203" s="789">
        <v>10</v>
      </c>
      <c r="F203" s="790"/>
      <c r="G203" s="791" t="s">
        <v>3276</v>
      </c>
      <c r="H203" s="741">
        <v>59175311.719999999</v>
      </c>
      <c r="I203" s="741">
        <v>50565317.729999997</v>
      </c>
      <c r="J203" s="706"/>
    </row>
    <row r="204" spans="1:10" s="58" customFormat="1">
      <c r="A204" s="812">
        <v>240</v>
      </c>
      <c r="B204" s="786">
        <v>250</v>
      </c>
      <c r="C204" s="786">
        <v>100</v>
      </c>
      <c r="D204" s="786">
        <v>600</v>
      </c>
      <c r="E204" s="789">
        <v>80</v>
      </c>
      <c r="F204" s="790"/>
      <c r="G204" s="791" t="s">
        <v>3251</v>
      </c>
      <c r="H204" s="741">
        <v>1336087.19</v>
      </c>
      <c r="I204" s="741">
        <v>2572233.54</v>
      </c>
      <c r="J204" s="706"/>
    </row>
    <row r="205" spans="1:10" s="58" customFormat="1">
      <c r="A205" s="812">
        <v>240</v>
      </c>
      <c r="B205" s="786">
        <v>250</v>
      </c>
      <c r="C205" s="786">
        <v>100</v>
      </c>
      <c r="D205" s="786">
        <v>600</v>
      </c>
      <c r="E205" s="789">
        <v>90</v>
      </c>
      <c r="F205" s="790"/>
      <c r="G205" s="791" t="s">
        <v>3471</v>
      </c>
      <c r="H205" s="741"/>
      <c r="I205" s="741">
        <v>0</v>
      </c>
      <c r="J205" s="706"/>
    </row>
    <row r="206" spans="1:10" s="58" customFormat="1" ht="25.5">
      <c r="A206" s="812">
        <v>240</v>
      </c>
      <c r="B206" s="786">
        <v>250</v>
      </c>
      <c r="C206" s="786">
        <v>100</v>
      </c>
      <c r="D206" s="786">
        <v>700</v>
      </c>
      <c r="E206" s="789"/>
      <c r="F206" s="790"/>
      <c r="G206" s="791" t="s">
        <v>3277</v>
      </c>
      <c r="H206" s="741"/>
      <c r="I206" s="741">
        <v>0</v>
      </c>
      <c r="J206" s="706" t="s">
        <v>2850</v>
      </c>
    </row>
    <row r="207" spans="1:10" s="58" customFormat="1" ht="25.5">
      <c r="A207" s="812">
        <v>240</v>
      </c>
      <c r="B207" s="786">
        <v>250</v>
      </c>
      <c r="C207" s="786">
        <v>100</v>
      </c>
      <c r="D207" s="786">
        <v>800</v>
      </c>
      <c r="E207" s="789"/>
      <c r="F207" s="790"/>
      <c r="G207" s="791" t="s">
        <v>3278</v>
      </c>
      <c r="H207" s="741"/>
      <c r="I207" s="741">
        <v>0</v>
      </c>
      <c r="J207" s="706" t="s">
        <v>2852</v>
      </c>
    </row>
    <row r="208" spans="1:10" s="58" customFormat="1" ht="25.5">
      <c r="A208" s="812">
        <v>240</v>
      </c>
      <c r="B208" s="786">
        <v>250</v>
      </c>
      <c r="C208" s="786">
        <v>100</v>
      </c>
      <c r="D208" s="786">
        <v>900</v>
      </c>
      <c r="E208" s="789"/>
      <c r="F208" s="790"/>
      <c r="G208" s="791" t="s">
        <v>3279</v>
      </c>
      <c r="H208" s="741"/>
      <c r="I208" s="741">
        <v>0</v>
      </c>
      <c r="J208" s="706" t="s">
        <v>2854</v>
      </c>
    </row>
    <row r="209" spans="1:10" s="58" customFormat="1">
      <c r="A209" s="812">
        <v>240</v>
      </c>
      <c r="B209" s="786">
        <v>250</v>
      </c>
      <c r="C209" s="786">
        <v>200</v>
      </c>
      <c r="D209" s="786"/>
      <c r="E209" s="786"/>
      <c r="F209" s="787"/>
      <c r="G209" s="788" t="s">
        <v>3280</v>
      </c>
      <c r="H209" s="742"/>
      <c r="I209" s="742"/>
      <c r="J209" s="706" t="s">
        <v>2856</v>
      </c>
    </row>
    <row r="210" spans="1:10" s="58" customFormat="1">
      <c r="A210" s="812">
        <v>240</v>
      </c>
      <c r="B210" s="786">
        <v>250</v>
      </c>
      <c r="C210" s="786">
        <v>200</v>
      </c>
      <c r="D210" s="789">
        <v>100</v>
      </c>
      <c r="E210" s="789"/>
      <c r="F210" s="790"/>
      <c r="G210" s="791" t="s">
        <v>3281</v>
      </c>
      <c r="H210" s="741">
        <v>900622.85</v>
      </c>
      <c r="I210" s="741">
        <v>243371.08000000002</v>
      </c>
      <c r="J210" s="706"/>
    </row>
    <row r="211" spans="1:10" s="58" customFormat="1">
      <c r="A211" s="812">
        <v>240</v>
      </c>
      <c r="B211" s="786">
        <v>250</v>
      </c>
      <c r="C211" s="786">
        <v>200</v>
      </c>
      <c r="D211" s="789">
        <v>800</v>
      </c>
      <c r="E211" s="789"/>
      <c r="F211" s="790"/>
      <c r="G211" s="791" t="s">
        <v>3251</v>
      </c>
      <c r="H211" s="741">
        <v>456889.29</v>
      </c>
      <c r="I211" s="741">
        <v>201133.87</v>
      </c>
      <c r="J211" s="706"/>
    </row>
    <row r="212" spans="1:10" s="58" customFormat="1">
      <c r="A212" s="812">
        <v>240</v>
      </c>
      <c r="B212" s="786">
        <v>250</v>
      </c>
      <c r="C212" s="786">
        <v>200</v>
      </c>
      <c r="D212" s="789">
        <v>900</v>
      </c>
      <c r="E212" s="789"/>
      <c r="F212" s="790"/>
      <c r="G212" s="791" t="s">
        <v>3471</v>
      </c>
      <c r="H212" s="741"/>
      <c r="I212" s="741">
        <v>-15.1</v>
      </c>
      <c r="J212" s="706"/>
    </row>
    <row r="213" spans="1:10" s="58" customFormat="1" ht="25.5">
      <c r="A213" s="812">
        <v>240</v>
      </c>
      <c r="B213" s="786">
        <v>250</v>
      </c>
      <c r="C213" s="786">
        <v>300</v>
      </c>
      <c r="D213" s="786"/>
      <c r="E213" s="786"/>
      <c r="F213" s="787"/>
      <c r="G213" s="788" t="s">
        <v>3282</v>
      </c>
      <c r="H213" s="742"/>
      <c r="I213" s="742"/>
      <c r="J213" s="706" t="s">
        <v>2858</v>
      </c>
    </row>
    <row r="214" spans="1:10" s="58" customFormat="1" ht="25.5">
      <c r="A214" s="812">
        <v>240</v>
      </c>
      <c r="B214" s="786">
        <v>250</v>
      </c>
      <c r="C214" s="786">
        <v>300</v>
      </c>
      <c r="D214" s="789">
        <v>100</v>
      </c>
      <c r="E214" s="789"/>
      <c r="F214" s="790"/>
      <c r="G214" s="791" t="s">
        <v>3283</v>
      </c>
      <c r="H214" s="741"/>
      <c r="I214" s="741">
        <v>0</v>
      </c>
      <c r="J214" s="706" t="s">
        <v>2860</v>
      </c>
    </row>
    <row r="215" spans="1:10" s="58" customFormat="1" ht="25.5">
      <c r="A215" s="812">
        <v>240</v>
      </c>
      <c r="B215" s="786">
        <v>250</v>
      </c>
      <c r="C215" s="786">
        <v>300</v>
      </c>
      <c r="D215" s="789">
        <v>200</v>
      </c>
      <c r="E215" s="789"/>
      <c r="F215" s="790"/>
      <c r="G215" s="791" t="s">
        <v>3284</v>
      </c>
      <c r="H215" s="741"/>
      <c r="I215" s="741">
        <v>0</v>
      </c>
      <c r="J215" s="706" t="s">
        <v>2862</v>
      </c>
    </row>
    <row r="216" spans="1:10" s="58" customFormat="1" ht="25.5">
      <c r="A216" s="812">
        <v>240</v>
      </c>
      <c r="B216" s="786">
        <v>250</v>
      </c>
      <c r="C216" s="786">
        <v>300</v>
      </c>
      <c r="D216" s="789">
        <v>300</v>
      </c>
      <c r="E216" s="789"/>
      <c r="F216" s="790"/>
      <c r="G216" s="791" t="s">
        <v>3285</v>
      </c>
      <c r="H216" s="741"/>
      <c r="I216" s="741">
        <v>0</v>
      </c>
      <c r="J216" s="706" t="s">
        <v>2864</v>
      </c>
    </row>
    <row r="217" spans="1:10" s="58" customFormat="1" ht="38.25">
      <c r="A217" s="812">
        <v>240</v>
      </c>
      <c r="B217" s="786">
        <v>250</v>
      </c>
      <c r="C217" s="786">
        <v>300</v>
      </c>
      <c r="D217" s="789">
        <v>400</v>
      </c>
      <c r="E217" s="789"/>
      <c r="F217" s="790"/>
      <c r="G217" s="791" t="s">
        <v>3286</v>
      </c>
      <c r="H217" s="741"/>
      <c r="I217" s="741">
        <v>0</v>
      </c>
      <c r="J217" s="706" t="s">
        <v>2866</v>
      </c>
    </row>
    <row r="218" spans="1:10" s="58" customFormat="1" ht="25.5">
      <c r="A218" s="812">
        <v>240</v>
      </c>
      <c r="B218" s="786">
        <v>250</v>
      </c>
      <c r="C218" s="786">
        <v>300</v>
      </c>
      <c r="D218" s="789">
        <v>500</v>
      </c>
      <c r="E218" s="789"/>
      <c r="F218" s="790"/>
      <c r="G218" s="791" t="s">
        <v>3287</v>
      </c>
      <c r="H218" s="741"/>
      <c r="I218" s="741">
        <v>0</v>
      </c>
      <c r="J218" s="706" t="s">
        <v>2868</v>
      </c>
    </row>
    <row r="219" spans="1:10" s="58" customFormat="1">
      <c r="A219" s="812">
        <v>240</v>
      </c>
      <c r="B219" s="786">
        <v>300</v>
      </c>
      <c r="C219" s="786"/>
      <c r="D219" s="786"/>
      <c r="E219" s="786"/>
      <c r="F219" s="787"/>
      <c r="G219" s="788" t="s">
        <v>3288</v>
      </c>
      <c r="H219" s="742"/>
      <c r="I219" s="742"/>
      <c r="J219" s="706"/>
    </row>
    <row r="220" spans="1:10" s="58" customFormat="1">
      <c r="A220" s="812">
        <v>240</v>
      </c>
      <c r="B220" s="786">
        <v>300</v>
      </c>
      <c r="C220" s="789">
        <v>100</v>
      </c>
      <c r="D220" s="789"/>
      <c r="E220" s="789"/>
      <c r="F220" s="790"/>
      <c r="G220" s="748" t="s">
        <v>3289</v>
      </c>
      <c r="H220" s="741">
        <v>1699.59</v>
      </c>
      <c r="I220" s="741">
        <v>1699.59</v>
      </c>
      <c r="J220" s="706" t="s">
        <v>2872</v>
      </c>
    </row>
    <row r="221" spans="1:10" s="58" customFormat="1">
      <c r="A221" s="812">
        <v>240</v>
      </c>
      <c r="B221" s="786">
        <v>300</v>
      </c>
      <c r="C221" s="789">
        <v>200</v>
      </c>
      <c r="D221" s="789"/>
      <c r="E221" s="789"/>
      <c r="F221" s="790"/>
      <c r="G221" s="748" t="s">
        <v>3290</v>
      </c>
      <c r="H221" s="741"/>
      <c r="I221" s="741">
        <v>0</v>
      </c>
      <c r="J221" s="706" t="s">
        <v>2874</v>
      </c>
    </row>
    <row r="222" spans="1:10" s="58" customFormat="1">
      <c r="A222" s="812">
        <v>240</v>
      </c>
      <c r="B222" s="786">
        <v>300</v>
      </c>
      <c r="C222" s="786">
        <v>300</v>
      </c>
      <c r="D222" s="786"/>
      <c r="E222" s="786"/>
      <c r="F222" s="787"/>
      <c r="G222" s="788" t="s">
        <v>3291</v>
      </c>
      <c r="H222" s="742"/>
      <c r="I222" s="742">
        <v>0</v>
      </c>
      <c r="J222" s="706" t="s">
        <v>2876</v>
      </c>
    </row>
    <row r="223" spans="1:10" s="58" customFormat="1">
      <c r="A223" s="812">
        <v>240</v>
      </c>
      <c r="B223" s="786">
        <v>300</v>
      </c>
      <c r="C223" s="786">
        <v>300</v>
      </c>
      <c r="D223" s="789">
        <v>100</v>
      </c>
      <c r="E223" s="789"/>
      <c r="F223" s="790"/>
      <c r="G223" s="791" t="s">
        <v>3291</v>
      </c>
      <c r="H223" s="741"/>
      <c r="I223" s="741">
        <v>0</v>
      </c>
      <c r="J223" s="706"/>
    </row>
    <row r="224" spans="1:10" s="58" customFormat="1">
      <c r="A224" s="812">
        <v>240</v>
      </c>
      <c r="B224" s="786">
        <v>300</v>
      </c>
      <c r="C224" s="786">
        <v>300</v>
      </c>
      <c r="D224" s="789">
        <v>800</v>
      </c>
      <c r="E224" s="789"/>
      <c r="F224" s="790"/>
      <c r="G224" s="791" t="s">
        <v>3251</v>
      </c>
      <c r="H224" s="741"/>
      <c r="I224" s="741">
        <v>0</v>
      </c>
      <c r="J224" s="706"/>
    </row>
    <row r="225" spans="1:10" s="58" customFormat="1">
      <c r="A225" s="812">
        <v>240</v>
      </c>
      <c r="B225" s="786">
        <v>300</v>
      </c>
      <c r="C225" s="786">
        <v>300</v>
      </c>
      <c r="D225" s="789">
        <v>900</v>
      </c>
      <c r="E225" s="789"/>
      <c r="F225" s="790"/>
      <c r="G225" s="791" t="s">
        <v>3471</v>
      </c>
      <c r="H225" s="741"/>
      <c r="I225" s="741">
        <v>0</v>
      </c>
      <c r="J225" s="706"/>
    </row>
    <row r="226" spans="1:10" s="58" customFormat="1">
      <c r="A226" s="812">
        <v>240</v>
      </c>
      <c r="B226" s="786">
        <v>350</v>
      </c>
      <c r="C226" s="786"/>
      <c r="D226" s="786"/>
      <c r="E226" s="786"/>
      <c r="F226" s="787"/>
      <c r="G226" s="788" t="s">
        <v>3292</v>
      </c>
      <c r="H226" s="742"/>
      <c r="I226" s="742"/>
      <c r="J226" s="706"/>
    </row>
    <row r="227" spans="1:10" s="58" customFormat="1">
      <c r="A227" s="812">
        <v>240</v>
      </c>
      <c r="B227" s="786">
        <v>350</v>
      </c>
      <c r="C227" s="786">
        <v>100</v>
      </c>
      <c r="D227" s="786"/>
      <c r="E227" s="786"/>
      <c r="F227" s="787"/>
      <c r="G227" s="788" t="s">
        <v>3293</v>
      </c>
      <c r="H227" s="742"/>
      <c r="I227" s="742"/>
      <c r="J227" s="706" t="s">
        <v>2880</v>
      </c>
    </row>
    <row r="228" spans="1:10" s="58" customFormat="1" ht="25.5">
      <c r="A228" s="812"/>
      <c r="B228" s="786"/>
      <c r="C228" s="786"/>
      <c r="D228" s="789"/>
      <c r="E228" s="789"/>
      <c r="F228" s="790"/>
      <c r="G228" s="791" t="s">
        <v>3293</v>
      </c>
      <c r="H228" s="742"/>
      <c r="I228" s="742"/>
      <c r="J228" s="706" t="s">
        <v>2882</v>
      </c>
    </row>
    <row r="229" spans="1:10" s="58" customFormat="1" ht="25.5">
      <c r="A229" s="812">
        <v>240</v>
      </c>
      <c r="B229" s="786">
        <v>350</v>
      </c>
      <c r="C229" s="786">
        <v>100</v>
      </c>
      <c r="D229" s="789">
        <v>100</v>
      </c>
      <c r="E229" s="789"/>
      <c r="F229" s="790"/>
      <c r="G229" s="791" t="s">
        <v>3293</v>
      </c>
      <c r="H229" s="741">
        <v>4085107.46</v>
      </c>
      <c r="I229" s="741">
        <v>1065790.75</v>
      </c>
      <c r="J229" s="706" t="s">
        <v>2882</v>
      </c>
    </row>
    <row r="230" spans="1:10" s="58" customFormat="1">
      <c r="A230" s="812">
        <v>240</v>
      </c>
      <c r="B230" s="786">
        <v>350</v>
      </c>
      <c r="C230" s="786">
        <v>100</v>
      </c>
      <c r="D230" s="789">
        <v>800</v>
      </c>
      <c r="E230" s="789"/>
      <c r="F230" s="790"/>
      <c r="G230" s="791" t="s">
        <v>3251</v>
      </c>
      <c r="H230" s="741">
        <v>10002894.16</v>
      </c>
      <c r="I230" s="741">
        <v>4623740.43</v>
      </c>
      <c r="J230" s="706" t="s">
        <v>2882</v>
      </c>
    </row>
    <row r="231" spans="1:10" s="58" customFormat="1">
      <c r="A231" s="812">
        <v>240</v>
      </c>
      <c r="B231" s="786">
        <v>350</v>
      </c>
      <c r="C231" s="786">
        <v>100</v>
      </c>
      <c r="D231" s="789">
        <v>900</v>
      </c>
      <c r="E231" s="789"/>
      <c r="F231" s="790"/>
      <c r="G231" s="791" t="s">
        <v>3294</v>
      </c>
      <c r="H231" s="741"/>
      <c r="I231" s="741">
        <v>-2718449.95</v>
      </c>
      <c r="J231" s="706" t="s">
        <v>2884</v>
      </c>
    </row>
    <row r="232" spans="1:10" s="58" customFormat="1">
      <c r="A232" s="812">
        <v>240</v>
      </c>
      <c r="B232" s="786">
        <v>350</v>
      </c>
      <c r="C232" s="786">
        <v>200</v>
      </c>
      <c r="D232" s="786"/>
      <c r="E232" s="786"/>
      <c r="F232" s="787"/>
      <c r="G232" s="788" t="s">
        <v>3295</v>
      </c>
      <c r="H232" s="742"/>
      <c r="I232" s="742"/>
      <c r="J232" s="706" t="s">
        <v>2886</v>
      </c>
    </row>
    <row r="233" spans="1:10" s="58" customFormat="1">
      <c r="A233" s="812"/>
      <c r="B233" s="786"/>
      <c r="C233" s="786"/>
      <c r="D233" s="789"/>
      <c r="E233" s="786"/>
      <c r="F233" s="787"/>
      <c r="G233" s="788" t="s">
        <v>3295</v>
      </c>
      <c r="H233" s="742"/>
      <c r="I233" s="742"/>
      <c r="J233" s="706" t="s">
        <v>2888</v>
      </c>
    </row>
    <row r="234" spans="1:10" s="58" customFormat="1">
      <c r="A234" s="812">
        <v>240</v>
      </c>
      <c r="B234" s="786">
        <v>350</v>
      </c>
      <c r="C234" s="786">
        <v>200</v>
      </c>
      <c r="D234" s="789">
        <v>100</v>
      </c>
      <c r="E234" s="789"/>
      <c r="F234" s="790"/>
      <c r="G234" s="791" t="s">
        <v>3296</v>
      </c>
      <c r="H234" s="741">
        <v>36259644.240000002</v>
      </c>
      <c r="I234" s="741">
        <v>35486395.969999999</v>
      </c>
      <c r="J234" s="706" t="s">
        <v>2888</v>
      </c>
    </row>
    <row r="235" spans="1:10" s="58" customFormat="1">
      <c r="A235" s="812">
        <v>240</v>
      </c>
      <c r="B235" s="786">
        <v>350</v>
      </c>
      <c r="C235" s="786">
        <v>200</v>
      </c>
      <c r="D235" s="789">
        <v>200</v>
      </c>
      <c r="E235" s="789"/>
      <c r="F235" s="790"/>
      <c r="G235" s="791" t="s">
        <v>3297</v>
      </c>
      <c r="H235" s="741">
        <v>42428.25</v>
      </c>
      <c r="I235" s="741">
        <v>64206.89</v>
      </c>
      <c r="J235" s="706" t="s">
        <v>2888</v>
      </c>
    </row>
    <row r="236" spans="1:10" s="58" customFormat="1">
      <c r="A236" s="812">
        <v>240</v>
      </c>
      <c r="B236" s="786">
        <v>350</v>
      </c>
      <c r="C236" s="786">
        <v>200</v>
      </c>
      <c r="D236" s="789">
        <v>400</v>
      </c>
      <c r="E236" s="789"/>
      <c r="F236" s="790"/>
      <c r="G236" s="791" t="s">
        <v>3298</v>
      </c>
      <c r="H236" s="741">
        <v>131260.82999999999</v>
      </c>
      <c r="I236" s="741">
        <v>23524.240000000002</v>
      </c>
      <c r="J236" s="706" t="s">
        <v>2888</v>
      </c>
    </row>
    <row r="237" spans="1:10" s="58" customFormat="1">
      <c r="A237" s="812">
        <v>240</v>
      </c>
      <c r="B237" s="786">
        <v>350</v>
      </c>
      <c r="C237" s="786">
        <v>200</v>
      </c>
      <c r="D237" s="789">
        <v>500</v>
      </c>
      <c r="E237" s="789"/>
      <c r="F237" s="790"/>
      <c r="G237" s="791" t="s">
        <v>3299</v>
      </c>
      <c r="H237" s="741">
        <v>4355961.41</v>
      </c>
      <c r="I237" s="741">
        <v>2315337.41</v>
      </c>
      <c r="J237" s="706" t="s">
        <v>2888</v>
      </c>
    </row>
    <row r="238" spans="1:10" s="58" customFormat="1">
      <c r="A238" s="812">
        <v>240</v>
      </c>
      <c r="B238" s="786">
        <v>350</v>
      </c>
      <c r="C238" s="786">
        <v>200</v>
      </c>
      <c r="D238" s="789">
        <v>600</v>
      </c>
      <c r="E238" s="789"/>
      <c r="F238" s="790"/>
      <c r="G238" s="791" t="s">
        <v>3300</v>
      </c>
      <c r="H238" s="741"/>
      <c r="I238" s="741">
        <v>0</v>
      </c>
      <c r="J238" s="706" t="s">
        <v>2888</v>
      </c>
    </row>
    <row r="239" spans="1:10" s="58" customFormat="1">
      <c r="A239" s="812">
        <v>240</v>
      </c>
      <c r="B239" s="786">
        <v>350</v>
      </c>
      <c r="C239" s="786">
        <v>200</v>
      </c>
      <c r="D239" s="789">
        <v>800</v>
      </c>
      <c r="E239" s="789"/>
      <c r="F239" s="790"/>
      <c r="G239" s="791" t="s">
        <v>3251</v>
      </c>
      <c r="H239" s="741">
        <v>25576225.640000001</v>
      </c>
      <c r="I239" s="741">
        <v>19942599.359999999</v>
      </c>
      <c r="J239" s="706" t="s">
        <v>2888</v>
      </c>
    </row>
    <row r="240" spans="1:10" s="58" customFormat="1">
      <c r="A240" s="812">
        <v>240</v>
      </c>
      <c r="B240" s="786">
        <v>350</v>
      </c>
      <c r="C240" s="786">
        <v>200</v>
      </c>
      <c r="D240" s="786">
        <v>900</v>
      </c>
      <c r="E240" s="786"/>
      <c r="F240" s="787"/>
      <c r="G240" s="791" t="s">
        <v>3301</v>
      </c>
      <c r="H240" s="741">
        <v>-1234888.52</v>
      </c>
      <c r="I240" s="741">
        <v>-1638226.48</v>
      </c>
      <c r="J240" s="706" t="s">
        <v>2890</v>
      </c>
    </row>
    <row r="241" spans="1:10" s="58" customFormat="1">
      <c r="A241" s="812">
        <v>240</v>
      </c>
      <c r="B241" s="786">
        <v>400</v>
      </c>
      <c r="C241" s="786"/>
      <c r="D241" s="786"/>
      <c r="E241" s="786"/>
      <c r="F241" s="787"/>
      <c r="G241" s="788" t="s">
        <v>3302</v>
      </c>
      <c r="H241" s="742"/>
      <c r="I241" s="742"/>
      <c r="J241" s="706" t="s">
        <v>2892</v>
      </c>
    </row>
    <row r="242" spans="1:10" s="58" customFormat="1">
      <c r="A242" s="812">
        <v>240</v>
      </c>
      <c r="B242" s="786">
        <v>400</v>
      </c>
      <c r="C242" s="789">
        <v>100</v>
      </c>
      <c r="D242" s="789"/>
      <c r="E242" s="789"/>
      <c r="F242" s="790"/>
      <c r="G242" s="791" t="s">
        <v>3303</v>
      </c>
      <c r="H242" s="741"/>
      <c r="I242" s="741">
        <v>0</v>
      </c>
      <c r="J242" s="706"/>
    </row>
    <row r="243" spans="1:10" s="58" customFormat="1">
      <c r="A243" s="812">
        <v>240</v>
      </c>
      <c r="B243" s="786">
        <v>400</v>
      </c>
      <c r="C243" s="789">
        <v>200</v>
      </c>
      <c r="D243" s="789"/>
      <c r="E243" s="789"/>
      <c r="F243" s="790"/>
      <c r="G243" s="791" t="s">
        <v>3304</v>
      </c>
      <c r="H243" s="741"/>
      <c r="I243" s="741">
        <v>0</v>
      </c>
      <c r="J243" s="706"/>
    </row>
    <row r="244" spans="1:10" s="58" customFormat="1">
      <c r="A244" s="812">
        <v>240</v>
      </c>
      <c r="B244" s="786">
        <v>450</v>
      </c>
      <c r="C244" s="786"/>
      <c r="D244" s="786"/>
      <c r="E244" s="786"/>
      <c r="F244" s="787"/>
      <c r="G244" s="788" t="s">
        <v>3305</v>
      </c>
      <c r="H244" s="742"/>
      <c r="I244" s="742"/>
      <c r="J244" s="706" t="s">
        <v>2894</v>
      </c>
    </row>
    <row r="245" spans="1:10" s="58" customFormat="1">
      <c r="A245" s="812">
        <v>240</v>
      </c>
      <c r="B245" s="786">
        <v>450</v>
      </c>
      <c r="C245" s="789">
        <v>100</v>
      </c>
      <c r="D245" s="789"/>
      <c r="E245" s="789"/>
      <c r="F245" s="790"/>
      <c r="G245" s="791" t="s">
        <v>115</v>
      </c>
      <c r="H245" s="741"/>
      <c r="I245" s="741">
        <v>15000</v>
      </c>
      <c r="J245" s="706"/>
    </row>
    <row r="246" spans="1:10" s="58" customFormat="1">
      <c r="A246" s="812">
        <v>240</v>
      </c>
      <c r="B246" s="786">
        <v>450</v>
      </c>
      <c r="C246" s="789">
        <v>200</v>
      </c>
      <c r="D246" s="789"/>
      <c r="E246" s="789"/>
      <c r="F246" s="790"/>
      <c r="G246" s="791" t="s">
        <v>110</v>
      </c>
      <c r="H246" s="741">
        <v>5103039.8</v>
      </c>
      <c r="I246" s="741">
        <v>1667273.56</v>
      </c>
      <c r="J246" s="706"/>
    </row>
    <row r="247" spans="1:10" s="58" customFormat="1">
      <c r="A247" s="812">
        <v>240</v>
      </c>
      <c r="B247" s="786">
        <v>450</v>
      </c>
      <c r="C247" s="789">
        <v>300</v>
      </c>
      <c r="D247" s="789"/>
      <c r="E247" s="789"/>
      <c r="F247" s="790"/>
      <c r="G247" s="791" t="s">
        <v>3306</v>
      </c>
      <c r="H247" s="741">
        <v>7773899.7300000004</v>
      </c>
      <c r="I247" s="741">
        <v>0</v>
      </c>
      <c r="J247" s="706"/>
    </row>
    <row r="248" spans="1:10" s="58" customFormat="1">
      <c r="A248" s="812">
        <v>240</v>
      </c>
      <c r="B248" s="786">
        <v>450</v>
      </c>
      <c r="C248" s="789">
        <v>400</v>
      </c>
      <c r="D248" s="789"/>
      <c r="E248" s="789"/>
      <c r="F248" s="790"/>
      <c r="G248" s="791" t="s">
        <v>3307</v>
      </c>
      <c r="H248" s="741">
        <v>738530.65</v>
      </c>
      <c r="I248" s="741">
        <v>0</v>
      </c>
      <c r="J248" s="706"/>
    </row>
    <row r="249" spans="1:10" s="58" customFormat="1">
      <c r="A249" s="812">
        <v>240</v>
      </c>
      <c r="B249" s="786">
        <v>450</v>
      </c>
      <c r="C249" s="789">
        <v>500</v>
      </c>
      <c r="D249" s="789"/>
      <c r="E249" s="789"/>
      <c r="F249" s="790"/>
      <c r="G249" s="791" t="s">
        <v>3308</v>
      </c>
      <c r="H249" s="741"/>
      <c r="I249" s="741">
        <v>0</v>
      </c>
      <c r="J249" s="706"/>
    </row>
    <row r="250" spans="1:10" s="58" customFormat="1">
      <c r="A250" s="812">
        <v>240</v>
      </c>
      <c r="B250" s="786">
        <v>450</v>
      </c>
      <c r="C250" s="789">
        <v>600</v>
      </c>
      <c r="D250" s="789"/>
      <c r="E250" s="789"/>
      <c r="F250" s="790"/>
      <c r="G250" s="791" t="s">
        <v>3309</v>
      </c>
      <c r="H250" s="741"/>
      <c r="I250" s="741">
        <v>0</v>
      </c>
      <c r="J250" s="706"/>
    </row>
    <row r="251" spans="1:10" s="58" customFormat="1">
      <c r="A251" s="812">
        <v>240</v>
      </c>
      <c r="B251" s="786">
        <v>450</v>
      </c>
      <c r="C251" s="789">
        <v>700</v>
      </c>
      <c r="D251" s="789"/>
      <c r="E251" s="789"/>
      <c r="F251" s="790"/>
      <c r="G251" s="791" t="s">
        <v>3310</v>
      </c>
      <c r="H251" s="741"/>
      <c r="I251" s="741">
        <v>0</v>
      </c>
      <c r="J251" s="706"/>
    </row>
    <row r="252" spans="1:10" s="58" customFormat="1">
      <c r="A252" s="812">
        <v>240</v>
      </c>
      <c r="B252" s="786">
        <v>450</v>
      </c>
      <c r="C252" s="789">
        <v>800</v>
      </c>
      <c r="D252" s="789"/>
      <c r="E252" s="789"/>
      <c r="F252" s="790"/>
      <c r="G252" s="791" t="s">
        <v>3311</v>
      </c>
      <c r="H252" s="741">
        <v>2161085.5</v>
      </c>
      <c r="I252" s="741">
        <v>509452.1</v>
      </c>
      <c r="J252" s="706"/>
    </row>
    <row r="253" spans="1:10" s="58" customFormat="1">
      <c r="A253" s="812">
        <v>240</v>
      </c>
      <c r="B253" s="786">
        <v>450</v>
      </c>
      <c r="C253" s="789">
        <v>900</v>
      </c>
      <c r="D253" s="789"/>
      <c r="E253" s="789"/>
      <c r="F253" s="790"/>
      <c r="G253" s="791" t="s">
        <v>3312</v>
      </c>
      <c r="H253" s="741">
        <v>9755.8799999999992</v>
      </c>
      <c r="I253" s="741">
        <v>636948.53999999992</v>
      </c>
      <c r="J253" s="706"/>
    </row>
    <row r="254" spans="1:10" s="58" customFormat="1">
      <c r="A254" s="812">
        <v>240</v>
      </c>
      <c r="B254" s="786">
        <v>500</v>
      </c>
      <c r="C254" s="786"/>
      <c r="D254" s="786"/>
      <c r="E254" s="786"/>
      <c r="F254" s="787"/>
      <c r="G254" s="788" t="s">
        <v>3313</v>
      </c>
      <c r="H254" s="742"/>
      <c r="I254" s="742"/>
      <c r="J254" s="706" t="s">
        <v>2896</v>
      </c>
    </row>
    <row r="255" spans="1:10" s="58" customFormat="1">
      <c r="A255" s="812">
        <v>240</v>
      </c>
      <c r="B255" s="786">
        <v>500</v>
      </c>
      <c r="C255" s="789">
        <v>100</v>
      </c>
      <c r="D255" s="789"/>
      <c r="E255" s="789"/>
      <c r="F255" s="790"/>
      <c r="G255" s="791" t="s">
        <v>3314</v>
      </c>
      <c r="H255" s="741">
        <v>10757658.42</v>
      </c>
      <c r="I255" s="741">
        <v>4525116.3099999996</v>
      </c>
      <c r="J255" s="706"/>
    </row>
    <row r="256" spans="1:10" s="58" customFormat="1">
      <c r="A256" s="812">
        <v>240</v>
      </c>
      <c r="B256" s="786">
        <v>500</v>
      </c>
      <c r="C256" s="789">
        <v>200</v>
      </c>
      <c r="D256" s="789"/>
      <c r="E256" s="789"/>
      <c r="F256" s="790"/>
      <c r="G256" s="791" t="s">
        <v>3315</v>
      </c>
      <c r="H256" s="741">
        <v>24393.26</v>
      </c>
      <c r="I256" s="741">
        <v>1573.87</v>
      </c>
      <c r="J256" s="706"/>
    </row>
    <row r="257" spans="1:10" s="58" customFormat="1">
      <c r="A257" s="812">
        <v>240</v>
      </c>
      <c r="B257" s="786">
        <v>500</v>
      </c>
      <c r="C257" s="789">
        <v>300</v>
      </c>
      <c r="D257" s="789"/>
      <c r="E257" s="789"/>
      <c r="F257" s="790"/>
      <c r="G257" s="791" t="s">
        <v>3316</v>
      </c>
      <c r="H257" s="741">
        <v>51351.93</v>
      </c>
      <c r="I257" s="741">
        <v>51455.8</v>
      </c>
      <c r="J257" s="706"/>
    </row>
    <row r="258" spans="1:10" s="58" customFormat="1">
      <c r="A258" s="812">
        <v>240</v>
      </c>
      <c r="B258" s="786">
        <v>500</v>
      </c>
      <c r="C258" s="789">
        <v>400</v>
      </c>
      <c r="D258" s="789"/>
      <c r="E258" s="789"/>
      <c r="F258" s="790"/>
      <c r="G258" s="791" t="s">
        <v>3317</v>
      </c>
      <c r="H258" s="741">
        <v>474696.98</v>
      </c>
      <c r="I258" s="741">
        <v>770768.4</v>
      </c>
      <c r="J258" s="706"/>
    </row>
    <row r="259" spans="1:10" s="58" customFormat="1">
      <c r="A259" s="812">
        <v>240</v>
      </c>
      <c r="B259" s="786">
        <v>500</v>
      </c>
      <c r="C259" s="789">
        <v>500</v>
      </c>
      <c r="D259" s="789"/>
      <c r="E259" s="789"/>
      <c r="F259" s="790"/>
      <c r="G259" s="791" t="s">
        <v>3318</v>
      </c>
      <c r="H259" s="741">
        <v>51770.67</v>
      </c>
      <c r="I259" s="741">
        <v>0</v>
      </c>
      <c r="J259" s="706"/>
    </row>
    <row r="260" spans="1:10" s="58" customFormat="1">
      <c r="A260" s="812">
        <v>240</v>
      </c>
      <c r="B260" s="786">
        <v>500</v>
      </c>
      <c r="C260" s="789">
        <v>600</v>
      </c>
      <c r="D260" s="789"/>
      <c r="E260" s="789"/>
      <c r="F260" s="790"/>
      <c r="G260" s="791" t="s">
        <v>3319</v>
      </c>
      <c r="H260" s="741"/>
      <c r="I260" s="741">
        <v>0</v>
      </c>
      <c r="J260" s="706"/>
    </row>
    <row r="261" spans="1:10" s="58" customFormat="1">
      <c r="A261" s="812">
        <v>240</v>
      </c>
      <c r="B261" s="786">
        <v>500</v>
      </c>
      <c r="C261" s="789">
        <v>700</v>
      </c>
      <c r="D261" s="789"/>
      <c r="E261" s="789"/>
      <c r="F261" s="790"/>
      <c r="G261" s="791" t="s">
        <v>3320</v>
      </c>
      <c r="H261" s="741">
        <v>7075.77</v>
      </c>
      <c r="I261" s="741">
        <v>6876.8</v>
      </c>
      <c r="J261" s="706"/>
    </row>
    <row r="262" spans="1:10" s="58" customFormat="1">
      <c r="A262" s="812">
        <v>240</v>
      </c>
      <c r="B262" s="786">
        <v>500</v>
      </c>
      <c r="C262" s="789">
        <v>800</v>
      </c>
      <c r="D262" s="789"/>
      <c r="E262" s="789"/>
      <c r="F262" s="790"/>
      <c r="G262" s="791" t="s">
        <v>3321</v>
      </c>
      <c r="H262" s="741">
        <v>1404.39</v>
      </c>
      <c r="I262" s="741">
        <v>1404.39</v>
      </c>
      <c r="J262" s="706"/>
    </row>
    <row r="263" spans="1:10" s="58" customFormat="1">
      <c r="A263" s="812">
        <v>240</v>
      </c>
      <c r="B263" s="786">
        <v>500</v>
      </c>
      <c r="C263" s="789">
        <v>900</v>
      </c>
      <c r="D263" s="789"/>
      <c r="E263" s="789"/>
      <c r="F263" s="790"/>
      <c r="G263" s="791" t="s">
        <v>3322</v>
      </c>
      <c r="H263" s="741">
        <v>20502.490000000002</v>
      </c>
      <c r="I263" s="741">
        <v>6811.1399999999994</v>
      </c>
      <c r="J263" s="706"/>
    </row>
    <row r="264" spans="1:10" s="58" customFormat="1">
      <c r="A264" s="812">
        <v>240</v>
      </c>
      <c r="B264" s="786">
        <v>550</v>
      </c>
      <c r="C264" s="786"/>
      <c r="D264" s="786"/>
      <c r="E264" s="786"/>
      <c r="F264" s="787"/>
      <c r="G264" s="788" t="s">
        <v>3323</v>
      </c>
      <c r="H264" s="742"/>
      <c r="I264" s="742"/>
      <c r="J264" s="706"/>
    </row>
    <row r="265" spans="1:10" s="58" customFormat="1">
      <c r="A265" s="812">
        <v>240</v>
      </c>
      <c r="B265" s="786">
        <v>550</v>
      </c>
      <c r="C265" s="789">
        <v>100</v>
      </c>
      <c r="D265" s="789"/>
      <c r="E265" s="789"/>
      <c r="F265" s="790"/>
      <c r="G265" s="748" t="s">
        <v>3324</v>
      </c>
      <c r="H265" s="741"/>
      <c r="I265" s="741">
        <v>0</v>
      </c>
      <c r="J265" s="706" t="s">
        <v>2900</v>
      </c>
    </row>
    <row r="266" spans="1:10" s="58" customFormat="1">
      <c r="A266" s="812">
        <v>240</v>
      </c>
      <c r="B266" s="786">
        <v>550</v>
      </c>
      <c r="C266" s="786">
        <v>200</v>
      </c>
      <c r="D266" s="786"/>
      <c r="E266" s="786"/>
      <c r="F266" s="787"/>
      <c r="G266" s="788" t="s">
        <v>3325</v>
      </c>
      <c r="H266" s="742"/>
      <c r="I266" s="742"/>
      <c r="J266" s="706" t="s">
        <v>2902</v>
      </c>
    </row>
    <row r="267" spans="1:10" s="58" customFormat="1">
      <c r="A267" s="812">
        <v>240</v>
      </c>
      <c r="B267" s="786">
        <v>550</v>
      </c>
      <c r="C267" s="786">
        <v>200</v>
      </c>
      <c r="D267" s="789">
        <v>100</v>
      </c>
      <c r="E267" s="789"/>
      <c r="F267" s="790"/>
      <c r="G267" s="791" t="s">
        <v>3326</v>
      </c>
      <c r="H267" s="741">
        <v>4461264.4000000004</v>
      </c>
      <c r="I267" s="741">
        <v>9427757.4000000004</v>
      </c>
      <c r="J267" s="706"/>
    </row>
    <row r="268" spans="1:10" s="58" customFormat="1">
      <c r="A268" s="812">
        <v>240</v>
      </c>
      <c r="B268" s="786">
        <v>550</v>
      </c>
      <c r="C268" s="786">
        <v>200</v>
      </c>
      <c r="D268" s="789">
        <v>200</v>
      </c>
      <c r="E268" s="789"/>
      <c r="F268" s="790"/>
      <c r="G268" s="791" t="s">
        <v>3327</v>
      </c>
      <c r="H268" s="741">
        <v>27596570.73</v>
      </c>
      <c r="I268" s="741">
        <v>27857742.850000001</v>
      </c>
      <c r="J268" s="706"/>
    </row>
    <row r="269" spans="1:10" s="58" customFormat="1">
      <c r="A269" s="812">
        <v>240</v>
      </c>
      <c r="B269" s="786">
        <v>550</v>
      </c>
      <c r="C269" s="786">
        <v>300</v>
      </c>
      <c r="D269" s="786"/>
      <c r="E269" s="786"/>
      <c r="F269" s="787"/>
      <c r="G269" s="788" t="s">
        <v>3328</v>
      </c>
      <c r="H269" s="742"/>
      <c r="I269" s="742"/>
      <c r="J269" s="706" t="s">
        <v>2904</v>
      </c>
    </row>
    <row r="270" spans="1:10" s="58" customFormat="1">
      <c r="A270" s="812">
        <v>240</v>
      </c>
      <c r="B270" s="786">
        <v>550</v>
      </c>
      <c r="C270" s="786">
        <v>300</v>
      </c>
      <c r="D270" s="789">
        <v>100</v>
      </c>
      <c r="E270" s="789"/>
      <c r="F270" s="790"/>
      <c r="G270" s="791" t="s">
        <v>3329</v>
      </c>
      <c r="H270" s="757"/>
      <c r="I270" s="757">
        <v>0</v>
      </c>
      <c r="J270" s="724"/>
    </row>
    <row r="271" spans="1:10" s="58" customFormat="1">
      <c r="A271" s="812">
        <v>240</v>
      </c>
      <c r="B271" s="786">
        <v>550</v>
      </c>
      <c r="C271" s="786">
        <v>300</v>
      </c>
      <c r="D271" s="789">
        <v>200</v>
      </c>
      <c r="E271" s="789"/>
      <c r="F271" s="790"/>
      <c r="G271" s="791" t="s">
        <v>3330</v>
      </c>
      <c r="H271" s="757"/>
      <c r="I271" s="757">
        <v>0</v>
      </c>
      <c r="J271" s="724"/>
    </row>
    <row r="272" spans="1:10" s="58" customFormat="1">
      <c r="A272" s="812">
        <v>240</v>
      </c>
      <c r="B272" s="786">
        <v>550</v>
      </c>
      <c r="C272" s="786">
        <v>400</v>
      </c>
      <c r="D272" s="786"/>
      <c r="E272" s="786"/>
      <c r="F272" s="787"/>
      <c r="G272" s="788" t="s">
        <v>3331</v>
      </c>
      <c r="H272" s="742"/>
      <c r="I272" s="742"/>
      <c r="J272" s="706" t="s">
        <v>2906</v>
      </c>
    </row>
    <row r="273" spans="1:10" s="58" customFormat="1">
      <c r="A273" s="812">
        <v>240</v>
      </c>
      <c r="B273" s="786">
        <v>550</v>
      </c>
      <c r="C273" s="786">
        <v>400</v>
      </c>
      <c r="D273" s="789">
        <v>50</v>
      </c>
      <c r="E273" s="789"/>
      <c r="F273" s="790"/>
      <c r="G273" s="791" t="s">
        <v>3332</v>
      </c>
      <c r="H273" s="785">
        <v>97740.06</v>
      </c>
      <c r="I273" s="785">
        <v>170658.11</v>
      </c>
      <c r="J273" s="744"/>
    </row>
    <row r="274" spans="1:10" s="58" customFormat="1">
      <c r="A274" s="812">
        <v>240</v>
      </c>
      <c r="B274" s="786">
        <v>550</v>
      </c>
      <c r="C274" s="786">
        <v>400</v>
      </c>
      <c r="D274" s="789">
        <v>100</v>
      </c>
      <c r="E274" s="789"/>
      <c r="F274" s="790"/>
      <c r="G274" s="791" t="s">
        <v>3333</v>
      </c>
      <c r="H274" s="741"/>
      <c r="I274" s="741">
        <v>0</v>
      </c>
      <c r="J274" s="706"/>
    </row>
    <row r="275" spans="1:10" s="58" customFormat="1">
      <c r="A275" s="812">
        <v>240</v>
      </c>
      <c r="B275" s="786">
        <v>550</v>
      </c>
      <c r="C275" s="786">
        <v>400</v>
      </c>
      <c r="D275" s="789">
        <v>150</v>
      </c>
      <c r="E275" s="789"/>
      <c r="F275" s="790"/>
      <c r="G275" s="791" t="s">
        <v>3334</v>
      </c>
      <c r="H275" s="741">
        <v>358863.77</v>
      </c>
      <c r="I275" s="741">
        <v>190849.75</v>
      </c>
      <c r="J275" s="706"/>
    </row>
    <row r="276" spans="1:10" s="58" customFormat="1">
      <c r="A276" s="812">
        <v>240</v>
      </c>
      <c r="B276" s="786">
        <v>550</v>
      </c>
      <c r="C276" s="786">
        <v>400</v>
      </c>
      <c r="D276" s="789">
        <v>200</v>
      </c>
      <c r="E276" s="789"/>
      <c r="F276" s="790"/>
      <c r="G276" s="791" t="s">
        <v>3335</v>
      </c>
      <c r="H276" s="741">
        <v>24846.27</v>
      </c>
      <c r="I276" s="741">
        <v>25173.59</v>
      </c>
      <c r="J276" s="706"/>
    </row>
    <row r="277" spans="1:10" s="58" customFormat="1">
      <c r="A277" s="812">
        <v>240</v>
      </c>
      <c r="B277" s="786">
        <v>550</v>
      </c>
      <c r="C277" s="786">
        <v>400</v>
      </c>
      <c r="D277" s="786">
        <v>250</v>
      </c>
      <c r="E277" s="786"/>
      <c r="F277" s="787"/>
      <c r="G277" s="801" t="s">
        <v>3336</v>
      </c>
      <c r="H277" s="742"/>
      <c r="I277" s="742"/>
      <c r="J277" s="706"/>
    </row>
    <row r="278" spans="1:10" s="58" customFormat="1">
      <c r="A278" s="812">
        <v>240</v>
      </c>
      <c r="B278" s="786">
        <v>550</v>
      </c>
      <c r="C278" s="786">
        <v>400</v>
      </c>
      <c r="D278" s="786">
        <v>250</v>
      </c>
      <c r="E278" s="789">
        <v>10</v>
      </c>
      <c r="F278" s="790"/>
      <c r="G278" s="791" t="s">
        <v>3336</v>
      </c>
      <c r="H278" s="741">
        <v>5824310.1399999997</v>
      </c>
      <c r="I278" s="741">
        <v>9622018.8000000007</v>
      </c>
      <c r="J278" s="706"/>
    </row>
    <row r="279" spans="1:10" s="58" customFormat="1">
      <c r="A279" s="812">
        <v>240</v>
      </c>
      <c r="B279" s="786">
        <v>550</v>
      </c>
      <c r="C279" s="786">
        <v>400</v>
      </c>
      <c r="D279" s="786">
        <v>250</v>
      </c>
      <c r="E279" s="789">
        <v>20</v>
      </c>
      <c r="F279" s="790"/>
      <c r="G279" s="791" t="s">
        <v>3337</v>
      </c>
      <c r="H279" s="741">
        <v>1051969.05</v>
      </c>
      <c r="I279" s="741">
        <v>1066315.0699999998</v>
      </c>
      <c r="J279" s="706"/>
    </row>
    <row r="280" spans="1:10" s="58" customFormat="1">
      <c r="A280" s="812">
        <v>240</v>
      </c>
      <c r="B280" s="786">
        <v>550</v>
      </c>
      <c r="C280" s="786">
        <v>400</v>
      </c>
      <c r="D280" s="789">
        <v>300</v>
      </c>
      <c r="E280" s="789"/>
      <c r="F280" s="790"/>
      <c r="G280" s="791" t="s">
        <v>3338</v>
      </c>
      <c r="H280" s="741">
        <v>1089379.8999999999</v>
      </c>
      <c r="I280" s="741">
        <v>1014998.1099999999</v>
      </c>
      <c r="J280" s="706"/>
    </row>
    <row r="281" spans="1:10" s="58" customFormat="1">
      <c r="A281" s="812">
        <v>240</v>
      </c>
      <c r="B281" s="786">
        <v>550</v>
      </c>
      <c r="C281" s="786">
        <v>400</v>
      </c>
      <c r="D281" s="789">
        <v>350</v>
      </c>
      <c r="E281" s="789"/>
      <c r="F281" s="790"/>
      <c r="G281" s="791" t="s">
        <v>3339</v>
      </c>
      <c r="H281" s="741">
        <v>3059.09</v>
      </c>
      <c r="I281" s="741">
        <v>3059.09</v>
      </c>
      <c r="J281" s="706"/>
    </row>
    <row r="282" spans="1:10" s="58" customFormat="1">
      <c r="A282" s="812">
        <v>240</v>
      </c>
      <c r="B282" s="786">
        <v>550</v>
      </c>
      <c r="C282" s="786">
        <v>400</v>
      </c>
      <c r="D282" s="789">
        <v>400</v>
      </c>
      <c r="E282" s="789"/>
      <c r="F282" s="790"/>
      <c r="G282" s="791" t="s">
        <v>3340</v>
      </c>
      <c r="H282" s="741"/>
      <c r="I282" s="741">
        <v>0</v>
      </c>
      <c r="J282" s="706"/>
    </row>
    <row r="283" spans="1:10" s="58" customFormat="1">
      <c r="A283" s="812">
        <v>240</v>
      </c>
      <c r="B283" s="786">
        <v>550</v>
      </c>
      <c r="C283" s="786">
        <v>400</v>
      </c>
      <c r="D283" s="786">
        <v>450</v>
      </c>
      <c r="E283" s="786"/>
      <c r="F283" s="787"/>
      <c r="G283" s="801" t="s">
        <v>3341</v>
      </c>
      <c r="H283" s="742"/>
      <c r="I283" s="742"/>
      <c r="J283" s="706"/>
    </row>
    <row r="284" spans="1:10" s="58" customFormat="1">
      <c r="A284" s="812">
        <v>240</v>
      </c>
      <c r="B284" s="786">
        <v>550</v>
      </c>
      <c r="C284" s="786">
        <v>400</v>
      </c>
      <c r="D284" s="786">
        <v>450</v>
      </c>
      <c r="E284" s="789">
        <v>10</v>
      </c>
      <c r="F284" s="790"/>
      <c r="G284" s="791" t="s">
        <v>3341</v>
      </c>
      <c r="H284" s="741">
        <v>223219.97</v>
      </c>
      <c r="I284" s="741">
        <v>284032.76</v>
      </c>
      <c r="J284" s="706"/>
    </row>
    <row r="285" spans="1:10" s="58" customFormat="1">
      <c r="A285" s="812">
        <v>240</v>
      </c>
      <c r="B285" s="786">
        <v>550</v>
      </c>
      <c r="C285" s="786">
        <v>400</v>
      </c>
      <c r="D285" s="786">
        <v>450</v>
      </c>
      <c r="E285" s="789">
        <v>20</v>
      </c>
      <c r="F285" s="790"/>
      <c r="G285" s="791" t="s">
        <v>3342</v>
      </c>
      <c r="H285" s="741">
        <v>122383.74</v>
      </c>
      <c r="I285" s="741">
        <v>51156.34</v>
      </c>
      <c r="J285" s="706"/>
    </row>
    <row r="286" spans="1:10" s="58" customFormat="1">
      <c r="A286" s="812">
        <v>240</v>
      </c>
      <c r="B286" s="786">
        <v>550</v>
      </c>
      <c r="C286" s="786">
        <v>400</v>
      </c>
      <c r="D286" s="789">
        <v>500</v>
      </c>
      <c r="E286" s="789"/>
      <c r="F286" s="790"/>
      <c r="G286" s="791" t="s">
        <v>3343</v>
      </c>
      <c r="H286" s="741">
        <v>8463980.6300000008</v>
      </c>
      <c r="I286" s="741">
        <v>6420012.8499999996</v>
      </c>
      <c r="J286" s="706"/>
    </row>
    <row r="287" spans="1:10" s="58" customFormat="1">
      <c r="A287" s="812">
        <v>240</v>
      </c>
      <c r="B287" s="786">
        <v>550</v>
      </c>
      <c r="C287" s="786">
        <v>400</v>
      </c>
      <c r="D287" s="789">
        <v>600</v>
      </c>
      <c r="E287" s="789"/>
      <c r="F287" s="790"/>
      <c r="G287" s="791" t="s">
        <v>2233</v>
      </c>
      <c r="H287" s="741">
        <v>386399.49</v>
      </c>
      <c r="I287" s="741">
        <v>364288.83</v>
      </c>
      <c r="J287" s="706"/>
    </row>
    <row r="288" spans="1:10" s="58" customFormat="1">
      <c r="A288" s="812">
        <v>240</v>
      </c>
      <c r="B288" s="786">
        <v>550</v>
      </c>
      <c r="C288" s="786">
        <v>400</v>
      </c>
      <c r="D288" s="786">
        <v>700</v>
      </c>
      <c r="E288" s="786"/>
      <c r="F288" s="787"/>
      <c r="G288" s="801" t="s">
        <v>3344</v>
      </c>
      <c r="H288" s="742"/>
      <c r="I288" s="742"/>
      <c r="J288" s="706"/>
    </row>
    <row r="289" spans="1:10" s="58" customFormat="1">
      <c r="A289" s="812">
        <v>240</v>
      </c>
      <c r="B289" s="786">
        <v>550</v>
      </c>
      <c r="C289" s="786">
        <v>400</v>
      </c>
      <c r="D289" s="786">
        <v>700</v>
      </c>
      <c r="E289" s="789">
        <v>10</v>
      </c>
      <c r="F289" s="790"/>
      <c r="G289" s="791" t="s">
        <v>3250</v>
      </c>
      <c r="H289" s="741"/>
      <c r="I289" s="741">
        <v>0</v>
      </c>
      <c r="J289" s="706"/>
    </row>
    <row r="290" spans="1:10" s="58" customFormat="1">
      <c r="A290" s="812">
        <v>240</v>
      </c>
      <c r="B290" s="786">
        <v>550</v>
      </c>
      <c r="C290" s="786">
        <v>400</v>
      </c>
      <c r="D290" s="786">
        <v>700</v>
      </c>
      <c r="E290" s="789">
        <v>20</v>
      </c>
      <c r="F290" s="790"/>
      <c r="G290" s="791" t="s">
        <v>3344</v>
      </c>
      <c r="H290" s="741">
        <v>152635.78</v>
      </c>
      <c r="I290" s="741">
        <v>266589.41000000003</v>
      </c>
      <c r="J290" s="706"/>
    </row>
    <row r="291" spans="1:10" s="58" customFormat="1">
      <c r="A291" s="812">
        <v>240</v>
      </c>
      <c r="B291" s="786">
        <v>550</v>
      </c>
      <c r="C291" s="786">
        <v>400</v>
      </c>
      <c r="D291" s="789">
        <v>800</v>
      </c>
      <c r="E291" s="789"/>
      <c r="F291" s="790"/>
      <c r="G291" s="791" t="s">
        <v>3251</v>
      </c>
      <c r="H291" s="741">
        <v>5345190.4400000004</v>
      </c>
      <c r="I291" s="741">
        <v>141822.16999999998</v>
      </c>
      <c r="J291" s="706"/>
    </row>
    <row r="292" spans="1:10" s="58" customFormat="1">
      <c r="A292" s="812">
        <v>240</v>
      </c>
      <c r="B292" s="786">
        <v>550</v>
      </c>
      <c r="C292" s="786">
        <v>400</v>
      </c>
      <c r="D292" s="789">
        <v>900</v>
      </c>
      <c r="E292" s="789"/>
      <c r="F292" s="790"/>
      <c r="G292" s="791" t="s">
        <v>3471</v>
      </c>
      <c r="H292" s="741">
        <v>-780.8</v>
      </c>
      <c r="I292" s="741">
        <v>-780.8</v>
      </c>
      <c r="J292" s="706"/>
    </row>
    <row r="293" spans="1:10" s="58" customFormat="1">
      <c r="A293" s="805">
        <v>250</v>
      </c>
      <c r="B293" s="806">
        <v>0</v>
      </c>
      <c r="C293" s="806">
        <v>0</v>
      </c>
      <c r="D293" s="806">
        <v>0</v>
      </c>
      <c r="E293" s="806">
        <v>0</v>
      </c>
      <c r="F293" s="807">
        <v>0</v>
      </c>
      <c r="G293" s="808" t="s">
        <v>2291</v>
      </c>
      <c r="H293" s="800"/>
      <c r="I293" s="800"/>
      <c r="J293" s="730"/>
    </row>
    <row r="294" spans="1:10" s="58" customFormat="1">
      <c r="A294" s="812">
        <v>250</v>
      </c>
      <c r="B294" s="786">
        <v>100</v>
      </c>
      <c r="C294" s="786"/>
      <c r="D294" s="786"/>
      <c r="E294" s="786"/>
      <c r="F294" s="787"/>
      <c r="G294" s="788" t="s">
        <v>3345</v>
      </c>
      <c r="H294" s="742"/>
      <c r="I294" s="742"/>
      <c r="J294" s="706"/>
    </row>
    <row r="295" spans="1:10" s="58" customFormat="1">
      <c r="A295" s="812">
        <v>250</v>
      </c>
      <c r="B295" s="786">
        <v>100</v>
      </c>
      <c r="C295" s="789">
        <v>100</v>
      </c>
      <c r="D295" s="789"/>
      <c r="E295" s="789"/>
      <c r="F295" s="790"/>
      <c r="G295" s="748" t="s">
        <v>2292</v>
      </c>
      <c r="H295" s="741"/>
      <c r="I295" s="741">
        <v>0</v>
      </c>
      <c r="J295" s="706" t="s">
        <v>2912</v>
      </c>
    </row>
    <row r="296" spans="1:10" s="58" customFormat="1">
      <c r="A296" s="812">
        <v>250</v>
      </c>
      <c r="B296" s="786">
        <v>100</v>
      </c>
      <c r="C296" s="789">
        <v>200</v>
      </c>
      <c r="D296" s="789"/>
      <c r="E296" s="789"/>
      <c r="F296" s="790"/>
      <c r="G296" s="748" t="s">
        <v>3346</v>
      </c>
      <c r="H296" s="741"/>
      <c r="I296" s="741">
        <v>0</v>
      </c>
      <c r="J296" s="706" t="s">
        <v>2914</v>
      </c>
    </row>
    <row r="297" spans="1:10" s="62" customFormat="1">
      <c r="A297" s="812">
        <v>250</v>
      </c>
      <c r="B297" s="786">
        <v>200</v>
      </c>
      <c r="C297" s="789"/>
      <c r="D297" s="789"/>
      <c r="E297" s="789"/>
      <c r="F297" s="790"/>
      <c r="G297" s="788" t="s">
        <v>3347</v>
      </c>
      <c r="H297" s="742"/>
      <c r="I297" s="742"/>
      <c r="J297" s="706"/>
    </row>
    <row r="298" spans="1:10" s="58" customFormat="1">
      <c r="A298" s="812">
        <v>250</v>
      </c>
      <c r="B298" s="786">
        <v>200</v>
      </c>
      <c r="C298" s="789">
        <v>100</v>
      </c>
      <c r="D298" s="789"/>
      <c r="E298" s="789"/>
      <c r="F298" s="790"/>
      <c r="G298" s="748" t="s">
        <v>2293</v>
      </c>
      <c r="H298" s="741"/>
      <c r="I298" s="741">
        <v>8229.7199999999993</v>
      </c>
      <c r="J298" s="706" t="s">
        <v>2918</v>
      </c>
    </row>
    <row r="299" spans="1:10" s="58" customFormat="1">
      <c r="A299" s="817">
        <v>250</v>
      </c>
      <c r="B299" s="809">
        <v>200</v>
      </c>
      <c r="C299" s="793">
        <v>200</v>
      </c>
      <c r="D299" s="793"/>
      <c r="E299" s="793"/>
      <c r="F299" s="818"/>
      <c r="G299" s="795" t="s">
        <v>3348</v>
      </c>
      <c r="H299" s="757"/>
      <c r="I299" s="757">
        <v>0</v>
      </c>
      <c r="J299" s="724" t="s">
        <v>2920</v>
      </c>
    </row>
    <row r="300" spans="1:10" s="58" customFormat="1" ht="38.25">
      <c r="A300" s="817">
        <v>250</v>
      </c>
      <c r="B300" s="809">
        <v>200</v>
      </c>
      <c r="C300" s="793">
        <v>300</v>
      </c>
      <c r="D300" s="793"/>
      <c r="E300" s="793"/>
      <c r="F300" s="794"/>
      <c r="G300" s="795" t="s">
        <v>3349</v>
      </c>
      <c r="H300" s="757"/>
      <c r="I300" s="757">
        <v>0</v>
      </c>
      <c r="J300" s="724" t="s">
        <v>2922</v>
      </c>
    </row>
    <row r="301" spans="1:10" s="58" customFormat="1">
      <c r="A301" s="819">
        <v>280</v>
      </c>
      <c r="B301" s="820">
        <v>0</v>
      </c>
      <c r="C301" s="820">
        <v>0</v>
      </c>
      <c r="D301" s="820">
        <v>0</v>
      </c>
      <c r="E301" s="820">
        <v>0</v>
      </c>
      <c r="F301" s="821">
        <v>0</v>
      </c>
      <c r="G301" s="822" t="s">
        <v>3350</v>
      </c>
      <c r="H301" s="823">
        <f>SUM(H4:H300)</f>
        <v>1306259952.5900009</v>
      </c>
      <c r="I301" s="823">
        <f>SUM(I4:I300)</f>
        <v>1205626254.4563982</v>
      </c>
      <c r="J301" s="824" t="s">
        <v>2924</v>
      </c>
    </row>
    <row r="302" spans="1:10" s="58" customFormat="1">
      <c r="A302" s="796">
        <v>290</v>
      </c>
      <c r="B302" s="797">
        <v>0</v>
      </c>
      <c r="C302" s="797">
        <v>0</v>
      </c>
      <c r="D302" s="797">
        <v>0</v>
      </c>
      <c r="E302" s="797">
        <v>0</v>
      </c>
      <c r="F302" s="798">
        <v>0</v>
      </c>
      <c r="G302" s="799" t="s">
        <v>3351</v>
      </c>
      <c r="H302" s="800"/>
      <c r="I302" s="800"/>
      <c r="J302" s="730"/>
    </row>
    <row r="303" spans="1:10" s="58" customFormat="1">
      <c r="A303" s="812">
        <v>290</v>
      </c>
      <c r="B303" s="789">
        <v>100</v>
      </c>
      <c r="C303" s="789"/>
      <c r="D303" s="789"/>
      <c r="E303" s="789"/>
      <c r="F303" s="790"/>
      <c r="G303" s="791" t="s">
        <v>3352</v>
      </c>
      <c r="H303" s="741"/>
      <c r="I303" s="741"/>
      <c r="J303" s="68"/>
    </row>
    <row r="304" spans="1:10" s="58" customFormat="1">
      <c r="A304" s="812">
        <v>290</v>
      </c>
      <c r="B304" s="789">
        <v>200</v>
      </c>
      <c r="C304" s="789"/>
      <c r="D304" s="789"/>
      <c r="E304" s="789"/>
      <c r="F304" s="790"/>
      <c r="G304" s="791" t="s">
        <v>3353</v>
      </c>
      <c r="H304" s="741"/>
      <c r="I304" s="741"/>
      <c r="J304" s="68"/>
    </row>
    <row r="305" spans="1:10" s="58" customFormat="1">
      <c r="A305" s="812">
        <v>290</v>
      </c>
      <c r="B305" s="789">
        <v>300</v>
      </c>
      <c r="C305" s="789"/>
      <c r="D305" s="789"/>
      <c r="E305" s="789"/>
      <c r="F305" s="790"/>
      <c r="G305" s="791" t="s">
        <v>3354</v>
      </c>
      <c r="H305" s="741"/>
      <c r="I305" s="741"/>
      <c r="J305" s="68"/>
    </row>
    <row r="306" spans="1:10" s="62" customFormat="1">
      <c r="A306" s="805">
        <v>295</v>
      </c>
      <c r="B306" s="806">
        <v>0</v>
      </c>
      <c r="C306" s="806">
        <v>0</v>
      </c>
      <c r="D306" s="806">
        <v>0</v>
      </c>
      <c r="E306" s="806">
        <v>0</v>
      </c>
      <c r="F306" s="807">
        <v>0</v>
      </c>
      <c r="G306" s="808" t="s">
        <v>2230</v>
      </c>
      <c r="H306" s="800"/>
      <c r="I306" s="800"/>
      <c r="J306" s="730"/>
    </row>
    <row r="307" spans="1:10" s="58" customFormat="1">
      <c r="A307" s="812">
        <v>295</v>
      </c>
      <c r="B307" s="789">
        <v>100</v>
      </c>
      <c r="C307" s="789"/>
      <c r="D307" s="789"/>
      <c r="E307" s="789"/>
      <c r="F307" s="790"/>
      <c r="G307" s="748" t="s">
        <v>3085</v>
      </c>
      <c r="H307" s="741"/>
      <c r="I307" s="741"/>
      <c r="J307" s="706" t="s">
        <v>2928</v>
      </c>
    </row>
    <row r="308" spans="1:10" s="58" customFormat="1">
      <c r="A308" s="812">
        <v>295</v>
      </c>
      <c r="B308" s="789">
        <v>200</v>
      </c>
      <c r="C308" s="789"/>
      <c r="D308" s="789"/>
      <c r="E308" s="789"/>
      <c r="F308" s="790"/>
      <c r="G308" s="748" t="s">
        <v>3086</v>
      </c>
      <c r="H308" s="741">
        <v>539194.87</v>
      </c>
      <c r="I308" s="741"/>
      <c r="J308" s="706" t="s">
        <v>2930</v>
      </c>
    </row>
    <row r="309" spans="1:10" s="58" customFormat="1">
      <c r="A309" s="812">
        <v>295</v>
      </c>
      <c r="B309" s="789">
        <v>300</v>
      </c>
      <c r="C309" s="789"/>
      <c r="D309" s="789"/>
      <c r="E309" s="789"/>
      <c r="F309" s="790"/>
      <c r="G309" s="748" t="s">
        <v>3087</v>
      </c>
      <c r="H309" s="741">
        <v>2715845.78</v>
      </c>
      <c r="I309" s="741">
        <v>453686.63</v>
      </c>
      <c r="J309" s="706" t="s">
        <v>2932</v>
      </c>
    </row>
    <row r="310" spans="1:10" s="62" customFormat="1">
      <c r="A310" s="812">
        <v>295</v>
      </c>
      <c r="B310" s="789">
        <v>350</v>
      </c>
      <c r="C310" s="789"/>
      <c r="D310" s="789"/>
      <c r="E310" s="789"/>
      <c r="F310" s="790"/>
      <c r="G310" s="748" t="s">
        <v>3088</v>
      </c>
      <c r="H310" s="741"/>
      <c r="I310" s="741"/>
      <c r="J310" s="706" t="s">
        <v>2934</v>
      </c>
    </row>
    <row r="311" spans="1:10" s="58" customFormat="1">
      <c r="A311" s="812">
        <v>295</v>
      </c>
      <c r="B311" s="786">
        <v>400</v>
      </c>
      <c r="C311" s="786"/>
      <c r="D311" s="786"/>
      <c r="E311" s="786"/>
      <c r="F311" s="787"/>
      <c r="G311" s="788" t="s">
        <v>3089</v>
      </c>
      <c r="H311" s="742"/>
      <c r="I311" s="742"/>
      <c r="J311" s="706" t="s">
        <v>2936</v>
      </c>
    </row>
    <row r="312" spans="1:10" s="58" customFormat="1">
      <c r="A312" s="812">
        <v>295</v>
      </c>
      <c r="B312" s="786">
        <v>400</v>
      </c>
      <c r="C312" s="789">
        <v>100</v>
      </c>
      <c r="D312" s="789"/>
      <c r="E312" s="789"/>
      <c r="F312" s="790"/>
      <c r="G312" s="791" t="s">
        <v>3090</v>
      </c>
      <c r="H312" s="741"/>
      <c r="I312" s="741"/>
      <c r="J312" s="706"/>
    </row>
    <row r="313" spans="1:10" s="58" customFormat="1">
      <c r="A313" s="812">
        <v>295</v>
      </c>
      <c r="B313" s="786">
        <v>400</v>
      </c>
      <c r="C313" s="789">
        <v>200</v>
      </c>
      <c r="D313" s="789"/>
      <c r="E313" s="789"/>
      <c r="F313" s="790"/>
      <c r="G313" s="791" t="s">
        <v>2233</v>
      </c>
      <c r="H313" s="741"/>
      <c r="I313" s="741"/>
      <c r="J313" s="825"/>
    </row>
    <row r="314" spans="1:10" s="58" customFormat="1">
      <c r="A314" s="812">
        <v>295</v>
      </c>
      <c r="B314" s="786">
        <v>400</v>
      </c>
      <c r="C314" s="789">
        <v>300</v>
      </c>
      <c r="D314" s="789"/>
      <c r="E314" s="789"/>
      <c r="F314" s="790"/>
      <c r="G314" s="791" t="s">
        <v>3091</v>
      </c>
      <c r="H314" s="741">
        <v>4257242.7</v>
      </c>
      <c r="I314" s="741">
        <v>11933304.720000001</v>
      </c>
      <c r="J314" s="825"/>
    </row>
    <row r="315" spans="1:10" s="58" customFormat="1">
      <c r="A315" s="812">
        <v>295</v>
      </c>
      <c r="B315" s="786">
        <v>400</v>
      </c>
      <c r="C315" s="789">
        <v>400</v>
      </c>
      <c r="D315" s="789"/>
      <c r="E315" s="789"/>
      <c r="F315" s="790"/>
      <c r="G315" s="791" t="s">
        <v>3092</v>
      </c>
      <c r="H315" s="741">
        <v>8757</v>
      </c>
      <c r="I315" s="741"/>
      <c r="J315" s="825"/>
    </row>
    <row r="316" spans="1:10" s="58" customFormat="1">
      <c r="A316" s="812">
        <v>295</v>
      </c>
      <c r="B316" s="786">
        <v>400</v>
      </c>
      <c r="C316" s="789">
        <v>500</v>
      </c>
      <c r="D316" s="789"/>
      <c r="E316" s="789"/>
      <c r="F316" s="790"/>
      <c r="G316" s="791" t="s">
        <v>3093</v>
      </c>
      <c r="H316" s="741">
        <v>30381844.93</v>
      </c>
      <c r="I316" s="741">
        <v>13962993.060000001</v>
      </c>
      <c r="J316" s="825"/>
    </row>
    <row r="317" spans="1:10" s="58" customFormat="1">
      <c r="A317" s="812">
        <v>295</v>
      </c>
      <c r="B317" s="786">
        <v>400</v>
      </c>
      <c r="C317" s="789">
        <v>600</v>
      </c>
      <c r="D317" s="789"/>
      <c r="E317" s="789"/>
      <c r="F317" s="790"/>
      <c r="G317" s="791" t="s">
        <v>3094</v>
      </c>
      <c r="H317" s="741"/>
      <c r="I317" s="741"/>
      <c r="J317" s="825"/>
    </row>
    <row r="318" spans="1:10" s="58" customFormat="1" ht="13.5" thickBot="1">
      <c r="A318" s="826">
        <v>295</v>
      </c>
      <c r="B318" s="827">
        <v>400</v>
      </c>
      <c r="C318" s="828">
        <v>900</v>
      </c>
      <c r="D318" s="828"/>
      <c r="E318" s="828"/>
      <c r="F318" s="829"/>
      <c r="G318" s="830" t="s">
        <v>3095</v>
      </c>
      <c r="H318" s="770"/>
      <c r="I318" s="770"/>
      <c r="J318" s="831"/>
    </row>
    <row r="319" spans="1:10" s="58" customFormat="1">
      <c r="A319" s="65"/>
      <c r="B319" s="65"/>
      <c r="H319" s="832"/>
      <c r="I319" s="832"/>
    </row>
    <row r="320" spans="1:10" s="58" customFormat="1">
      <c r="A320" s="833"/>
      <c r="B320" s="833"/>
      <c r="C320" s="833"/>
      <c r="D320" s="833"/>
      <c r="E320" s="833"/>
      <c r="F320" s="833"/>
      <c r="G320" s="833"/>
      <c r="H320" s="834">
        <f>+H301-'SP Attivo Alim'!H247</f>
        <v>0</v>
      </c>
      <c r="I320" s="834"/>
      <c r="J320" s="833"/>
    </row>
    <row r="321" spans="1:10" s="58" customFormat="1">
      <c r="A321" s="65"/>
      <c r="B321" s="65"/>
      <c r="H321" s="319"/>
      <c r="I321" s="319"/>
    </row>
    <row r="322" spans="1:10" s="58" customFormat="1">
      <c r="A322" s="65"/>
      <c r="H322" s="319"/>
      <c r="I322" s="319"/>
    </row>
    <row r="323" spans="1:10" s="58" customFormat="1">
      <c r="A323" s="833"/>
      <c r="B323" s="833"/>
      <c r="C323" s="833"/>
      <c r="D323" s="833"/>
      <c r="E323" s="833"/>
      <c r="F323" s="833"/>
      <c r="G323" s="833"/>
      <c r="H323" s="834"/>
      <c r="I323" s="834"/>
      <c r="J323" s="833"/>
    </row>
    <row r="325" spans="1:10" s="58" customFormat="1">
      <c r="A325" s="833"/>
      <c r="B325" s="833"/>
      <c r="C325" s="833"/>
      <c r="D325" s="833"/>
      <c r="E325" s="833"/>
      <c r="F325" s="833"/>
      <c r="G325" s="833"/>
      <c r="H325" s="834"/>
      <c r="I325" s="834"/>
      <c r="J325" s="833"/>
    </row>
    <row r="326" spans="1:10" s="58" customFormat="1">
      <c r="A326" s="833"/>
      <c r="B326" s="833"/>
      <c r="C326" s="833"/>
      <c r="D326" s="833"/>
      <c r="E326" s="833"/>
      <c r="F326" s="833"/>
      <c r="G326" s="833"/>
      <c r="H326" s="834"/>
      <c r="I326" s="834"/>
      <c r="J326" s="833"/>
    </row>
  </sheetData>
  <mergeCells count="5">
    <mergeCell ref="A1:F1"/>
    <mergeCell ref="G1:G2"/>
    <mergeCell ref="H1:H2"/>
    <mergeCell ref="J1:J2"/>
    <mergeCell ref="I1:I2"/>
  </mergeCells>
  <printOptions horizontalCentered="1"/>
  <pageMargins left="0.59055118110236227" right="0.23622047244094491" top="0.51181102362204722" bottom="0.39370078740157483" header="0.31496062992125984" footer="0.15748031496062992"/>
  <pageSetup paperSize="9"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zoomScale="130" zoomScaleNormal="130" workbookViewId="0">
      <pane ySplit="1" topLeftCell="A2" activePane="bottomLeft" state="frozen"/>
      <selection pane="bottomLeft" sqref="A1:B1"/>
    </sheetView>
  </sheetViews>
  <sheetFormatPr defaultRowHeight="12.75"/>
  <cols>
    <col min="1" max="1" width="6.28515625" style="837" customWidth="1"/>
    <col min="2" max="2" width="80.5703125" style="837" bestFit="1" customWidth="1"/>
    <col min="3" max="3" width="15" style="898" customWidth="1"/>
    <col min="4" max="4" width="14.85546875" style="899" customWidth="1"/>
    <col min="5" max="5" width="85.28515625" style="862" bestFit="1" customWidth="1"/>
    <col min="6" max="250" width="9.140625" style="837"/>
    <col min="251" max="251" width="6.28515625" style="837" customWidth="1"/>
    <col min="252" max="252" width="72.28515625" style="837" bestFit="1" customWidth="1"/>
    <col min="253" max="253" width="15" style="837" customWidth="1"/>
    <col min="254" max="254" width="14.85546875" style="837" customWidth="1"/>
    <col min="255" max="255" width="8.5703125" style="837" customWidth="1"/>
    <col min="256" max="506" width="9.140625" style="837"/>
    <col min="507" max="507" width="6.28515625" style="837" customWidth="1"/>
    <col min="508" max="508" width="72.28515625" style="837" bestFit="1" customWidth="1"/>
    <col min="509" max="509" width="15" style="837" customWidth="1"/>
    <col min="510" max="510" width="14.85546875" style="837" customWidth="1"/>
    <col min="511" max="511" width="8.5703125" style="837" customWidth="1"/>
    <col min="512" max="762" width="9.140625" style="837"/>
    <col min="763" max="763" width="6.28515625" style="837" customWidth="1"/>
    <col min="764" max="764" width="72.28515625" style="837" bestFit="1" customWidth="1"/>
    <col min="765" max="765" width="15" style="837" customWidth="1"/>
    <col min="766" max="766" width="14.85546875" style="837" customWidth="1"/>
    <col min="767" max="767" width="8.5703125" style="837" customWidth="1"/>
    <col min="768" max="1018" width="9.140625" style="837"/>
    <col min="1019" max="1019" width="6.28515625" style="837" customWidth="1"/>
    <col min="1020" max="1020" width="72.28515625" style="837" bestFit="1" customWidth="1"/>
    <col min="1021" max="1021" width="15" style="837" customWidth="1"/>
    <col min="1022" max="1022" width="14.85546875" style="837" customWidth="1"/>
    <col min="1023" max="1023" width="8.5703125" style="837" customWidth="1"/>
    <col min="1024" max="1274" width="9.140625" style="837"/>
    <col min="1275" max="1275" width="6.28515625" style="837" customWidth="1"/>
    <col min="1276" max="1276" width="72.28515625" style="837" bestFit="1" customWidth="1"/>
    <col min="1277" max="1277" width="15" style="837" customWidth="1"/>
    <col min="1278" max="1278" width="14.85546875" style="837" customWidth="1"/>
    <col min="1279" max="1279" width="8.5703125" style="837" customWidth="1"/>
    <col min="1280" max="1530" width="9.140625" style="837"/>
    <col min="1531" max="1531" width="6.28515625" style="837" customWidth="1"/>
    <col min="1532" max="1532" width="72.28515625" style="837" bestFit="1" customWidth="1"/>
    <col min="1533" max="1533" width="15" style="837" customWidth="1"/>
    <col min="1534" max="1534" width="14.85546875" style="837" customWidth="1"/>
    <col min="1535" max="1535" width="8.5703125" style="837" customWidth="1"/>
    <col min="1536" max="1786" width="9.140625" style="837"/>
    <col min="1787" max="1787" width="6.28515625" style="837" customWidth="1"/>
    <col min="1788" max="1788" width="72.28515625" style="837" bestFit="1" customWidth="1"/>
    <col min="1789" max="1789" width="15" style="837" customWidth="1"/>
    <col min="1790" max="1790" width="14.85546875" style="837" customWidth="1"/>
    <col min="1791" max="1791" width="8.5703125" style="837" customWidth="1"/>
    <col min="1792" max="2042" width="9.140625" style="837"/>
    <col min="2043" max="2043" width="6.28515625" style="837" customWidth="1"/>
    <col min="2044" max="2044" width="72.28515625" style="837" bestFit="1" customWidth="1"/>
    <col min="2045" max="2045" width="15" style="837" customWidth="1"/>
    <col min="2046" max="2046" width="14.85546875" style="837" customWidth="1"/>
    <col min="2047" max="2047" width="8.5703125" style="837" customWidth="1"/>
    <col min="2048" max="2298" width="9.140625" style="837"/>
    <col min="2299" max="2299" width="6.28515625" style="837" customWidth="1"/>
    <col min="2300" max="2300" width="72.28515625" style="837" bestFit="1" customWidth="1"/>
    <col min="2301" max="2301" width="15" style="837" customWidth="1"/>
    <col min="2302" max="2302" width="14.85546875" style="837" customWidth="1"/>
    <col min="2303" max="2303" width="8.5703125" style="837" customWidth="1"/>
    <col min="2304" max="2554" width="9.140625" style="837"/>
    <col min="2555" max="2555" width="6.28515625" style="837" customWidth="1"/>
    <col min="2556" max="2556" width="72.28515625" style="837" bestFit="1" customWidth="1"/>
    <col min="2557" max="2557" width="15" style="837" customWidth="1"/>
    <col min="2558" max="2558" width="14.85546875" style="837" customWidth="1"/>
    <col min="2559" max="2559" width="8.5703125" style="837" customWidth="1"/>
    <col min="2560" max="2810" width="9.140625" style="837"/>
    <col min="2811" max="2811" width="6.28515625" style="837" customWidth="1"/>
    <col min="2812" max="2812" width="72.28515625" style="837" bestFit="1" customWidth="1"/>
    <col min="2813" max="2813" width="15" style="837" customWidth="1"/>
    <col min="2814" max="2814" width="14.85546875" style="837" customWidth="1"/>
    <col min="2815" max="2815" width="8.5703125" style="837" customWidth="1"/>
    <col min="2816" max="3066" width="9.140625" style="837"/>
    <col min="3067" max="3067" width="6.28515625" style="837" customWidth="1"/>
    <col min="3068" max="3068" width="72.28515625" style="837" bestFit="1" customWidth="1"/>
    <col min="3069" max="3069" width="15" style="837" customWidth="1"/>
    <col min="3070" max="3070" width="14.85546875" style="837" customWidth="1"/>
    <col min="3071" max="3071" width="8.5703125" style="837" customWidth="1"/>
    <col min="3072" max="3322" width="9.140625" style="837"/>
    <col min="3323" max="3323" width="6.28515625" style="837" customWidth="1"/>
    <col min="3324" max="3324" width="72.28515625" style="837" bestFit="1" customWidth="1"/>
    <col min="3325" max="3325" width="15" style="837" customWidth="1"/>
    <col min="3326" max="3326" width="14.85546875" style="837" customWidth="1"/>
    <col min="3327" max="3327" width="8.5703125" style="837" customWidth="1"/>
    <col min="3328" max="3578" width="9.140625" style="837"/>
    <col min="3579" max="3579" width="6.28515625" style="837" customWidth="1"/>
    <col min="3580" max="3580" width="72.28515625" style="837" bestFit="1" customWidth="1"/>
    <col min="3581" max="3581" width="15" style="837" customWidth="1"/>
    <col min="3582" max="3582" width="14.85546875" style="837" customWidth="1"/>
    <col min="3583" max="3583" width="8.5703125" style="837" customWidth="1"/>
    <col min="3584" max="3834" width="9.140625" style="837"/>
    <col min="3835" max="3835" width="6.28515625" style="837" customWidth="1"/>
    <col min="3836" max="3836" width="72.28515625" style="837" bestFit="1" customWidth="1"/>
    <col min="3837" max="3837" width="15" style="837" customWidth="1"/>
    <col min="3838" max="3838" width="14.85546875" style="837" customWidth="1"/>
    <col min="3839" max="3839" width="8.5703125" style="837" customWidth="1"/>
    <col min="3840" max="4090" width="9.140625" style="837"/>
    <col min="4091" max="4091" width="6.28515625" style="837" customWidth="1"/>
    <col min="4092" max="4092" width="72.28515625" style="837" bestFit="1" customWidth="1"/>
    <col min="4093" max="4093" width="15" style="837" customWidth="1"/>
    <col min="4094" max="4094" width="14.85546875" style="837" customWidth="1"/>
    <col min="4095" max="4095" width="8.5703125" style="837" customWidth="1"/>
    <col min="4096" max="4346" width="9.140625" style="837"/>
    <col min="4347" max="4347" width="6.28515625" style="837" customWidth="1"/>
    <col min="4348" max="4348" width="72.28515625" style="837" bestFit="1" customWidth="1"/>
    <col min="4349" max="4349" width="15" style="837" customWidth="1"/>
    <col min="4350" max="4350" width="14.85546875" style="837" customWidth="1"/>
    <col min="4351" max="4351" width="8.5703125" style="837" customWidth="1"/>
    <col min="4352" max="4602" width="9.140625" style="837"/>
    <col min="4603" max="4603" width="6.28515625" style="837" customWidth="1"/>
    <col min="4604" max="4604" width="72.28515625" style="837" bestFit="1" customWidth="1"/>
    <col min="4605" max="4605" width="15" style="837" customWidth="1"/>
    <col min="4606" max="4606" width="14.85546875" style="837" customWidth="1"/>
    <col min="4607" max="4607" width="8.5703125" style="837" customWidth="1"/>
    <col min="4608" max="4858" width="9.140625" style="837"/>
    <col min="4859" max="4859" width="6.28515625" style="837" customWidth="1"/>
    <col min="4860" max="4860" width="72.28515625" style="837" bestFit="1" customWidth="1"/>
    <col min="4861" max="4861" width="15" style="837" customWidth="1"/>
    <col min="4862" max="4862" width="14.85546875" style="837" customWidth="1"/>
    <col min="4863" max="4863" width="8.5703125" style="837" customWidth="1"/>
    <col min="4864" max="5114" width="9.140625" style="837"/>
    <col min="5115" max="5115" width="6.28515625" style="837" customWidth="1"/>
    <col min="5116" max="5116" width="72.28515625" style="837" bestFit="1" customWidth="1"/>
    <col min="5117" max="5117" width="15" style="837" customWidth="1"/>
    <col min="5118" max="5118" width="14.85546875" style="837" customWidth="1"/>
    <col min="5119" max="5119" width="8.5703125" style="837" customWidth="1"/>
    <col min="5120" max="5370" width="9.140625" style="837"/>
    <col min="5371" max="5371" width="6.28515625" style="837" customWidth="1"/>
    <col min="5372" max="5372" width="72.28515625" style="837" bestFit="1" customWidth="1"/>
    <col min="5373" max="5373" width="15" style="837" customWidth="1"/>
    <col min="5374" max="5374" width="14.85546875" style="837" customWidth="1"/>
    <col min="5375" max="5375" width="8.5703125" style="837" customWidth="1"/>
    <col min="5376" max="5626" width="9.140625" style="837"/>
    <col min="5627" max="5627" width="6.28515625" style="837" customWidth="1"/>
    <col min="5628" max="5628" width="72.28515625" style="837" bestFit="1" customWidth="1"/>
    <col min="5629" max="5629" width="15" style="837" customWidth="1"/>
    <col min="5630" max="5630" width="14.85546875" style="837" customWidth="1"/>
    <col min="5631" max="5631" width="8.5703125" style="837" customWidth="1"/>
    <col min="5632" max="5882" width="9.140625" style="837"/>
    <col min="5883" max="5883" width="6.28515625" style="837" customWidth="1"/>
    <col min="5884" max="5884" width="72.28515625" style="837" bestFit="1" customWidth="1"/>
    <col min="5885" max="5885" width="15" style="837" customWidth="1"/>
    <col min="5886" max="5886" width="14.85546875" style="837" customWidth="1"/>
    <col min="5887" max="5887" width="8.5703125" style="837" customWidth="1"/>
    <col min="5888" max="6138" width="9.140625" style="837"/>
    <col min="6139" max="6139" width="6.28515625" style="837" customWidth="1"/>
    <col min="6140" max="6140" width="72.28515625" style="837" bestFit="1" customWidth="1"/>
    <col min="6141" max="6141" width="15" style="837" customWidth="1"/>
    <col min="6142" max="6142" width="14.85546875" style="837" customWidth="1"/>
    <col min="6143" max="6143" width="8.5703125" style="837" customWidth="1"/>
    <col min="6144" max="6394" width="9.140625" style="837"/>
    <col min="6395" max="6395" width="6.28515625" style="837" customWidth="1"/>
    <col min="6396" max="6396" width="72.28515625" style="837" bestFit="1" customWidth="1"/>
    <col min="6397" max="6397" width="15" style="837" customWidth="1"/>
    <col min="6398" max="6398" width="14.85546875" style="837" customWidth="1"/>
    <col min="6399" max="6399" width="8.5703125" style="837" customWidth="1"/>
    <col min="6400" max="6650" width="9.140625" style="837"/>
    <col min="6651" max="6651" width="6.28515625" style="837" customWidth="1"/>
    <col min="6652" max="6652" width="72.28515625" style="837" bestFit="1" customWidth="1"/>
    <col min="6653" max="6653" width="15" style="837" customWidth="1"/>
    <col min="6654" max="6654" width="14.85546875" style="837" customWidth="1"/>
    <col min="6655" max="6655" width="8.5703125" style="837" customWidth="1"/>
    <col min="6656" max="6906" width="9.140625" style="837"/>
    <col min="6907" max="6907" width="6.28515625" style="837" customWidth="1"/>
    <col min="6908" max="6908" width="72.28515625" style="837" bestFit="1" customWidth="1"/>
    <col min="6909" max="6909" width="15" style="837" customWidth="1"/>
    <col min="6910" max="6910" width="14.85546875" style="837" customWidth="1"/>
    <col min="6911" max="6911" width="8.5703125" style="837" customWidth="1"/>
    <col min="6912" max="7162" width="9.140625" style="837"/>
    <col min="7163" max="7163" width="6.28515625" style="837" customWidth="1"/>
    <col min="7164" max="7164" width="72.28515625" style="837" bestFit="1" customWidth="1"/>
    <col min="7165" max="7165" width="15" style="837" customWidth="1"/>
    <col min="7166" max="7166" width="14.85546875" style="837" customWidth="1"/>
    <col min="7167" max="7167" width="8.5703125" style="837" customWidth="1"/>
    <col min="7168" max="7418" width="9.140625" style="837"/>
    <col min="7419" max="7419" width="6.28515625" style="837" customWidth="1"/>
    <col min="7420" max="7420" width="72.28515625" style="837" bestFit="1" customWidth="1"/>
    <col min="7421" max="7421" width="15" style="837" customWidth="1"/>
    <col min="7422" max="7422" width="14.85546875" style="837" customWidth="1"/>
    <col min="7423" max="7423" width="8.5703125" style="837" customWidth="1"/>
    <col min="7424" max="7674" width="9.140625" style="837"/>
    <col min="7675" max="7675" width="6.28515625" style="837" customWidth="1"/>
    <col min="7676" max="7676" width="72.28515625" style="837" bestFit="1" customWidth="1"/>
    <col min="7677" max="7677" width="15" style="837" customWidth="1"/>
    <col min="7678" max="7678" width="14.85546875" style="837" customWidth="1"/>
    <col min="7679" max="7679" width="8.5703125" style="837" customWidth="1"/>
    <col min="7680" max="7930" width="9.140625" style="837"/>
    <col min="7931" max="7931" width="6.28515625" style="837" customWidth="1"/>
    <col min="7932" max="7932" width="72.28515625" style="837" bestFit="1" customWidth="1"/>
    <col min="7933" max="7933" width="15" style="837" customWidth="1"/>
    <col min="7934" max="7934" width="14.85546875" style="837" customWidth="1"/>
    <col min="7935" max="7935" width="8.5703125" style="837" customWidth="1"/>
    <col min="7936" max="8186" width="9.140625" style="837"/>
    <col min="8187" max="8187" width="6.28515625" style="837" customWidth="1"/>
    <col min="8188" max="8188" width="72.28515625" style="837" bestFit="1" customWidth="1"/>
    <col min="8189" max="8189" width="15" style="837" customWidth="1"/>
    <col min="8190" max="8190" width="14.85546875" style="837" customWidth="1"/>
    <col min="8191" max="8191" width="8.5703125" style="837" customWidth="1"/>
    <col min="8192" max="8442" width="9.140625" style="837"/>
    <col min="8443" max="8443" width="6.28515625" style="837" customWidth="1"/>
    <col min="8444" max="8444" width="72.28515625" style="837" bestFit="1" customWidth="1"/>
    <col min="8445" max="8445" width="15" style="837" customWidth="1"/>
    <col min="8446" max="8446" width="14.85546875" style="837" customWidth="1"/>
    <col min="8447" max="8447" width="8.5703125" style="837" customWidth="1"/>
    <col min="8448" max="8698" width="9.140625" style="837"/>
    <col min="8699" max="8699" width="6.28515625" style="837" customWidth="1"/>
    <col min="8700" max="8700" width="72.28515625" style="837" bestFit="1" customWidth="1"/>
    <col min="8701" max="8701" width="15" style="837" customWidth="1"/>
    <col min="8702" max="8702" width="14.85546875" style="837" customWidth="1"/>
    <col min="8703" max="8703" width="8.5703125" style="837" customWidth="1"/>
    <col min="8704" max="8954" width="9.140625" style="837"/>
    <col min="8955" max="8955" width="6.28515625" style="837" customWidth="1"/>
    <col min="8956" max="8956" width="72.28515625" style="837" bestFit="1" customWidth="1"/>
    <col min="8957" max="8957" width="15" style="837" customWidth="1"/>
    <col min="8958" max="8958" width="14.85546875" style="837" customWidth="1"/>
    <col min="8959" max="8959" width="8.5703125" style="837" customWidth="1"/>
    <col min="8960" max="9210" width="9.140625" style="837"/>
    <col min="9211" max="9211" width="6.28515625" style="837" customWidth="1"/>
    <col min="9212" max="9212" width="72.28515625" style="837" bestFit="1" customWidth="1"/>
    <col min="9213" max="9213" width="15" style="837" customWidth="1"/>
    <col min="9214" max="9214" width="14.85546875" style="837" customWidth="1"/>
    <col min="9215" max="9215" width="8.5703125" style="837" customWidth="1"/>
    <col min="9216" max="9466" width="9.140625" style="837"/>
    <col min="9467" max="9467" width="6.28515625" style="837" customWidth="1"/>
    <col min="9468" max="9468" width="72.28515625" style="837" bestFit="1" customWidth="1"/>
    <col min="9469" max="9469" width="15" style="837" customWidth="1"/>
    <col min="9470" max="9470" width="14.85546875" style="837" customWidth="1"/>
    <col min="9471" max="9471" width="8.5703125" style="837" customWidth="1"/>
    <col min="9472" max="9722" width="9.140625" style="837"/>
    <col min="9723" max="9723" width="6.28515625" style="837" customWidth="1"/>
    <col min="9724" max="9724" width="72.28515625" style="837" bestFit="1" customWidth="1"/>
    <col min="9725" max="9725" width="15" style="837" customWidth="1"/>
    <col min="9726" max="9726" width="14.85546875" style="837" customWidth="1"/>
    <col min="9727" max="9727" width="8.5703125" style="837" customWidth="1"/>
    <col min="9728" max="9978" width="9.140625" style="837"/>
    <col min="9979" max="9979" width="6.28515625" style="837" customWidth="1"/>
    <col min="9980" max="9980" width="72.28515625" style="837" bestFit="1" customWidth="1"/>
    <col min="9981" max="9981" width="15" style="837" customWidth="1"/>
    <col min="9982" max="9982" width="14.85546875" style="837" customWidth="1"/>
    <col min="9983" max="9983" width="8.5703125" style="837" customWidth="1"/>
    <col min="9984" max="10234" width="9.140625" style="837"/>
    <col min="10235" max="10235" width="6.28515625" style="837" customWidth="1"/>
    <col min="10236" max="10236" width="72.28515625" style="837" bestFit="1" customWidth="1"/>
    <col min="10237" max="10237" width="15" style="837" customWidth="1"/>
    <col min="10238" max="10238" width="14.85546875" style="837" customWidth="1"/>
    <col min="10239" max="10239" width="8.5703125" style="837" customWidth="1"/>
    <col min="10240" max="10490" width="9.140625" style="837"/>
    <col min="10491" max="10491" width="6.28515625" style="837" customWidth="1"/>
    <col min="10492" max="10492" width="72.28515625" style="837" bestFit="1" customWidth="1"/>
    <col min="10493" max="10493" width="15" style="837" customWidth="1"/>
    <col min="10494" max="10494" width="14.85546875" style="837" customWidth="1"/>
    <col min="10495" max="10495" width="8.5703125" style="837" customWidth="1"/>
    <col min="10496" max="10746" width="9.140625" style="837"/>
    <col min="10747" max="10747" width="6.28515625" style="837" customWidth="1"/>
    <col min="10748" max="10748" width="72.28515625" style="837" bestFit="1" customWidth="1"/>
    <col min="10749" max="10749" width="15" style="837" customWidth="1"/>
    <col min="10750" max="10750" width="14.85546875" style="837" customWidth="1"/>
    <col min="10751" max="10751" width="8.5703125" style="837" customWidth="1"/>
    <col min="10752" max="11002" width="9.140625" style="837"/>
    <col min="11003" max="11003" width="6.28515625" style="837" customWidth="1"/>
    <col min="11004" max="11004" width="72.28515625" style="837" bestFit="1" customWidth="1"/>
    <col min="11005" max="11005" width="15" style="837" customWidth="1"/>
    <col min="11006" max="11006" width="14.85546875" style="837" customWidth="1"/>
    <col min="11007" max="11007" width="8.5703125" style="837" customWidth="1"/>
    <col min="11008" max="11258" width="9.140625" style="837"/>
    <col min="11259" max="11259" width="6.28515625" style="837" customWidth="1"/>
    <col min="11260" max="11260" width="72.28515625" style="837" bestFit="1" customWidth="1"/>
    <col min="11261" max="11261" width="15" style="837" customWidth="1"/>
    <col min="11262" max="11262" width="14.85546875" style="837" customWidth="1"/>
    <col min="11263" max="11263" width="8.5703125" style="837" customWidth="1"/>
    <col min="11264" max="11514" width="9.140625" style="837"/>
    <col min="11515" max="11515" width="6.28515625" style="837" customWidth="1"/>
    <col min="11516" max="11516" width="72.28515625" style="837" bestFit="1" customWidth="1"/>
    <col min="11517" max="11517" width="15" style="837" customWidth="1"/>
    <col min="11518" max="11518" width="14.85546875" style="837" customWidth="1"/>
    <col min="11519" max="11519" width="8.5703125" style="837" customWidth="1"/>
    <col min="11520" max="11770" width="9.140625" style="837"/>
    <col min="11771" max="11771" width="6.28515625" style="837" customWidth="1"/>
    <col min="11772" max="11772" width="72.28515625" style="837" bestFit="1" customWidth="1"/>
    <col min="11773" max="11773" width="15" style="837" customWidth="1"/>
    <col min="11774" max="11774" width="14.85546875" style="837" customWidth="1"/>
    <col min="11775" max="11775" width="8.5703125" style="837" customWidth="1"/>
    <col min="11776" max="12026" width="9.140625" style="837"/>
    <col min="12027" max="12027" width="6.28515625" style="837" customWidth="1"/>
    <col min="12028" max="12028" width="72.28515625" style="837" bestFit="1" customWidth="1"/>
    <col min="12029" max="12029" width="15" style="837" customWidth="1"/>
    <col min="12030" max="12030" width="14.85546875" style="837" customWidth="1"/>
    <col min="12031" max="12031" width="8.5703125" style="837" customWidth="1"/>
    <col min="12032" max="12282" width="9.140625" style="837"/>
    <col min="12283" max="12283" width="6.28515625" style="837" customWidth="1"/>
    <col min="12284" max="12284" width="72.28515625" style="837" bestFit="1" customWidth="1"/>
    <col min="12285" max="12285" width="15" style="837" customWidth="1"/>
    <col min="12286" max="12286" width="14.85546875" style="837" customWidth="1"/>
    <col min="12287" max="12287" width="8.5703125" style="837" customWidth="1"/>
    <col min="12288" max="12538" width="9.140625" style="837"/>
    <col min="12539" max="12539" width="6.28515625" style="837" customWidth="1"/>
    <col min="12540" max="12540" width="72.28515625" style="837" bestFit="1" customWidth="1"/>
    <col min="12541" max="12541" width="15" style="837" customWidth="1"/>
    <col min="12542" max="12542" width="14.85546875" style="837" customWidth="1"/>
    <col min="12543" max="12543" width="8.5703125" style="837" customWidth="1"/>
    <col min="12544" max="12794" width="9.140625" style="837"/>
    <col min="12795" max="12795" width="6.28515625" style="837" customWidth="1"/>
    <col min="12796" max="12796" width="72.28515625" style="837" bestFit="1" customWidth="1"/>
    <col min="12797" max="12797" width="15" style="837" customWidth="1"/>
    <col min="12798" max="12798" width="14.85546875" style="837" customWidth="1"/>
    <col min="12799" max="12799" width="8.5703125" style="837" customWidth="1"/>
    <col min="12800" max="13050" width="9.140625" style="837"/>
    <col min="13051" max="13051" width="6.28515625" style="837" customWidth="1"/>
    <col min="13052" max="13052" width="72.28515625" style="837" bestFit="1" customWidth="1"/>
    <col min="13053" max="13053" width="15" style="837" customWidth="1"/>
    <col min="13054" max="13054" width="14.85546875" style="837" customWidth="1"/>
    <col min="13055" max="13055" width="8.5703125" style="837" customWidth="1"/>
    <col min="13056" max="13306" width="9.140625" style="837"/>
    <col min="13307" max="13307" width="6.28515625" style="837" customWidth="1"/>
    <col min="13308" max="13308" width="72.28515625" style="837" bestFit="1" customWidth="1"/>
    <col min="13309" max="13309" width="15" style="837" customWidth="1"/>
    <col min="13310" max="13310" width="14.85546875" style="837" customWidth="1"/>
    <col min="13311" max="13311" width="8.5703125" style="837" customWidth="1"/>
    <col min="13312" max="13562" width="9.140625" style="837"/>
    <col min="13563" max="13563" width="6.28515625" style="837" customWidth="1"/>
    <col min="13564" max="13564" width="72.28515625" style="837" bestFit="1" customWidth="1"/>
    <col min="13565" max="13565" width="15" style="837" customWidth="1"/>
    <col min="13566" max="13566" width="14.85546875" style="837" customWidth="1"/>
    <col min="13567" max="13567" width="8.5703125" style="837" customWidth="1"/>
    <col min="13568" max="13818" width="9.140625" style="837"/>
    <col min="13819" max="13819" width="6.28515625" style="837" customWidth="1"/>
    <col min="13820" max="13820" width="72.28515625" style="837" bestFit="1" customWidth="1"/>
    <col min="13821" max="13821" width="15" style="837" customWidth="1"/>
    <col min="13822" max="13822" width="14.85546875" style="837" customWidth="1"/>
    <col min="13823" max="13823" width="8.5703125" style="837" customWidth="1"/>
    <col min="13824" max="14074" width="9.140625" style="837"/>
    <col min="14075" max="14075" width="6.28515625" style="837" customWidth="1"/>
    <col min="14076" max="14076" width="72.28515625" style="837" bestFit="1" customWidth="1"/>
    <col min="14077" max="14077" width="15" style="837" customWidth="1"/>
    <col min="14078" max="14078" width="14.85546875" style="837" customWidth="1"/>
    <col min="14079" max="14079" width="8.5703125" style="837" customWidth="1"/>
    <col min="14080" max="14330" width="9.140625" style="837"/>
    <col min="14331" max="14331" width="6.28515625" style="837" customWidth="1"/>
    <col min="14332" max="14332" width="72.28515625" style="837" bestFit="1" customWidth="1"/>
    <col min="14333" max="14333" width="15" style="837" customWidth="1"/>
    <col min="14334" max="14334" width="14.85546875" style="837" customWidth="1"/>
    <col min="14335" max="14335" width="8.5703125" style="837" customWidth="1"/>
    <col min="14336" max="14586" width="9.140625" style="837"/>
    <col min="14587" max="14587" width="6.28515625" style="837" customWidth="1"/>
    <col min="14588" max="14588" width="72.28515625" style="837" bestFit="1" customWidth="1"/>
    <col min="14589" max="14589" width="15" style="837" customWidth="1"/>
    <col min="14590" max="14590" width="14.85546875" style="837" customWidth="1"/>
    <col min="14591" max="14591" width="8.5703125" style="837" customWidth="1"/>
    <col min="14592" max="14842" width="9.140625" style="837"/>
    <col min="14843" max="14843" width="6.28515625" style="837" customWidth="1"/>
    <col min="14844" max="14844" width="72.28515625" style="837" bestFit="1" customWidth="1"/>
    <col min="14845" max="14845" width="15" style="837" customWidth="1"/>
    <col min="14846" max="14846" width="14.85546875" style="837" customWidth="1"/>
    <col min="14847" max="14847" width="8.5703125" style="837" customWidth="1"/>
    <col min="14848" max="15098" width="9.140625" style="837"/>
    <col min="15099" max="15099" width="6.28515625" style="837" customWidth="1"/>
    <col min="15100" max="15100" width="72.28515625" style="837" bestFit="1" customWidth="1"/>
    <col min="15101" max="15101" width="15" style="837" customWidth="1"/>
    <col min="15102" max="15102" width="14.85546875" style="837" customWidth="1"/>
    <col min="15103" max="15103" width="8.5703125" style="837" customWidth="1"/>
    <col min="15104" max="15354" width="9.140625" style="837"/>
    <col min="15355" max="15355" width="6.28515625" style="837" customWidth="1"/>
    <col min="15356" max="15356" width="72.28515625" style="837" bestFit="1" customWidth="1"/>
    <col min="15357" max="15357" width="15" style="837" customWidth="1"/>
    <col min="15358" max="15358" width="14.85546875" style="837" customWidth="1"/>
    <col min="15359" max="15359" width="8.5703125" style="837" customWidth="1"/>
    <col min="15360" max="15610" width="9.140625" style="837"/>
    <col min="15611" max="15611" width="6.28515625" style="837" customWidth="1"/>
    <col min="15612" max="15612" width="72.28515625" style="837" bestFit="1" customWidth="1"/>
    <col min="15613" max="15613" width="15" style="837" customWidth="1"/>
    <col min="15614" max="15614" width="14.85546875" style="837" customWidth="1"/>
    <col min="15615" max="15615" width="8.5703125" style="837" customWidth="1"/>
    <col min="15616" max="15866" width="9.140625" style="837"/>
    <col min="15867" max="15867" width="6.28515625" style="837" customWidth="1"/>
    <col min="15868" max="15868" width="72.28515625" style="837" bestFit="1" customWidth="1"/>
    <col min="15869" max="15869" width="15" style="837" customWidth="1"/>
    <col min="15870" max="15870" width="14.85546875" style="837" customWidth="1"/>
    <col min="15871" max="15871" width="8.5703125" style="837" customWidth="1"/>
    <col min="15872" max="16122" width="9.140625" style="837"/>
    <col min="16123" max="16123" width="6.28515625" style="837" customWidth="1"/>
    <col min="16124" max="16124" width="72.28515625" style="837" bestFit="1" customWidth="1"/>
    <col min="16125" max="16125" width="15" style="837" customWidth="1"/>
    <col min="16126" max="16126" width="14.85546875" style="837" customWidth="1"/>
    <col min="16127" max="16127" width="8.5703125" style="837" customWidth="1"/>
    <col min="16128" max="16384" width="9.140625" style="837"/>
  </cols>
  <sheetData>
    <row r="1" spans="1:6">
      <c r="A1" s="1041" t="s">
        <v>3355</v>
      </c>
      <c r="B1" s="1041"/>
      <c r="C1" s="879" t="s">
        <v>3483</v>
      </c>
      <c r="D1" s="880" t="s">
        <v>3469</v>
      </c>
    </row>
    <row r="2" spans="1:6">
      <c r="A2" s="838"/>
      <c r="B2" s="838"/>
      <c r="C2" s="881"/>
      <c r="D2" s="882"/>
    </row>
    <row r="3" spans="1:6">
      <c r="A3" s="839" t="s">
        <v>3356</v>
      </c>
      <c r="B3" s="840"/>
      <c r="C3" s="883"/>
      <c r="D3" s="884"/>
    </row>
    <row r="4" spans="1:6">
      <c r="A4" s="841" t="s">
        <v>3357</v>
      </c>
      <c r="B4" s="841" t="s">
        <v>3358</v>
      </c>
      <c r="C4" s="885">
        <f>+'Schema SP'!I122</f>
        <v>77845</v>
      </c>
      <c r="D4" s="937">
        <f>+'Schema SP'!J122</f>
        <v>400964</v>
      </c>
    </row>
    <row r="5" spans="1:6">
      <c r="A5" s="841"/>
      <c r="B5" s="842" t="s">
        <v>3359</v>
      </c>
      <c r="C5" s="886"/>
      <c r="D5" s="938"/>
    </row>
    <row r="6" spans="1:6">
      <c r="A6" s="843" t="s">
        <v>3357</v>
      </c>
      <c r="B6" s="844" t="s">
        <v>3360</v>
      </c>
      <c r="C6" s="887">
        <f>'Alimentazione CE Costi'!H718+'Alimentazione CE Costi'!H719</f>
        <v>15927306.25</v>
      </c>
      <c r="D6" s="939">
        <f>'Alimentazione CE Costi'!I718+'Alimentazione CE Costi'!I719</f>
        <v>0</v>
      </c>
    </row>
    <row r="7" spans="1:6">
      <c r="A7" s="843" t="s">
        <v>3357</v>
      </c>
      <c r="B7" s="844" t="s">
        <v>3361</v>
      </c>
      <c r="C7" s="887">
        <f>'Alimentazione CE Costi'!H721+'Alimentazione CE Costi'!H722+'Alimentazione CE Costi'!H723+'Alimentazione CE Costi'!H724+'Alimentazione CE Costi'!H725</f>
        <v>9203630.8000000007</v>
      </c>
      <c r="D7" s="939">
        <f>'Alimentazione CE Costi'!I721+'Alimentazione CE Costi'!I722+'Alimentazione CE Costi'!I723+'Alimentazione CE Costi'!I724+'Alimentazione CE Costi'!I725</f>
        <v>0</v>
      </c>
    </row>
    <row r="8" spans="1:6">
      <c r="A8" s="843" t="s">
        <v>3357</v>
      </c>
      <c r="B8" s="844" t="s">
        <v>3362</v>
      </c>
      <c r="C8" s="887">
        <f>'Alimentazione CE Costi'!H708+'Alimentazione CE Costi'!H709+'Alimentazione CE Costi'!H710+'Alimentazione CE Costi'!H711+'Alimentazione CE Costi'!H712+'Alimentazione CE Costi'!H713+'Alimentazione CE Costi'!H714+'Alimentazione CE Costi'!H715</f>
        <v>226369.28</v>
      </c>
      <c r="D8" s="939">
        <f>'Alimentazione CE Costi'!I708+'Alimentazione CE Costi'!I709+'Alimentazione CE Costi'!I710+'Alimentazione CE Costi'!I711+'Alimentazione CE Costi'!I712+'Alimentazione CE Costi'!I713+'Alimentazione CE Costi'!I714+'Alimentazione CE Costi'!I715</f>
        <v>0</v>
      </c>
    </row>
    <row r="9" spans="1:6">
      <c r="A9" s="839" t="s">
        <v>3363</v>
      </c>
      <c r="B9" s="845"/>
      <c r="C9" s="888">
        <f>SUM(C6:C8)</f>
        <v>25357306.330000002</v>
      </c>
      <c r="D9" s="940">
        <f>SUM(D6:D8)</f>
        <v>0</v>
      </c>
    </row>
    <row r="10" spans="1:6">
      <c r="A10" s="843" t="s">
        <v>3364</v>
      </c>
      <c r="B10" s="844" t="s">
        <v>3365</v>
      </c>
      <c r="C10" s="887">
        <f>-('Alimentazione CE Ricavi'!H52+'Alimentazione CE Ricavi'!H53+'Alimentazione CE Ricavi'!H211+'Alimentazione CE Ricavi'!H212+'Alimentazione CE Ricavi'!H213+'Alimentazione CE Ricavi'!H214+'Alimentazione CE Ricavi'!H215+'Alimentazione CE Ricavi'!H216)</f>
        <v>-24799092.43</v>
      </c>
      <c r="D10" s="941">
        <f>-('Alimentazione CE Ricavi'!I52+'Alimentazione CE Ricavi'!I53+'Alimentazione CE Ricavi'!I211+'Alimentazione CE Ricavi'!I212+'Alimentazione CE Ricavi'!I213+'Alimentazione CE Ricavi'!I214+'Alimentazione CE Ricavi'!I215+'Alimentazione CE Ricavi'!I216)</f>
        <v>0</v>
      </c>
    </row>
    <row r="11" spans="1:6">
      <c r="A11" s="843" t="s">
        <v>3364</v>
      </c>
      <c r="B11" s="844" t="s">
        <v>3366</v>
      </c>
      <c r="C11" s="887">
        <f>-('Alimentazione CE Ricavi'!H55+'Alimentazione CE Ricavi'!H56+'Alimentazione CE Ricavi'!H57+'Alimentazione CE Ricavi'!H58+'Alimentazione CE Ricavi'!H59)</f>
        <v>-3700678.9799999995</v>
      </c>
      <c r="D11" s="941">
        <f>-('Alimentazione CE Ricavi'!I55+'Alimentazione CE Ricavi'!I56+'Alimentazione CE Ricavi'!I57+'Alimentazione CE Ricavi'!I58+'Alimentazione CE Ricavi'!I59)</f>
        <v>0</v>
      </c>
      <c r="E11" s="863"/>
    </row>
    <row r="12" spans="1:6">
      <c r="A12" s="839" t="s">
        <v>3367</v>
      </c>
      <c r="B12" s="845"/>
      <c r="C12" s="888">
        <f>SUM(C10:C11)</f>
        <v>-28499771.41</v>
      </c>
      <c r="D12" s="940">
        <f>SUM(D10:D11)</f>
        <v>0</v>
      </c>
    </row>
    <row r="13" spans="1:6">
      <c r="A13" s="843" t="s">
        <v>3357</v>
      </c>
      <c r="B13" s="843" t="s">
        <v>3368</v>
      </c>
      <c r="C13" s="887">
        <f>'Alimentazione CE Costi'!H822+'Alimentazione CE Costi'!H823</f>
        <v>203552.46000000002</v>
      </c>
      <c r="D13" s="939">
        <f>'Alimentazione CE Costi'!I822+'Alimentazione CE Costi'!I823</f>
        <v>0</v>
      </c>
    </row>
    <row r="14" spans="1:6">
      <c r="A14" s="843" t="s">
        <v>3364</v>
      </c>
      <c r="B14" s="844" t="s">
        <v>3369</v>
      </c>
      <c r="C14" s="887">
        <f>'Alimentazione SP P'!H156-'Alimentazione SP P'!I156-'Rendiconto finanziario'!C13</f>
        <v>-70586.449999999779</v>
      </c>
      <c r="D14" s="939">
        <v>-364763</v>
      </c>
      <c r="E14" s="863"/>
      <c r="F14" s="847"/>
    </row>
    <row r="15" spans="1:6">
      <c r="A15" s="843" t="s">
        <v>3357</v>
      </c>
      <c r="B15" s="843" t="s">
        <v>3370</v>
      </c>
      <c r="C15" s="889">
        <f>'Alimentazione CE Costi'!H465+'Alimentazione CE Costi'!H482+'Alimentazione CE Costi'!H497+'Alimentazione CE Costi'!H507+'Alimentazione CE Costi'!H520+'Alimentazione CE Costi'!H531+'Alimentazione CE Costi'!H544+'Alimentazione CE Costi'!H554+'Alimentazione CE Costi'!H567+'Alimentazione CE Costi'!H578+'Alimentazione CE Costi'!H591+'Alimentazione CE Costi'!H601+'Alimentazione CE Costi'!H614+'Alimentazione CE Costi'!H625+'Alimentazione CE Costi'!H638+'Alimentazione CE Costi'!H648+'Alimentazione CE Costi'!H661+'Alimentazione CE Costi'!H672</f>
        <v>0</v>
      </c>
      <c r="D15" s="942">
        <f>'Alimentazione CE Costi'!I465+'Alimentazione CE Costi'!I482+'Alimentazione CE Costi'!I497+'Alimentazione CE Costi'!I507+'Alimentazione CE Costi'!I520+'Alimentazione CE Costi'!I531+'Alimentazione CE Costi'!I544+'Alimentazione CE Costi'!I554+'Alimentazione CE Costi'!I567+'Alimentazione CE Costi'!I578+'Alimentazione CE Costi'!I591+'Alimentazione CE Costi'!I601+'Alimentazione CE Costi'!I614+'Alimentazione CE Costi'!I625+'Alimentazione CE Costi'!I638+'Alimentazione CE Costi'!I648+'Alimentazione CE Costi'!I661+'Alimentazione CE Costi'!I672</f>
        <v>0</v>
      </c>
      <c r="F15" s="847"/>
    </row>
    <row r="16" spans="1:6">
      <c r="A16" s="843" t="s">
        <v>3364</v>
      </c>
      <c r="B16" s="844" t="s">
        <v>3371</v>
      </c>
      <c r="C16" s="887">
        <f>'Alimentazione SP P'!H157-'Alimentazione SP P'!I157-'Rendiconto finanziario'!C15</f>
        <v>0</v>
      </c>
      <c r="D16" s="939"/>
    </row>
    <row r="17" spans="1:6">
      <c r="A17" s="839" t="s">
        <v>3372</v>
      </c>
      <c r="B17" s="845"/>
      <c r="C17" s="888">
        <f>SUM(C13:C16)</f>
        <v>132966.01000000024</v>
      </c>
      <c r="D17" s="940">
        <f>SUM(D13:D16)</f>
        <v>-364763</v>
      </c>
      <c r="F17" s="846"/>
    </row>
    <row r="18" spans="1:6">
      <c r="A18" s="843" t="s">
        <v>3373</v>
      </c>
      <c r="B18" s="844" t="s">
        <v>3374</v>
      </c>
      <c r="C18" s="887">
        <v>0</v>
      </c>
      <c r="D18" s="939"/>
    </row>
    <row r="19" spans="1:6">
      <c r="A19" s="843" t="s">
        <v>3357</v>
      </c>
      <c r="B19" s="843" t="s">
        <v>3375</v>
      </c>
      <c r="C19" s="887">
        <f>SUM('Alimentazione CE Costi'!H729:H791)</f>
        <v>497096.97</v>
      </c>
      <c r="D19" s="939">
        <f>SUM('Alimentazione CE Costi'!I729:I791)</f>
        <v>0</v>
      </c>
    </row>
    <row r="20" spans="1:6">
      <c r="A20" s="848" t="s">
        <v>3364</v>
      </c>
      <c r="B20" s="848" t="s">
        <v>3376</v>
      </c>
      <c r="C20" s="887">
        <f>SUM('Alimentazione SP P'!H50:H114)-SUM('Alimentazione SP P'!I50:I114)-'Rendiconto finanziario'!C19</f>
        <v>-6666.2200000009034</v>
      </c>
      <c r="D20" s="939">
        <v>-122108</v>
      </c>
      <c r="F20" s="846"/>
    </row>
    <row r="21" spans="1:6">
      <c r="A21" s="839" t="s">
        <v>3377</v>
      </c>
      <c r="B21" s="845"/>
      <c r="C21" s="888">
        <f>SUM(C18:C20)</f>
        <v>490430.74999999907</v>
      </c>
      <c r="D21" s="940">
        <f>SUM(D18:D20)</f>
        <v>-122108</v>
      </c>
      <c r="F21" s="846"/>
    </row>
    <row r="22" spans="1:6">
      <c r="A22" s="843" t="s">
        <v>3357</v>
      </c>
      <c r="B22" s="843" t="s">
        <v>3378</v>
      </c>
      <c r="C22" s="889">
        <f>SUM('Alimentazione CE Costi'!H811:H843)+'Alimentazione CE Costi'!H894+'Alimentazione CE Costi'!H466+'Alimentazione CE Costi'!H483+'Alimentazione CE Costi'!H498+'Alimentazione CE Costi'!H508+'Alimentazione CE Costi'!H521+'Alimentazione CE Costi'!H532+'Alimentazione CE Costi'!H545+'Alimentazione CE Costi'!H555+'Alimentazione CE Costi'!H568+'Alimentazione CE Costi'!H579+'Alimentazione CE Costi'!H592+'Alimentazione CE Costi'!H602+'Alimentazione CE Costi'!H615+'Alimentazione CE Costi'!H626+'Alimentazione CE Costi'!H639+'Alimentazione CE Costi'!H649+'Alimentazione CE Costi'!H662+'Alimentazione CE Costi'!H673</f>
        <v>34621415.759999998</v>
      </c>
      <c r="D22" s="942">
        <f>SUM('Alimentazione CE Costi'!I811:I843)+'Alimentazione CE Costi'!I894+'Alimentazione CE Costi'!I466+'Alimentazione CE Costi'!I483+'Alimentazione CE Costi'!I498+'Alimentazione CE Costi'!I508+'Alimentazione CE Costi'!I521+'Alimentazione CE Costi'!I532+'Alimentazione CE Costi'!I545+'Alimentazione CE Costi'!I555+'Alimentazione CE Costi'!I568+'Alimentazione CE Costi'!I579+'Alimentazione CE Costi'!I592+'Alimentazione CE Costi'!I602+'Alimentazione CE Costi'!I615+'Alimentazione CE Costi'!I626+'Alimentazione CE Costi'!I639+'Alimentazione CE Costi'!I649+'Alimentazione CE Costi'!I662+'Alimentazione CE Costi'!I673</f>
        <v>0</v>
      </c>
      <c r="F22" s="846"/>
    </row>
    <row r="23" spans="1:6">
      <c r="A23" s="843" t="s">
        <v>3364</v>
      </c>
      <c r="B23" s="844" t="s">
        <v>3379</v>
      </c>
      <c r="C23" s="887">
        <f>'Schema SP'!K130-'Rendiconto finanziario'!C22-'Rendiconto finanziario'!C11</f>
        <v>-5197976.7799999984</v>
      </c>
      <c r="D23" s="939">
        <v>-2360003</v>
      </c>
      <c r="F23" s="849"/>
    </row>
    <row r="24" spans="1:6">
      <c r="A24" s="839" t="s">
        <v>3380</v>
      </c>
      <c r="B24" s="845"/>
      <c r="C24" s="888">
        <f>SUM(C22:C23)</f>
        <v>29423438.98</v>
      </c>
      <c r="D24" s="940">
        <f>SUM(D22:D23)</f>
        <v>-2360003</v>
      </c>
      <c r="F24" s="846"/>
    </row>
    <row r="25" spans="1:6">
      <c r="A25" s="850" t="s">
        <v>3381</v>
      </c>
      <c r="B25" s="850"/>
      <c r="C25" s="891">
        <f>C4+C9+C12+C17+C21+C24</f>
        <v>26982215.66</v>
      </c>
      <c r="D25" s="943">
        <f>D4+D9+D12+D17+D21+D24</f>
        <v>-2445910</v>
      </c>
    </row>
    <row r="26" spans="1:6" ht="15">
      <c r="A26" s="851"/>
      <c r="B26" s="851"/>
      <c r="C26" s="892"/>
      <c r="D26" s="944"/>
    </row>
    <row r="27" spans="1:6" ht="22.5">
      <c r="A27" s="843" t="s">
        <v>3382</v>
      </c>
      <c r="B27" s="852" t="s">
        <v>3383</v>
      </c>
      <c r="C27" s="887">
        <f>'Schema SP'!K139</f>
        <v>13369497</v>
      </c>
      <c r="D27" s="939">
        <v>8149920</v>
      </c>
    </row>
    <row r="28" spans="1:6">
      <c r="A28" s="843" t="s">
        <v>3382</v>
      </c>
      <c r="B28" s="853" t="s">
        <v>3384</v>
      </c>
      <c r="C28" s="887">
        <f>'Schema SP'!K140</f>
        <v>-2080303</v>
      </c>
      <c r="D28" s="939">
        <v>733277</v>
      </c>
    </row>
    <row r="29" spans="1:6">
      <c r="A29" s="843" t="s">
        <v>3382</v>
      </c>
      <c r="B29" s="853" t="s">
        <v>3385</v>
      </c>
      <c r="C29" s="887">
        <f>'Schema SP'!K141</f>
        <v>1664051</v>
      </c>
      <c r="D29" s="939">
        <v>2264418</v>
      </c>
    </row>
    <row r="30" spans="1:6">
      <c r="A30" s="843" t="s">
        <v>3382</v>
      </c>
      <c r="B30" s="853" t="s">
        <v>3386</v>
      </c>
      <c r="C30" s="890"/>
      <c r="D30" s="945"/>
    </row>
    <row r="31" spans="1:6">
      <c r="A31" s="843" t="s">
        <v>3382</v>
      </c>
      <c r="B31" s="853" t="s">
        <v>3387</v>
      </c>
      <c r="C31" s="887">
        <f>'Schema SP'!K149-'Rendiconto finanziario'!C94</f>
        <v>20053714</v>
      </c>
      <c r="D31" s="939">
        <v>-3806454</v>
      </c>
    </row>
    <row r="32" spans="1:6">
      <c r="A32" s="843" t="s">
        <v>3382</v>
      </c>
      <c r="B32" s="853" t="s">
        <v>3388</v>
      </c>
      <c r="C32" s="887">
        <f>'Schema SP'!K151</f>
        <v>12957638</v>
      </c>
      <c r="D32" s="939">
        <v>-1717626</v>
      </c>
    </row>
    <row r="33" spans="1:6">
      <c r="A33" s="843" t="s">
        <v>3382</v>
      </c>
      <c r="B33" s="853" t="s">
        <v>3389</v>
      </c>
      <c r="C33" s="887">
        <f>'Schema SP'!K153</f>
        <v>6024847</v>
      </c>
      <c r="D33" s="939">
        <v>452271</v>
      </c>
    </row>
    <row r="34" spans="1:6">
      <c r="A34" s="843" t="s">
        <v>3382</v>
      </c>
      <c r="B34" s="853" t="s">
        <v>3390</v>
      </c>
      <c r="C34" s="887">
        <f>'Schema SP'!K138+'Schema SP'!K148+'Schema SP'!K152+'Schema SP'!K154-'Rendiconto finanziario'!C30</f>
        <v>-1704530</v>
      </c>
      <c r="D34" s="939">
        <v>9503419</v>
      </c>
    </row>
    <row r="35" spans="1:6">
      <c r="A35" s="841" t="s">
        <v>3382</v>
      </c>
      <c r="B35" s="841" t="s">
        <v>3391</v>
      </c>
      <c r="C35" s="885">
        <f>SUM(C27:C34)</f>
        <v>50284914</v>
      </c>
      <c r="D35" s="937">
        <f>SUM(D27:D34)</f>
        <v>15579225</v>
      </c>
      <c r="E35" s="863"/>
      <c r="F35" s="846"/>
    </row>
    <row r="36" spans="1:6">
      <c r="A36" s="841" t="s">
        <v>3382</v>
      </c>
      <c r="B36" s="841" t="s">
        <v>3392</v>
      </c>
      <c r="C36" s="882">
        <f>'Schema SP'!K157+'Schema SP'!K158</f>
        <v>-8230</v>
      </c>
      <c r="D36" s="946">
        <v>1720</v>
      </c>
      <c r="E36" s="863"/>
    </row>
    <row r="37" spans="1:6">
      <c r="A37" s="843" t="s">
        <v>3382</v>
      </c>
      <c r="B37" s="853" t="s">
        <v>3393</v>
      </c>
      <c r="C37" s="887">
        <v>0</v>
      </c>
      <c r="D37" s="939"/>
    </row>
    <row r="38" spans="1:6">
      <c r="A38" s="843" t="s">
        <v>3382</v>
      </c>
      <c r="B38" s="853" t="s">
        <v>3394</v>
      </c>
      <c r="C38" s="887">
        <f>-('Schema SP'!K52-'Schema SP'!K56)-'Schema SP'!K48</f>
        <v>226811</v>
      </c>
      <c r="D38" s="939">
        <v>-166076</v>
      </c>
    </row>
    <row r="39" spans="1:6">
      <c r="A39" s="843" t="s">
        <v>3382</v>
      </c>
      <c r="B39" s="853" t="s">
        <v>3395</v>
      </c>
      <c r="C39" s="887">
        <v>0</v>
      </c>
      <c r="D39" s="939">
        <v>0</v>
      </c>
    </row>
    <row r="40" spans="1:6">
      <c r="A40" s="843" t="s">
        <v>3382</v>
      </c>
      <c r="B40" s="853" t="s">
        <v>3396</v>
      </c>
      <c r="C40" s="887">
        <v>0</v>
      </c>
      <c r="D40" s="939">
        <v>0</v>
      </c>
    </row>
    <row r="41" spans="1:6">
      <c r="A41" s="843" t="s">
        <v>3382</v>
      </c>
      <c r="B41" s="853" t="s">
        <v>3397</v>
      </c>
      <c r="C41" s="887">
        <v>0</v>
      </c>
      <c r="D41" s="939">
        <v>0</v>
      </c>
    </row>
    <row r="42" spans="1:6">
      <c r="A42" s="843" t="s">
        <v>3382</v>
      </c>
      <c r="B42" s="853" t="s">
        <v>3398</v>
      </c>
      <c r="C42" s="887">
        <v>0</v>
      </c>
      <c r="D42" s="939">
        <v>0</v>
      </c>
    </row>
    <row r="43" spans="1:6">
      <c r="A43" s="843" t="s">
        <v>3382</v>
      </c>
      <c r="B43" s="853" t="s">
        <v>3399</v>
      </c>
      <c r="C43" s="887">
        <v>0</v>
      </c>
      <c r="D43" s="939">
        <v>0</v>
      </c>
    </row>
    <row r="44" spans="1:6">
      <c r="A44" s="843"/>
      <c r="B44" s="854"/>
      <c r="C44" s="887"/>
      <c r="D44" s="939"/>
    </row>
    <row r="45" spans="1:6">
      <c r="A45" s="843" t="s">
        <v>3382</v>
      </c>
      <c r="B45" s="853" t="s">
        <v>3400</v>
      </c>
      <c r="C45" s="887">
        <f>-'Schema SP'!K59</f>
        <v>-1955113</v>
      </c>
      <c r="D45" s="939">
        <v>1054964</v>
      </c>
    </row>
    <row r="46" spans="1:6">
      <c r="A46" s="843" t="s">
        <v>3382</v>
      </c>
      <c r="B46" s="853" t="s">
        <v>3401</v>
      </c>
      <c r="C46" s="887">
        <f>-'Schema SP'!K71</f>
        <v>215115</v>
      </c>
      <c r="D46" s="939">
        <v>31665</v>
      </c>
    </row>
    <row r="47" spans="1:6">
      <c r="A47" s="843" t="s">
        <v>3382</v>
      </c>
      <c r="B47" s="853" t="s">
        <v>3402</v>
      </c>
      <c r="C47" s="887">
        <f>-'Schema SP'!K72</f>
        <v>-10573659</v>
      </c>
      <c r="D47" s="939">
        <v>1049656</v>
      </c>
    </row>
    <row r="48" spans="1:6">
      <c r="A48" s="843" t="s">
        <v>3382</v>
      </c>
      <c r="B48" s="853" t="s">
        <v>3403</v>
      </c>
      <c r="C48" s="890"/>
      <c r="D48" s="945"/>
    </row>
    <row r="49" spans="1:6">
      <c r="A49" s="843" t="s">
        <v>3382</v>
      </c>
      <c r="B49" s="853" t="s">
        <v>3404</v>
      </c>
      <c r="C49" s="887">
        <f>-'Schema SP'!K76</f>
        <v>-36329</v>
      </c>
      <c r="D49" s="939">
        <v>36675</v>
      </c>
    </row>
    <row r="50" spans="1:6">
      <c r="A50" s="843" t="s">
        <v>3382</v>
      </c>
      <c r="B50" s="853" t="s">
        <v>3405</v>
      </c>
      <c r="C50" s="887" t="e">
        <f>-('Schema SP'!K77+'Schema SP'!K75+'Schema SP'!K57+'Schema SP'!K78)-'Rendiconto finanziario'!C48+'Rendiconto finanziario'!#REF!</f>
        <v>#REF!</v>
      </c>
      <c r="D50" s="939">
        <v>-1473949</v>
      </c>
    </row>
    <row r="51" spans="1:6">
      <c r="A51" s="841" t="s">
        <v>3382</v>
      </c>
      <c r="B51" s="841" t="s">
        <v>3406</v>
      </c>
      <c r="C51" s="882" t="e">
        <f>SUM(C37:C50)</f>
        <v>#REF!</v>
      </c>
      <c r="D51" s="946">
        <f>SUM(D37:D50)</f>
        <v>532935</v>
      </c>
      <c r="E51" s="864" t="s">
        <v>3407</v>
      </c>
      <c r="F51" s="846"/>
    </row>
    <row r="52" spans="1:6">
      <c r="A52" s="848" t="s">
        <v>3382</v>
      </c>
      <c r="B52" s="853" t="s">
        <v>3408</v>
      </c>
      <c r="C52" s="889">
        <f>-('Schema SP'!K41+'Schema SP'!K42)</f>
        <v>-1493200</v>
      </c>
      <c r="D52" s="942">
        <v>4291343</v>
      </c>
    </row>
    <row r="53" spans="1:6">
      <c r="A53" s="848" t="s">
        <v>3382</v>
      </c>
      <c r="B53" s="853" t="s">
        <v>3409</v>
      </c>
      <c r="C53" s="889">
        <f>-('Schema SP'!K43+'Schema SP'!K44)</f>
        <v>0</v>
      </c>
      <c r="D53" s="942"/>
    </row>
    <row r="54" spans="1:6">
      <c r="A54" s="841" t="s">
        <v>3382</v>
      </c>
      <c r="B54" s="855" t="s">
        <v>3410</v>
      </c>
      <c r="C54" s="882">
        <f>SUM(C52:C53)</f>
        <v>-1493200</v>
      </c>
      <c r="D54" s="946">
        <f>SUM(D52:D53)</f>
        <v>4291343</v>
      </c>
      <c r="F54" s="846"/>
    </row>
    <row r="55" spans="1:6">
      <c r="A55" s="841" t="s">
        <v>3382</v>
      </c>
      <c r="B55" s="841" t="s">
        <v>3411</v>
      </c>
      <c r="C55" s="882">
        <f>-('Schema SP'!K88+'Schema SP'!K89)</f>
        <v>320381</v>
      </c>
      <c r="D55" s="946">
        <v>-120415</v>
      </c>
      <c r="F55" s="846"/>
    </row>
    <row r="56" spans="1:6">
      <c r="A56" s="850" t="s">
        <v>3412</v>
      </c>
      <c r="B56" s="850"/>
      <c r="C56" s="891" t="e">
        <f>C35+C36+C51+C54+C55+C25</f>
        <v>#REF!</v>
      </c>
      <c r="D56" s="943">
        <f>D35+D36+D51+D54+D55+D25</f>
        <v>17838898</v>
      </c>
    </row>
    <row r="57" spans="1:6" ht="15">
      <c r="A57" s="851"/>
      <c r="B57" s="851"/>
      <c r="C57" s="892"/>
      <c r="D57" s="944"/>
    </row>
    <row r="58" spans="1:6">
      <c r="A58" s="839" t="s">
        <v>3413</v>
      </c>
      <c r="B58" s="840"/>
      <c r="C58" s="883"/>
      <c r="D58" s="947"/>
    </row>
    <row r="59" spans="1:6">
      <c r="A59" s="843" t="s">
        <v>3364</v>
      </c>
      <c r="B59" s="844" t="s">
        <v>3414</v>
      </c>
      <c r="C59" s="890"/>
      <c r="D59" s="945"/>
    </row>
    <row r="60" spans="1:6">
      <c r="A60" s="843" t="s">
        <v>3364</v>
      </c>
      <c r="B60" s="844" t="s">
        <v>3415</v>
      </c>
      <c r="C60" s="890"/>
      <c r="D60" s="945"/>
    </row>
    <row r="61" spans="1:6">
      <c r="A61" s="843" t="s">
        <v>3364</v>
      </c>
      <c r="B61" s="844" t="s">
        <v>3416</v>
      </c>
      <c r="C61" s="890"/>
      <c r="D61" s="945"/>
    </row>
    <row r="62" spans="1:6">
      <c r="A62" s="843" t="s">
        <v>3364</v>
      </c>
      <c r="B62" s="844" t="s">
        <v>3417</v>
      </c>
      <c r="C62" s="890">
        <v>-54832</v>
      </c>
      <c r="D62" s="945"/>
    </row>
    <row r="63" spans="1:6">
      <c r="A63" s="843" t="s">
        <v>3364</v>
      </c>
      <c r="B63" s="844" t="s">
        <v>3418</v>
      </c>
      <c r="C63" s="890">
        <v>-176774</v>
      </c>
      <c r="D63" s="945"/>
    </row>
    <row r="64" spans="1:6">
      <c r="A64" s="841" t="s">
        <v>3364</v>
      </c>
      <c r="B64" s="855" t="s">
        <v>3419</v>
      </c>
      <c r="C64" s="882">
        <f>SUM(C59:C63)</f>
        <v>-231606</v>
      </c>
      <c r="D64" s="946">
        <f>SUM(D59:D63)</f>
        <v>0</v>
      </c>
    </row>
    <row r="65" spans="1:4">
      <c r="A65" s="843" t="s">
        <v>3357</v>
      </c>
      <c r="B65" s="844" t="s">
        <v>3420</v>
      </c>
      <c r="C65" s="890"/>
      <c r="D65" s="945"/>
    </row>
    <row r="66" spans="1:4">
      <c r="A66" s="843" t="s">
        <v>3357</v>
      </c>
      <c r="B66" s="844" t="s">
        <v>3421</v>
      </c>
      <c r="C66" s="890"/>
      <c r="D66" s="945"/>
    </row>
    <row r="67" spans="1:4">
      <c r="A67" s="843" t="s">
        <v>3357</v>
      </c>
      <c r="B67" s="844" t="s">
        <v>3422</v>
      </c>
      <c r="C67" s="890"/>
      <c r="D67" s="945"/>
    </row>
    <row r="68" spans="1:4">
      <c r="A68" s="843" t="s">
        <v>3357</v>
      </c>
      <c r="B68" s="844" t="s">
        <v>3423</v>
      </c>
      <c r="C68" s="890"/>
      <c r="D68" s="945"/>
    </row>
    <row r="69" spans="1:4">
      <c r="A69" s="843" t="s">
        <v>3357</v>
      </c>
      <c r="B69" s="844" t="s">
        <v>3424</v>
      </c>
      <c r="C69" s="890"/>
      <c r="D69" s="945"/>
    </row>
    <row r="70" spans="1:4">
      <c r="A70" s="841" t="s">
        <v>3357</v>
      </c>
      <c r="B70" s="855" t="s">
        <v>3425</v>
      </c>
      <c r="C70" s="882">
        <f>SUM(C65:C69)</f>
        <v>0</v>
      </c>
      <c r="D70" s="946">
        <f>SUM(D65:D69)</f>
        <v>0</v>
      </c>
    </row>
    <row r="71" spans="1:4">
      <c r="A71" s="843" t="s">
        <v>3364</v>
      </c>
      <c r="B71" s="844" t="s">
        <v>3426</v>
      </c>
      <c r="C71" s="890"/>
      <c r="D71" s="945"/>
    </row>
    <row r="72" spans="1:4">
      <c r="A72" s="843" t="s">
        <v>3364</v>
      </c>
      <c r="B72" s="844" t="s">
        <v>3427</v>
      </c>
      <c r="C72" s="890">
        <v>-2564483</v>
      </c>
      <c r="D72" s="945"/>
    </row>
    <row r="73" spans="1:4">
      <c r="A73" s="843" t="s">
        <v>3364</v>
      </c>
      <c r="B73" s="844" t="s">
        <v>3428</v>
      </c>
      <c r="C73" s="890">
        <v>-742855</v>
      </c>
      <c r="D73" s="945"/>
    </row>
    <row r="74" spans="1:4">
      <c r="A74" s="843" t="s">
        <v>3364</v>
      </c>
      <c r="B74" s="844" t="s">
        <v>3429</v>
      </c>
      <c r="C74" s="890">
        <v>-10395345</v>
      </c>
      <c r="D74" s="945"/>
    </row>
    <row r="75" spans="1:4">
      <c r="A75" s="843" t="s">
        <v>3364</v>
      </c>
      <c r="B75" s="844" t="s">
        <v>3430</v>
      </c>
      <c r="C75" s="890">
        <v>-834707</v>
      </c>
      <c r="D75" s="945"/>
    </row>
    <row r="76" spans="1:4">
      <c r="A76" s="843" t="s">
        <v>3364</v>
      </c>
      <c r="B76" s="844" t="s">
        <v>3431</v>
      </c>
      <c r="C76" s="890">
        <v>-504769</v>
      </c>
      <c r="D76" s="945"/>
    </row>
    <row r="77" spans="1:4">
      <c r="A77" s="843" t="s">
        <v>3364</v>
      </c>
      <c r="B77" s="844" t="s">
        <v>3432</v>
      </c>
      <c r="C77" s="890">
        <v>-1040651</v>
      </c>
      <c r="D77" s="945"/>
    </row>
    <row r="78" spans="1:4">
      <c r="A78" s="843" t="s">
        <v>3364</v>
      </c>
      <c r="B78" s="844" t="s">
        <v>3433</v>
      </c>
      <c r="C78" s="890">
        <v>-6006258</v>
      </c>
      <c r="D78" s="945"/>
    </row>
    <row r="79" spans="1:4">
      <c r="A79" s="841" t="s">
        <v>3364</v>
      </c>
      <c r="B79" s="855" t="s">
        <v>3434</v>
      </c>
      <c r="C79" s="882">
        <f>SUM(C71:C78)</f>
        <v>-22089068</v>
      </c>
      <c r="D79" s="946">
        <f>SUM(D71:D78)</f>
        <v>0</v>
      </c>
    </row>
    <row r="80" spans="1:4">
      <c r="A80" s="843" t="s">
        <v>3357</v>
      </c>
      <c r="B80" s="844" t="s">
        <v>3435</v>
      </c>
      <c r="C80" s="890"/>
      <c r="D80" s="945"/>
    </row>
    <row r="81" spans="1:5">
      <c r="A81" s="843" t="s">
        <v>3357</v>
      </c>
      <c r="B81" s="844" t="s">
        <v>3436</v>
      </c>
      <c r="C81" s="890"/>
      <c r="D81" s="945"/>
    </row>
    <row r="82" spans="1:5">
      <c r="A82" s="843" t="s">
        <v>3357</v>
      </c>
      <c r="B82" s="844" t="s">
        <v>3437</v>
      </c>
      <c r="C82" s="890"/>
      <c r="D82" s="945"/>
    </row>
    <row r="83" spans="1:5">
      <c r="A83" s="843" t="s">
        <v>3357</v>
      </c>
      <c r="B83" s="844" t="s">
        <v>3438</v>
      </c>
      <c r="C83" s="890">
        <v>22755</v>
      </c>
      <c r="D83" s="945"/>
    </row>
    <row r="84" spans="1:5">
      <c r="A84" s="843" t="s">
        <v>3357</v>
      </c>
      <c r="B84" s="844" t="s">
        <v>3439</v>
      </c>
      <c r="C84" s="890"/>
      <c r="D84" s="945"/>
    </row>
    <row r="85" spans="1:5">
      <c r="A85" s="843" t="s">
        <v>3357</v>
      </c>
      <c r="B85" s="844" t="s">
        <v>3440</v>
      </c>
      <c r="C85" s="890"/>
      <c r="D85" s="945"/>
    </row>
    <row r="86" spans="1:5">
      <c r="A86" s="843" t="s">
        <v>3357</v>
      </c>
      <c r="B86" s="844" t="s">
        <v>3441</v>
      </c>
      <c r="C86" s="890"/>
      <c r="D86" s="945"/>
    </row>
    <row r="87" spans="1:5">
      <c r="A87" s="841" t="s">
        <v>3357</v>
      </c>
      <c r="B87" s="855" t="s">
        <v>3442</v>
      </c>
      <c r="C87" s="882">
        <f>SUM(C80:C86)</f>
        <v>22755</v>
      </c>
      <c r="D87" s="946">
        <f>SUM(D80:D86)</f>
        <v>0</v>
      </c>
    </row>
    <row r="88" spans="1:5">
      <c r="A88" s="843" t="s">
        <v>3364</v>
      </c>
      <c r="B88" s="844" t="s">
        <v>3443</v>
      </c>
      <c r="C88" s="890"/>
      <c r="D88" s="945"/>
    </row>
    <row r="89" spans="1:5">
      <c r="A89" s="843" t="s">
        <v>3364</v>
      </c>
      <c r="B89" s="844" t="s">
        <v>3444</v>
      </c>
      <c r="C89" s="890"/>
      <c r="D89" s="945"/>
    </row>
    <row r="90" spans="1:5">
      <c r="A90" s="841" t="s">
        <v>3364</v>
      </c>
      <c r="B90" s="855" t="s">
        <v>3445</v>
      </c>
      <c r="C90" s="882">
        <f>SUM(C88:C89)</f>
        <v>0</v>
      </c>
      <c r="D90" s="946">
        <f>SUM(D88:D89)</f>
        <v>0</v>
      </c>
    </row>
    <row r="91" spans="1:5">
      <c r="A91" s="843" t="s">
        <v>3357</v>
      </c>
      <c r="B91" s="844" t="s">
        <v>3446</v>
      </c>
      <c r="C91" s="890"/>
      <c r="D91" s="945"/>
    </row>
    <row r="92" spans="1:5">
      <c r="A92" s="843" t="s">
        <v>3357</v>
      </c>
      <c r="B92" s="844" t="s">
        <v>3447</v>
      </c>
      <c r="C92" s="890"/>
      <c r="D92" s="945"/>
    </row>
    <row r="93" spans="1:5">
      <c r="A93" s="841" t="s">
        <v>3357</v>
      </c>
      <c r="B93" s="855" t="s">
        <v>3448</v>
      </c>
      <c r="C93" s="882">
        <f>SUM(C91:C92)</f>
        <v>0</v>
      </c>
      <c r="D93" s="946">
        <f>SUM(D91:D92)</f>
        <v>0</v>
      </c>
    </row>
    <row r="94" spans="1:5">
      <c r="A94" s="841" t="s">
        <v>3373</v>
      </c>
      <c r="B94" s="855" t="s">
        <v>3449</v>
      </c>
      <c r="C94" s="894"/>
      <c r="D94" s="948"/>
    </row>
    <row r="95" spans="1:5">
      <c r="A95" s="850" t="s">
        <v>3450</v>
      </c>
      <c r="B95" s="850"/>
      <c r="C95" s="891">
        <f>C64+C70+C79+C87+C90+C93+C94</f>
        <v>-22297919</v>
      </c>
      <c r="D95" s="943">
        <f>D64+D70+D79+D87+D90+D93+D94</f>
        <v>0</v>
      </c>
      <c r="E95" s="862" t="s">
        <v>3451</v>
      </c>
    </row>
    <row r="96" spans="1:5" ht="15">
      <c r="A96" s="851"/>
      <c r="B96" s="851"/>
      <c r="C96" s="892"/>
      <c r="D96" s="944"/>
    </row>
    <row r="97" spans="1:5">
      <c r="A97" s="839" t="s">
        <v>3452</v>
      </c>
      <c r="B97" s="840"/>
      <c r="C97" s="883"/>
      <c r="D97" s="947"/>
    </row>
    <row r="98" spans="1:5">
      <c r="A98" s="843" t="s">
        <v>3382</v>
      </c>
      <c r="B98" s="843" t="s">
        <v>3453</v>
      </c>
      <c r="C98" s="887">
        <f>-('Schema SP'!K51+'Schema SP'!K56)</f>
        <v>0</v>
      </c>
      <c r="D98" s="945"/>
    </row>
    <row r="99" spans="1:5">
      <c r="A99" s="843" t="s">
        <v>3382</v>
      </c>
      <c r="B99" s="843" t="s">
        <v>3454</v>
      </c>
      <c r="C99" s="887">
        <f>-('Schema SP'!K67+'Schema SP'!K31)</f>
        <v>-2357734</v>
      </c>
      <c r="D99" s="945">
        <v>-112930531</v>
      </c>
    </row>
    <row r="100" spans="1:5">
      <c r="A100" s="843" t="s">
        <v>3382</v>
      </c>
      <c r="B100" s="843" t="s">
        <v>3455</v>
      </c>
      <c r="C100" s="887">
        <f>-'Schema SP'!K68</f>
        <v>0</v>
      </c>
      <c r="D100" s="945"/>
    </row>
    <row r="101" spans="1:5">
      <c r="A101" s="843" t="s">
        <v>3382</v>
      </c>
      <c r="B101" s="843" t="s">
        <v>3456</v>
      </c>
      <c r="C101" s="887">
        <f>-'Schema SP'!K69</f>
        <v>0</v>
      </c>
      <c r="D101" s="945"/>
    </row>
    <row r="102" spans="1:5">
      <c r="A102" s="843" t="s">
        <v>3382</v>
      </c>
      <c r="B102" s="843" t="s">
        <v>3457</v>
      </c>
      <c r="C102" s="887">
        <f>-'Schema SP'!K70</f>
        <v>0</v>
      </c>
      <c r="D102" s="945"/>
      <c r="E102" s="863"/>
    </row>
    <row r="103" spans="1:5">
      <c r="A103" s="841" t="s">
        <v>3357</v>
      </c>
      <c r="B103" s="841" t="s">
        <v>3458</v>
      </c>
      <c r="C103" s="882">
        <f>'Schema SP'!K108</f>
        <v>0</v>
      </c>
      <c r="D103" s="946"/>
    </row>
    <row r="104" spans="1:5">
      <c r="A104" s="843" t="s">
        <v>3357</v>
      </c>
      <c r="B104" s="843" t="s">
        <v>3459</v>
      </c>
      <c r="C104" s="893">
        <f>SUM('Alimentazione SP P'!H6:H18)+'Alimentazione SP P'!H26+'Alimentazione SP P'!H27-SUM('Alimentazione SP P'!I6:I18)-'Alimentazione SP P'!I26-'Alimentazione SP P'!I27-'Rendiconto finanziario'!C10</f>
        <v>28525629.110000066</v>
      </c>
      <c r="D104" s="945">
        <v>141029105</v>
      </c>
    </row>
    <row r="105" spans="1:5">
      <c r="A105" s="843" t="s">
        <v>3382</v>
      </c>
      <c r="B105" s="843" t="s">
        <v>3460</v>
      </c>
      <c r="C105" s="893">
        <f>'Schema SP'!K123-'Schema SP'!K108-'Rendiconto finanziario'!C104-'Rendiconto finanziario'!C4-'Rendiconto finanziario'!C10</f>
        <v>-2087099.6800000668</v>
      </c>
      <c r="D105" s="945">
        <v>12088614</v>
      </c>
    </row>
    <row r="106" spans="1:5">
      <c r="A106" s="841" t="s">
        <v>3382</v>
      </c>
      <c r="B106" s="855" t="s">
        <v>3461</v>
      </c>
      <c r="C106" s="882">
        <f>SUM(C104:C105)</f>
        <v>26438529.43</v>
      </c>
      <c r="D106" s="946">
        <f>SUM(D104:D105)</f>
        <v>153117719</v>
      </c>
      <c r="E106" s="863"/>
    </row>
    <row r="107" spans="1:5">
      <c r="A107" s="841" t="s">
        <v>3382</v>
      </c>
      <c r="B107" s="856" t="s">
        <v>3462</v>
      </c>
      <c r="C107" s="882">
        <f>'Schema SP'!K150</f>
        <v>0</v>
      </c>
      <c r="D107" s="946"/>
    </row>
    <row r="108" spans="1:5">
      <c r="A108" s="843" t="s">
        <v>3357</v>
      </c>
      <c r="B108" s="857" t="s">
        <v>3463</v>
      </c>
      <c r="C108" s="890"/>
      <c r="D108" s="945"/>
    </row>
    <row r="109" spans="1:5">
      <c r="A109" s="843" t="s">
        <v>3364</v>
      </c>
      <c r="B109" s="843" t="s">
        <v>3464</v>
      </c>
      <c r="C109" s="887">
        <f>-C108+'Schema SP'!K137</f>
        <v>0</v>
      </c>
      <c r="D109" s="939"/>
    </row>
    <row r="110" spans="1:5">
      <c r="A110" s="850" t="s">
        <v>3465</v>
      </c>
      <c r="B110" s="850"/>
      <c r="C110" s="891">
        <f>C98+C99+C100+C101+C102+C103+C106+C107+C108+C109</f>
        <v>24080795.43</v>
      </c>
      <c r="D110" s="943">
        <f>D98+D99+D100+D101+D102+D103+D106+D107+D108+D109</f>
        <v>40187188</v>
      </c>
    </row>
    <row r="111" spans="1:5">
      <c r="A111" s="857"/>
      <c r="B111" s="857"/>
      <c r="C111" s="895"/>
      <c r="D111" s="942"/>
    </row>
    <row r="112" spans="1:5">
      <c r="A112" s="839" t="s">
        <v>3466</v>
      </c>
      <c r="B112" s="840"/>
      <c r="C112" s="884" t="e">
        <f>C56+C95+C110</f>
        <v>#REF!</v>
      </c>
      <c r="D112" s="947">
        <f>D56+D95+D110</f>
        <v>58026086</v>
      </c>
    </row>
    <row r="113" spans="1:4">
      <c r="A113" s="855" t="s">
        <v>3467</v>
      </c>
      <c r="B113" s="858"/>
      <c r="C113" s="896">
        <f>'Schema SP'!I81-'Schema SP'!J81</f>
        <v>59127494</v>
      </c>
      <c r="D113" s="949">
        <v>56296398</v>
      </c>
    </row>
    <row r="114" spans="1:4">
      <c r="A114" s="843"/>
      <c r="B114" s="859"/>
      <c r="C114" s="881"/>
      <c r="D114" s="946"/>
    </row>
    <row r="115" spans="1:4">
      <c r="A115" s="860" t="s">
        <v>3468</v>
      </c>
      <c r="B115" s="861"/>
      <c r="C115" s="897" t="e">
        <f>C112-C113</f>
        <v>#REF!</v>
      </c>
      <c r="D115" s="950">
        <f>D112-D113</f>
        <v>1729688</v>
      </c>
    </row>
  </sheetData>
  <mergeCells count="1">
    <mergeCell ref="A1:B1"/>
  </mergeCells>
  <pageMargins left="0.74" right="0.31496062992125984" top="0.59055118110236227" bottom="0.55118110236220474" header="0.31496062992125984" footer="0.15748031496062992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11</vt:i4>
      </vt:variant>
    </vt:vector>
  </HeadingPairs>
  <TitlesOfParts>
    <vt:vector size="20" baseType="lpstr">
      <vt:lpstr>Schema CE</vt:lpstr>
      <vt:lpstr>CE Min</vt:lpstr>
      <vt:lpstr>Alimentazione CE Costi</vt:lpstr>
      <vt:lpstr>Alimentazione CE Ricavi</vt:lpstr>
      <vt:lpstr>Schema SP</vt:lpstr>
      <vt:lpstr>SP Min</vt:lpstr>
      <vt:lpstr>SP Attivo Alim</vt:lpstr>
      <vt:lpstr>Alimentazione SP P</vt:lpstr>
      <vt:lpstr>Rendiconto finanziario</vt:lpstr>
      <vt:lpstr>'Alimentazione CE Costi'!Area_stampa</vt:lpstr>
      <vt:lpstr>'Alimentazione CE Ricavi'!Area_stampa</vt:lpstr>
      <vt:lpstr>'CE Min'!Area_stampa</vt:lpstr>
      <vt:lpstr>'Rendiconto finanziario'!Area_stampa</vt:lpstr>
      <vt:lpstr>'SP Min'!Area_stampa</vt:lpstr>
      <vt:lpstr>'Alimentazione CE Costi'!Titoli_stampa</vt:lpstr>
      <vt:lpstr>'Alimentazione CE Ricavi'!Titoli_stampa</vt:lpstr>
      <vt:lpstr>'Alimentazione SP P'!Titoli_stampa</vt:lpstr>
      <vt:lpstr>'CE Min'!Titoli_stampa</vt:lpstr>
      <vt:lpstr>'SP Attivo Alim'!Titoli_stampa</vt:lpstr>
      <vt:lpstr>'SP Min'!Titoli_stampa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Lorenzo Irmi</cp:lastModifiedBy>
  <cp:lastPrinted>2021-11-05T13:24:33Z</cp:lastPrinted>
  <dcterms:created xsi:type="dcterms:W3CDTF">2019-07-05T08:06:15Z</dcterms:created>
  <dcterms:modified xsi:type="dcterms:W3CDTF">2021-11-16T08:42:54Z</dcterms:modified>
</cp:coreProperties>
</file>