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0" yWindow="0" windowWidth="23040" windowHeight="9210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ce art. 44" sheetId="17" state="hidden" r:id="rId5"/>
  </sheets>
  <definedNames>
    <definedName name="_xlnm._FilterDatabase" localSheetId="2" hidden="1">'Alimentazione CE Costi'!$A$1:$H$1197</definedName>
    <definedName name="_xlnm._FilterDatabase" localSheetId="3" hidden="1">'Alimentazione CE Ricavi'!$A$1:$H$391</definedName>
    <definedName name="_xlnm.Print_Area" localSheetId="4">'ce art. 44'!$A$3:$C$58</definedName>
    <definedName name="_xlnm.Print_Area" localSheetId="1">'CE Min'!$A$1:$AC$594</definedName>
    <definedName name="_xlnm.Print_Area" localSheetId="0">'Schema CE'!$A$1:$G$119</definedName>
  </definedNames>
  <calcPr calcId="162913"/>
</workbook>
</file>

<file path=xl/calcChain.xml><?xml version="1.0" encoding="utf-8"?>
<calcChain xmlns="http://schemas.openxmlformats.org/spreadsheetml/2006/main">
  <c r="F927" i="3" l="1"/>
  <c r="F42" i="3" l="1"/>
  <c r="F1192" i="3"/>
  <c r="F1187" i="3"/>
  <c r="F1103" i="3"/>
  <c r="F1069" i="3"/>
  <c r="F925" i="3"/>
  <c r="F603" i="3"/>
  <c r="F594" i="3"/>
  <c r="F592" i="3"/>
  <c r="F591" i="3"/>
  <c r="F589" i="3"/>
  <c r="F586" i="3"/>
  <c r="F585" i="3"/>
  <c r="F580" i="3"/>
  <c r="F579" i="3"/>
  <c r="F578" i="3"/>
  <c r="F576" i="3"/>
  <c r="F574" i="3"/>
  <c r="F572" i="3"/>
  <c r="F569" i="3"/>
  <c r="F568" i="3"/>
  <c r="F566" i="3"/>
  <c r="F563" i="3"/>
  <c r="F536" i="3"/>
  <c r="F525" i="3"/>
  <c r="F524" i="3"/>
  <c r="F522" i="3"/>
  <c r="F521" i="3"/>
  <c r="F520" i="3"/>
  <c r="F518" i="3"/>
  <c r="F517" i="3"/>
  <c r="F516" i="3"/>
  <c r="F514" i="3"/>
  <c r="F512" i="3"/>
  <c r="F511" i="3"/>
  <c r="F503" i="3"/>
  <c r="F495" i="3"/>
  <c r="F494" i="3"/>
  <c r="F492" i="3"/>
  <c r="F489" i="3"/>
  <c r="F487" i="3"/>
  <c r="F485" i="3"/>
  <c r="F483" i="3"/>
  <c r="F482" i="3"/>
  <c r="F479" i="3"/>
  <c r="F477" i="3"/>
  <c r="F475" i="3"/>
  <c r="F472" i="3"/>
  <c r="F470" i="3"/>
  <c r="F458" i="3"/>
  <c r="F457" i="3"/>
  <c r="F436" i="3"/>
  <c r="F399" i="3"/>
  <c r="F396" i="3"/>
  <c r="F395" i="3"/>
  <c r="F394" i="3"/>
  <c r="F392" i="3"/>
  <c r="F382" i="3"/>
  <c r="F340" i="3"/>
  <c r="F339" i="3"/>
  <c r="F337" i="3"/>
  <c r="F335" i="3"/>
  <c r="F333" i="3"/>
  <c r="F332" i="3"/>
  <c r="F331" i="3"/>
  <c r="F328" i="3"/>
  <c r="F327" i="3"/>
  <c r="F326" i="3"/>
  <c r="F322" i="3"/>
  <c r="F320" i="3"/>
  <c r="F311" i="3"/>
  <c r="F309" i="3"/>
  <c r="F308" i="3"/>
  <c r="F297" i="3"/>
  <c r="F283" i="3"/>
  <c r="F273" i="3"/>
  <c r="F271" i="3"/>
  <c r="F243" i="3"/>
  <c r="F242" i="3"/>
  <c r="F233" i="3"/>
  <c r="F232" i="3"/>
  <c r="F231" i="3"/>
  <c r="F219" i="3"/>
  <c r="F218" i="3"/>
  <c r="F188" i="3"/>
  <c r="F185" i="3"/>
  <c r="F183" i="3"/>
  <c r="F182" i="3"/>
  <c r="F161" i="3"/>
  <c r="F144" i="3"/>
  <c r="F143" i="3"/>
  <c r="F139" i="3"/>
  <c r="F136" i="3"/>
  <c r="F135" i="3"/>
  <c r="F134" i="3"/>
  <c r="F133" i="3"/>
  <c r="F132" i="3"/>
  <c r="F130" i="3"/>
  <c r="F125" i="3"/>
  <c r="F124" i="3"/>
  <c r="F123" i="3"/>
  <c r="F122" i="3"/>
  <c r="F121" i="3"/>
  <c r="F120" i="3"/>
  <c r="F118" i="3"/>
  <c r="F116" i="3"/>
  <c r="F115" i="3"/>
  <c r="F113" i="3"/>
  <c r="F112" i="3"/>
  <c r="F111" i="3"/>
  <c r="F110" i="3"/>
  <c r="F109" i="3"/>
  <c r="F108" i="3"/>
  <c r="F94" i="3"/>
  <c r="F91" i="3"/>
  <c r="F90" i="3"/>
  <c r="F87" i="3"/>
  <c r="F86" i="3"/>
  <c r="F85" i="3"/>
  <c r="F82" i="3"/>
  <c r="F79" i="3"/>
  <c r="F76" i="3"/>
  <c r="F51" i="3"/>
  <c r="F39" i="3"/>
  <c r="F30" i="3"/>
  <c r="F36" i="3"/>
  <c r="F33" i="3"/>
  <c r="F13" i="3"/>
  <c r="F10" i="3"/>
  <c r="F7" i="3"/>
  <c r="F419" i="3" l="1"/>
  <c r="F1183" i="3"/>
  <c r="F664" i="3" l="1"/>
  <c r="F856" i="3" l="1"/>
  <c r="F850" i="3"/>
  <c r="F660" i="3"/>
  <c r="F617" i="3"/>
  <c r="F611" i="3"/>
  <c r="F412" i="3" l="1"/>
  <c r="F414" i="3"/>
  <c r="H1077" i="3" l="1"/>
  <c r="H27" i="2"/>
  <c r="H78" i="2"/>
  <c r="H26" i="2"/>
  <c r="F33" i="2"/>
  <c r="F26" i="2"/>
  <c r="G337" i="3" l="1"/>
  <c r="G322" i="3" l="1"/>
  <c r="H41" i="2"/>
  <c r="H33" i="2"/>
  <c r="H55" i="3" l="1"/>
  <c r="H82" i="2" l="1"/>
  <c r="H1183" i="3"/>
  <c r="H664" i="3"/>
  <c r="H74" i="2" l="1"/>
  <c r="F55" i="3" l="1"/>
  <c r="H402" i="3" l="1"/>
  <c r="F1070" i="3" l="1"/>
  <c r="F593" i="3"/>
  <c r="F548" i="3"/>
  <c r="F537" i="3"/>
  <c r="F535" i="3"/>
  <c r="F533" i="3"/>
  <c r="F523" i="3"/>
  <c r="F519" i="3"/>
  <c r="F513" i="3"/>
  <c r="F508" i="3"/>
  <c r="F496" i="3"/>
  <c r="F490" i="3"/>
  <c r="F447" i="3"/>
  <c r="F391" i="3"/>
  <c r="F384" i="3"/>
  <c r="F299" i="3"/>
  <c r="F222" i="3"/>
  <c r="F221" i="3"/>
  <c r="F162" i="3"/>
  <c r="F153" i="3"/>
  <c r="F150" i="3"/>
  <c r="F149" i="3"/>
  <c r="F148" i="3"/>
  <c r="F147" i="3"/>
  <c r="F140" i="3"/>
  <c r="F128" i="3"/>
  <c r="F117" i="3" l="1"/>
  <c r="F45" i="3"/>
  <c r="F321" i="3" l="1"/>
  <c r="F334" i="3"/>
  <c r="H9" i="2" l="1"/>
  <c r="H7" i="2"/>
  <c r="F314" i="2" l="1"/>
  <c r="H18" i="2" l="1"/>
  <c r="H47" i="2"/>
  <c r="H368" i="2" l="1"/>
  <c r="F7" i="2" l="1"/>
  <c r="F330" i="3" l="1"/>
  <c r="F9" i="2" l="1"/>
  <c r="F1089" i="3"/>
  <c r="F1087" i="3"/>
  <c r="F1082" i="3"/>
  <c r="E660" i="3"/>
  <c r="E566" i="3"/>
  <c r="F539" i="3"/>
  <c r="F506" i="3"/>
  <c r="F433" i="3"/>
  <c r="E433" i="3" s="1"/>
  <c r="F401" i="3"/>
  <c r="E322" i="3"/>
  <c r="F178" i="3"/>
  <c r="F100" i="3"/>
  <c r="E79" i="3"/>
  <c r="F67" i="3"/>
  <c r="F48" i="3"/>
  <c r="E39" i="3"/>
  <c r="F1197" i="3"/>
  <c r="F390" i="2" s="1"/>
  <c r="F312" i="2"/>
  <c r="F82" i="2"/>
  <c r="F78" i="2"/>
  <c r="F66" i="2"/>
  <c r="E66" i="2" s="1"/>
  <c r="F52" i="2"/>
  <c r="F44" i="2"/>
  <c r="F41" i="2"/>
  <c r="F389" i="2" s="1"/>
  <c r="F22" i="2"/>
  <c r="F14" i="2"/>
  <c r="G389" i="2"/>
  <c r="E9" i="2"/>
  <c r="E12" i="2"/>
  <c r="E14" i="2"/>
  <c r="E16" i="2"/>
  <c r="E18" i="2"/>
  <c r="E22" i="2"/>
  <c r="E23" i="2"/>
  <c r="E24" i="2"/>
  <c r="E25" i="2"/>
  <c r="E26" i="2"/>
  <c r="E27" i="2"/>
  <c r="E29" i="2"/>
  <c r="E31" i="2"/>
  <c r="E33" i="2"/>
  <c r="E36" i="2"/>
  <c r="E38" i="2"/>
  <c r="E43" i="2"/>
  <c r="E44" i="2"/>
  <c r="E45" i="2"/>
  <c r="E46" i="2"/>
  <c r="E47" i="2"/>
  <c r="E48" i="2"/>
  <c r="E50" i="2"/>
  <c r="E52" i="2"/>
  <c r="E54" i="2"/>
  <c r="E57" i="2"/>
  <c r="E59" i="2"/>
  <c r="E61" i="2"/>
  <c r="E62" i="2"/>
  <c r="E64" i="2"/>
  <c r="E69" i="2"/>
  <c r="E71" i="2"/>
  <c r="E74" i="2"/>
  <c r="E76" i="2"/>
  <c r="E78" i="2"/>
  <c r="E80" i="2"/>
  <c r="E82" i="2"/>
  <c r="E87" i="2"/>
  <c r="E88" i="2"/>
  <c r="E90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8" i="2"/>
  <c r="E120" i="2"/>
  <c r="E123" i="2"/>
  <c r="E125" i="2"/>
  <c r="E127" i="2"/>
  <c r="E129" i="2"/>
  <c r="E131" i="2"/>
  <c r="E133" i="2"/>
  <c r="E135" i="2"/>
  <c r="E137" i="2"/>
  <c r="E139" i="2"/>
  <c r="E141" i="2"/>
  <c r="E143" i="2"/>
  <c r="E145" i="2"/>
  <c r="E147" i="2"/>
  <c r="E149" i="2"/>
  <c r="E152" i="2"/>
  <c r="E154" i="2"/>
  <c r="E155" i="2"/>
  <c r="E156" i="2"/>
  <c r="E157" i="2"/>
  <c r="E159" i="2"/>
  <c r="E161" i="2"/>
  <c r="E163" i="2"/>
  <c r="E166" i="2"/>
  <c r="E168" i="2"/>
  <c r="E170" i="2"/>
  <c r="E172" i="2"/>
  <c r="E174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200" i="2"/>
  <c r="E201" i="2"/>
  <c r="E202" i="2"/>
  <c r="E203" i="2"/>
  <c r="E204" i="2"/>
  <c r="E205" i="2"/>
  <c r="E206" i="2"/>
  <c r="E207" i="2"/>
  <c r="E208" i="2"/>
  <c r="E210" i="2"/>
  <c r="E211" i="2"/>
  <c r="E214" i="2"/>
  <c r="E216" i="2"/>
  <c r="E218" i="2"/>
  <c r="E220" i="2"/>
  <c r="E222" i="2"/>
  <c r="E224" i="2"/>
  <c r="E226" i="2"/>
  <c r="E229" i="2"/>
  <c r="E232" i="2"/>
  <c r="E234" i="2"/>
  <c r="E237" i="2"/>
  <c r="E239" i="2"/>
  <c r="E241" i="2"/>
  <c r="E242" i="2"/>
  <c r="E243" i="2"/>
  <c r="E245" i="2"/>
  <c r="E248" i="2"/>
  <c r="E250" i="2"/>
  <c r="E252" i="2"/>
  <c r="E253" i="2"/>
  <c r="E254" i="2"/>
  <c r="E255" i="2"/>
  <c r="E256" i="2"/>
  <c r="E257" i="2"/>
  <c r="E261" i="2"/>
  <c r="E263" i="2"/>
  <c r="E265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4" i="2"/>
  <c r="E286" i="2"/>
  <c r="E288" i="2"/>
  <c r="E291" i="2"/>
  <c r="E293" i="2"/>
  <c r="E295" i="2"/>
  <c r="E297" i="2"/>
  <c r="E299" i="2"/>
  <c r="E301" i="2"/>
  <c r="E303" i="2"/>
  <c r="E306" i="2"/>
  <c r="E307" i="2"/>
  <c r="E308" i="2"/>
  <c r="E310" i="2"/>
  <c r="E311" i="2"/>
  <c r="E312" i="2"/>
  <c r="E314" i="2"/>
  <c r="E315" i="2"/>
  <c r="E316" i="2"/>
  <c r="E320" i="2"/>
  <c r="E322" i="2"/>
  <c r="E323" i="2"/>
  <c r="E325" i="2"/>
  <c r="E326" i="2"/>
  <c r="E327" i="2"/>
  <c r="E330" i="2"/>
  <c r="E332" i="2"/>
  <c r="E334" i="2"/>
  <c r="E336" i="2"/>
  <c r="E338" i="2"/>
  <c r="E341" i="2"/>
  <c r="E345" i="2"/>
  <c r="E348" i="2"/>
  <c r="E351" i="2"/>
  <c r="E353" i="2"/>
  <c r="E356" i="2"/>
  <c r="E358" i="2"/>
  <c r="E360" i="2"/>
  <c r="E362" i="2"/>
  <c r="E364" i="2"/>
  <c r="E366" i="2"/>
  <c r="E368" i="2"/>
  <c r="E371" i="2"/>
  <c r="E374" i="2"/>
  <c r="E376" i="2"/>
  <c r="E378" i="2"/>
  <c r="E380" i="2"/>
  <c r="E382" i="2"/>
  <c r="E384" i="2"/>
  <c r="E386" i="2"/>
  <c r="E388" i="2"/>
  <c r="E7" i="2"/>
  <c r="G1197" i="3"/>
  <c r="G390" i="2" s="1"/>
  <c r="E418" i="3"/>
  <c r="E8" i="3"/>
  <c r="E10" i="3"/>
  <c r="E11" i="3"/>
  <c r="E13" i="3"/>
  <c r="E16" i="3"/>
  <c r="E18" i="3"/>
  <c r="E20" i="3"/>
  <c r="E23" i="3"/>
  <c r="E25" i="3"/>
  <c r="E27" i="3"/>
  <c r="E30" i="3"/>
  <c r="E31" i="3"/>
  <c r="E33" i="3"/>
  <c r="E34" i="3"/>
  <c r="E36" i="3"/>
  <c r="E37" i="3"/>
  <c r="E40" i="3"/>
  <c r="E42" i="3"/>
  <c r="E43" i="3"/>
  <c r="E45" i="3"/>
  <c r="E46" i="3"/>
  <c r="E48" i="3"/>
  <c r="E49" i="3"/>
  <c r="E51" i="3"/>
  <c r="E52" i="3"/>
  <c r="E55" i="3"/>
  <c r="E56" i="3"/>
  <c r="E57" i="3"/>
  <c r="E59" i="3"/>
  <c r="E61" i="3"/>
  <c r="E62" i="3"/>
  <c r="E63" i="3"/>
  <c r="E65" i="3"/>
  <c r="E67" i="3"/>
  <c r="E69" i="3"/>
  <c r="E71" i="3"/>
  <c r="E73" i="3"/>
  <c r="E76" i="3"/>
  <c r="E77" i="3"/>
  <c r="E80" i="3"/>
  <c r="E82" i="3"/>
  <c r="E83" i="3"/>
  <c r="E85" i="3"/>
  <c r="E86" i="3"/>
  <c r="E87" i="3"/>
  <c r="E88" i="3"/>
  <c r="E90" i="3"/>
  <c r="E91" i="3"/>
  <c r="E92" i="3"/>
  <c r="E94" i="3"/>
  <c r="E95" i="3"/>
  <c r="E97" i="3"/>
  <c r="E98" i="3"/>
  <c r="E99" i="3"/>
  <c r="E100" i="3"/>
  <c r="E101" i="3"/>
  <c r="E102" i="3"/>
  <c r="E108" i="3"/>
  <c r="E109" i="3"/>
  <c r="E110" i="3"/>
  <c r="E111" i="3"/>
  <c r="E112" i="3"/>
  <c r="E113" i="3"/>
  <c r="E114" i="3"/>
  <c r="E115" i="3"/>
  <c r="E116" i="3"/>
  <c r="E117" i="3"/>
  <c r="E118" i="3"/>
  <c r="E120" i="3"/>
  <c r="E121" i="3"/>
  <c r="E122" i="3"/>
  <c r="E123" i="3"/>
  <c r="E124" i="3"/>
  <c r="E125" i="3"/>
  <c r="E126" i="3"/>
  <c r="E127" i="3"/>
  <c r="E128" i="3"/>
  <c r="E129" i="3"/>
  <c r="E130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7" i="3"/>
  <c r="E148" i="3"/>
  <c r="E149" i="3"/>
  <c r="E150" i="3"/>
  <c r="E151" i="3"/>
  <c r="E152" i="3"/>
  <c r="E153" i="3"/>
  <c r="E154" i="3"/>
  <c r="E156" i="3"/>
  <c r="E158" i="3"/>
  <c r="E161" i="3"/>
  <c r="E162" i="3"/>
  <c r="E164" i="3"/>
  <c r="E166" i="3"/>
  <c r="E169" i="3"/>
  <c r="E170" i="3"/>
  <c r="E172" i="3"/>
  <c r="E174" i="3"/>
  <c r="E176" i="3"/>
  <c r="E178" i="3"/>
  <c r="E180" i="3"/>
  <c r="E182" i="3"/>
  <c r="E183" i="3"/>
  <c r="E184" i="3"/>
  <c r="E185" i="3"/>
  <c r="E186" i="3"/>
  <c r="E187" i="3"/>
  <c r="E188" i="3"/>
  <c r="E191" i="3"/>
  <c r="E193" i="3"/>
  <c r="E195" i="3"/>
  <c r="E197" i="3"/>
  <c r="E199" i="3"/>
  <c r="E201" i="3"/>
  <c r="E203" i="3"/>
  <c r="E205" i="3"/>
  <c r="E207" i="3"/>
  <c r="E209" i="3"/>
  <c r="E212" i="3"/>
  <c r="E214" i="3"/>
  <c r="E216" i="3"/>
  <c r="E218" i="3"/>
  <c r="E219" i="3"/>
  <c r="E221" i="3"/>
  <c r="E222" i="3"/>
  <c r="E225" i="3"/>
  <c r="E227" i="3"/>
  <c r="E229" i="3"/>
  <c r="E231" i="3"/>
  <c r="E232" i="3"/>
  <c r="E233" i="3"/>
  <c r="E236" i="3"/>
  <c r="E238" i="3"/>
  <c r="E240" i="3"/>
  <c r="E242" i="3"/>
  <c r="E243" i="3"/>
  <c r="E246" i="3"/>
  <c r="E247" i="3"/>
  <c r="E249" i="3"/>
  <c r="E251" i="3"/>
  <c r="E254" i="3"/>
  <c r="E256" i="3"/>
  <c r="E258" i="3"/>
  <c r="E260" i="3"/>
  <c r="E262" i="3"/>
  <c r="E265" i="3"/>
  <c r="E267" i="3"/>
  <c r="E269" i="3"/>
  <c r="E271" i="3"/>
  <c r="E273" i="3"/>
  <c r="E276" i="3"/>
  <c r="E277" i="3"/>
  <c r="E279" i="3"/>
  <c r="E281" i="3"/>
  <c r="E283" i="3"/>
  <c r="E284" i="3"/>
  <c r="E286" i="3"/>
  <c r="E288" i="3"/>
  <c r="E291" i="3"/>
  <c r="E293" i="3"/>
  <c r="E295" i="3"/>
  <c r="E297" i="3"/>
  <c r="E299" i="3"/>
  <c r="E302" i="3"/>
  <c r="E304" i="3"/>
  <c r="E306" i="3"/>
  <c r="E308" i="3"/>
  <c r="E309" i="3"/>
  <c r="E310" i="3"/>
  <c r="E311" i="3"/>
  <c r="E315" i="3"/>
  <c r="E317" i="3"/>
  <c r="E319" i="3"/>
  <c r="E320" i="3"/>
  <c r="E321" i="3"/>
  <c r="E324" i="3"/>
  <c r="E326" i="3"/>
  <c r="E327" i="3"/>
  <c r="E328" i="3"/>
  <c r="E330" i="3"/>
  <c r="E331" i="3"/>
  <c r="E332" i="3"/>
  <c r="E333" i="3"/>
  <c r="E334" i="3"/>
  <c r="E335" i="3"/>
  <c r="E336" i="3"/>
  <c r="E337" i="3"/>
  <c r="E339" i="3"/>
  <c r="E340" i="3"/>
  <c r="E343" i="3"/>
  <c r="E345" i="3"/>
  <c r="E347" i="3"/>
  <c r="E349" i="3"/>
  <c r="E350" i="3"/>
  <c r="E351" i="3"/>
  <c r="E352" i="3"/>
  <c r="E354" i="3"/>
  <c r="E355" i="3"/>
  <c r="E356" i="3"/>
  <c r="E357" i="3"/>
  <c r="E359" i="3"/>
  <c r="E360" i="3"/>
  <c r="E361" i="3"/>
  <c r="E362" i="3"/>
  <c r="E363" i="3"/>
  <c r="E364" i="3"/>
  <c r="E365" i="3"/>
  <c r="E366" i="3"/>
  <c r="E367" i="3"/>
  <c r="E368" i="3"/>
  <c r="E369" i="3"/>
  <c r="E371" i="3"/>
  <c r="E372" i="3"/>
  <c r="E373" i="3"/>
  <c r="E374" i="3"/>
  <c r="E375" i="3"/>
  <c r="E376" i="3"/>
  <c r="E377" i="3"/>
  <c r="E378" i="3"/>
  <c r="E379" i="3"/>
  <c r="E382" i="3"/>
  <c r="E384" i="3"/>
  <c r="E386" i="3"/>
  <c r="E388" i="3"/>
  <c r="E390" i="3"/>
  <c r="E391" i="3"/>
  <c r="E392" i="3"/>
  <c r="E393" i="3"/>
  <c r="E394" i="3"/>
  <c r="E395" i="3"/>
  <c r="E396" i="3"/>
  <c r="E397" i="3"/>
  <c r="E398" i="3"/>
  <c r="E399" i="3"/>
  <c r="E401" i="3"/>
  <c r="E402" i="3"/>
  <c r="E404" i="3"/>
  <c r="E407" i="3"/>
  <c r="E409" i="3"/>
  <c r="E412" i="3"/>
  <c r="E414" i="3"/>
  <c r="E415" i="3"/>
  <c r="E416" i="3"/>
  <c r="E419" i="3"/>
  <c r="E420" i="3"/>
  <c r="E421" i="3"/>
  <c r="E423" i="3"/>
  <c r="E424" i="3"/>
  <c r="E425" i="3"/>
  <c r="E426" i="3"/>
  <c r="E427" i="3"/>
  <c r="E428" i="3"/>
  <c r="E430" i="3"/>
  <c r="E432" i="3"/>
  <c r="E434" i="3"/>
  <c r="E435" i="3"/>
  <c r="E436" i="3"/>
  <c r="E437" i="3"/>
  <c r="E438" i="3"/>
  <c r="E439" i="3"/>
  <c r="E440" i="3"/>
  <c r="E443" i="3"/>
  <c r="E445" i="3"/>
  <c r="E447" i="3"/>
  <c r="E450" i="3"/>
  <c r="E452" i="3"/>
  <c r="E454" i="3"/>
  <c r="E456" i="3"/>
  <c r="E457" i="3"/>
  <c r="E458" i="3"/>
  <c r="E460" i="3"/>
  <c r="E462" i="3"/>
  <c r="E464" i="3"/>
  <c r="E466" i="3"/>
  <c r="E470" i="3"/>
  <c r="E472" i="3"/>
  <c r="E475" i="3"/>
  <c r="E477" i="3"/>
  <c r="E479" i="3"/>
  <c r="E481" i="3"/>
  <c r="E482" i="3"/>
  <c r="E483" i="3"/>
  <c r="E485" i="3"/>
  <c r="E487" i="3"/>
  <c r="E489" i="3"/>
  <c r="E490" i="3"/>
  <c r="E492" i="3"/>
  <c r="E494" i="3"/>
  <c r="E495" i="3"/>
  <c r="E496" i="3"/>
  <c r="E497" i="3"/>
  <c r="E498" i="3"/>
  <c r="E501" i="3"/>
  <c r="E503" i="3"/>
  <c r="E506" i="3"/>
  <c r="E508" i="3"/>
  <c r="E509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8" i="3"/>
  <c r="E530" i="3"/>
  <c r="E533" i="3"/>
  <c r="E534" i="3"/>
  <c r="E535" i="3"/>
  <c r="E536" i="3"/>
  <c r="E537" i="3"/>
  <c r="E539" i="3"/>
  <c r="E541" i="3"/>
  <c r="E543" i="3"/>
  <c r="E545" i="3"/>
  <c r="E546" i="3"/>
  <c r="E547" i="3"/>
  <c r="E548" i="3"/>
  <c r="E549" i="3"/>
  <c r="E551" i="3"/>
  <c r="E554" i="3"/>
  <c r="E556" i="3"/>
  <c r="E558" i="3"/>
  <c r="E561" i="3"/>
  <c r="E563" i="3"/>
  <c r="E568" i="3"/>
  <c r="E569" i="3"/>
  <c r="E570" i="3"/>
  <c r="E572" i="3"/>
  <c r="E574" i="3"/>
  <c r="E576" i="3"/>
  <c r="E578" i="3"/>
  <c r="E579" i="3"/>
  <c r="E580" i="3"/>
  <c r="E582" i="3"/>
  <c r="E585" i="3"/>
  <c r="E586" i="3"/>
  <c r="E589" i="3"/>
  <c r="E591" i="3"/>
  <c r="E592" i="3"/>
  <c r="E593" i="3"/>
  <c r="E594" i="3"/>
  <c r="E597" i="3"/>
  <c r="E598" i="3"/>
  <c r="E600" i="3"/>
  <c r="E601" i="3"/>
  <c r="E603" i="3"/>
  <c r="E605" i="3"/>
  <c r="E610" i="3"/>
  <c r="E611" i="3"/>
  <c r="E612" i="3"/>
  <c r="E613" i="3"/>
  <c r="E614" i="3"/>
  <c r="E615" i="3"/>
  <c r="E616" i="3"/>
  <c r="E617" i="3"/>
  <c r="E619" i="3"/>
  <c r="E620" i="3"/>
  <c r="E621" i="3"/>
  <c r="E622" i="3"/>
  <c r="E623" i="3"/>
  <c r="E624" i="3"/>
  <c r="E625" i="3"/>
  <c r="E626" i="3"/>
  <c r="E628" i="3"/>
  <c r="E631" i="3"/>
  <c r="E632" i="3"/>
  <c r="E633" i="3"/>
  <c r="E634" i="3"/>
  <c r="E635" i="3"/>
  <c r="E636" i="3"/>
  <c r="E637" i="3"/>
  <c r="E638" i="3"/>
  <c r="E640" i="3"/>
  <c r="E641" i="3"/>
  <c r="E642" i="3"/>
  <c r="E643" i="3"/>
  <c r="E644" i="3"/>
  <c r="E645" i="3"/>
  <c r="E646" i="3"/>
  <c r="E647" i="3"/>
  <c r="E649" i="3"/>
  <c r="E652" i="3"/>
  <c r="E654" i="3"/>
  <c r="E655" i="3"/>
  <c r="E656" i="3"/>
  <c r="E658" i="3"/>
  <c r="E659" i="3"/>
  <c r="E661" i="3"/>
  <c r="E662" i="3"/>
  <c r="E663" i="3"/>
  <c r="E664" i="3"/>
  <c r="E667" i="3"/>
  <c r="E669" i="3"/>
  <c r="E670" i="3"/>
  <c r="E671" i="3"/>
  <c r="E673" i="3"/>
  <c r="E674" i="3"/>
  <c r="E675" i="3"/>
  <c r="E676" i="3"/>
  <c r="E677" i="3"/>
  <c r="E678" i="3"/>
  <c r="E679" i="3"/>
  <c r="E681" i="3"/>
  <c r="E683" i="3"/>
  <c r="E684" i="3"/>
  <c r="E685" i="3"/>
  <c r="E687" i="3"/>
  <c r="E688" i="3"/>
  <c r="E689" i="3"/>
  <c r="E690" i="3"/>
  <c r="E691" i="3"/>
  <c r="E692" i="3"/>
  <c r="E693" i="3"/>
  <c r="E695" i="3"/>
  <c r="E697" i="3"/>
  <c r="E698" i="3"/>
  <c r="E699" i="3"/>
  <c r="E701" i="3"/>
  <c r="E702" i="3"/>
  <c r="E703" i="3"/>
  <c r="E704" i="3"/>
  <c r="E705" i="3"/>
  <c r="E706" i="3"/>
  <c r="E707" i="3"/>
  <c r="E709" i="3"/>
  <c r="E713" i="3"/>
  <c r="E714" i="3"/>
  <c r="E715" i="3"/>
  <c r="E716" i="3"/>
  <c r="E717" i="3"/>
  <c r="E718" i="3"/>
  <c r="E719" i="3"/>
  <c r="E720" i="3"/>
  <c r="E722" i="3"/>
  <c r="E723" i="3"/>
  <c r="E724" i="3"/>
  <c r="E725" i="3"/>
  <c r="E726" i="3"/>
  <c r="E727" i="3"/>
  <c r="E728" i="3"/>
  <c r="E729" i="3"/>
  <c r="E731" i="3"/>
  <c r="E734" i="3"/>
  <c r="E736" i="3"/>
  <c r="E737" i="3"/>
  <c r="E738" i="3"/>
  <c r="E740" i="3"/>
  <c r="E741" i="3"/>
  <c r="E742" i="3"/>
  <c r="E743" i="3"/>
  <c r="E744" i="3"/>
  <c r="E745" i="3"/>
  <c r="E746" i="3"/>
  <c r="E748" i="3"/>
  <c r="E750" i="3"/>
  <c r="E751" i="3"/>
  <c r="E752" i="3"/>
  <c r="E754" i="3"/>
  <c r="E755" i="3"/>
  <c r="E756" i="3"/>
  <c r="E757" i="3"/>
  <c r="E758" i="3"/>
  <c r="E759" i="3"/>
  <c r="E760" i="3"/>
  <c r="E762" i="3"/>
  <c r="E766" i="3"/>
  <c r="E767" i="3"/>
  <c r="E768" i="3"/>
  <c r="E769" i="3"/>
  <c r="E770" i="3"/>
  <c r="E771" i="3"/>
  <c r="E772" i="3"/>
  <c r="E773" i="3"/>
  <c r="E775" i="3"/>
  <c r="E776" i="3"/>
  <c r="E777" i="3"/>
  <c r="E778" i="3"/>
  <c r="E779" i="3"/>
  <c r="E780" i="3"/>
  <c r="E781" i="3"/>
  <c r="E782" i="3"/>
  <c r="E784" i="3"/>
  <c r="E788" i="3"/>
  <c r="E790" i="3"/>
  <c r="E791" i="3"/>
  <c r="E792" i="3"/>
  <c r="E794" i="3"/>
  <c r="E795" i="3"/>
  <c r="E796" i="3"/>
  <c r="E797" i="3"/>
  <c r="E798" i="3"/>
  <c r="E799" i="3"/>
  <c r="E800" i="3"/>
  <c r="E802" i="3"/>
  <c r="E804" i="3"/>
  <c r="E805" i="3"/>
  <c r="E806" i="3"/>
  <c r="E808" i="3"/>
  <c r="E809" i="3"/>
  <c r="E810" i="3"/>
  <c r="E811" i="3"/>
  <c r="E812" i="3"/>
  <c r="E813" i="3"/>
  <c r="E814" i="3"/>
  <c r="E817" i="3"/>
  <c r="E819" i="3"/>
  <c r="E820" i="3"/>
  <c r="E821" i="3"/>
  <c r="E823" i="3"/>
  <c r="E824" i="3"/>
  <c r="E825" i="3"/>
  <c r="E826" i="3"/>
  <c r="E827" i="3"/>
  <c r="E828" i="3"/>
  <c r="E829" i="3"/>
  <c r="E831" i="3"/>
  <c r="E833" i="3"/>
  <c r="E834" i="3"/>
  <c r="E835" i="3"/>
  <c r="E837" i="3"/>
  <c r="E838" i="3"/>
  <c r="E839" i="3"/>
  <c r="E840" i="3"/>
  <c r="E841" i="3"/>
  <c r="E842" i="3"/>
  <c r="E843" i="3"/>
  <c r="E845" i="3"/>
  <c r="E849" i="3"/>
  <c r="E850" i="3"/>
  <c r="E851" i="3"/>
  <c r="E852" i="3"/>
  <c r="E853" i="3"/>
  <c r="E854" i="3"/>
  <c r="E855" i="3"/>
  <c r="E856" i="3"/>
  <c r="E858" i="3"/>
  <c r="E859" i="3"/>
  <c r="E860" i="3"/>
  <c r="E861" i="3"/>
  <c r="E862" i="3"/>
  <c r="E863" i="3"/>
  <c r="E864" i="3"/>
  <c r="E865" i="3"/>
  <c r="E867" i="3"/>
  <c r="E870" i="3"/>
  <c r="E872" i="3"/>
  <c r="E873" i="3"/>
  <c r="E874" i="3"/>
  <c r="E876" i="3"/>
  <c r="E877" i="3"/>
  <c r="E878" i="3"/>
  <c r="E879" i="3"/>
  <c r="E880" i="3"/>
  <c r="E881" i="3"/>
  <c r="E882" i="3"/>
  <c r="E884" i="3"/>
  <c r="E886" i="3"/>
  <c r="E887" i="3"/>
  <c r="E888" i="3"/>
  <c r="E890" i="3"/>
  <c r="E891" i="3"/>
  <c r="E892" i="3"/>
  <c r="E893" i="3"/>
  <c r="E894" i="3"/>
  <c r="E895" i="3"/>
  <c r="E896" i="3"/>
  <c r="E898" i="3"/>
  <c r="E901" i="3"/>
  <c r="E902" i="3"/>
  <c r="E903" i="3"/>
  <c r="E904" i="3"/>
  <c r="E905" i="3"/>
  <c r="E906" i="3"/>
  <c r="E907" i="3"/>
  <c r="E909" i="3"/>
  <c r="E913" i="3"/>
  <c r="E914" i="3"/>
  <c r="E915" i="3"/>
  <c r="E917" i="3"/>
  <c r="E918" i="3"/>
  <c r="E919" i="3"/>
  <c r="E921" i="3"/>
  <c r="E922" i="3"/>
  <c r="E923" i="3"/>
  <c r="E925" i="3"/>
  <c r="E926" i="3"/>
  <c r="E927" i="3"/>
  <c r="E929" i="3"/>
  <c r="E931" i="3"/>
  <c r="E933" i="3"/>
  <c r="E934" i="3"/>
  <c r="E935" i="3"/>
  <c r="E936" i="3"/>
  <c r="E937" i="3"/>
  <c r="E938" i="3"/>
  <c r="E939" i="3"/>
  <c r="E940" i="3"/>
  <c r="E944" i="3"/>
  <c r="E946" i="3"/>
  <c r="E948" i="3"/>
  <c r="E949" i="3"/>
  <c r="E950" i="3"/>
  <c r="E951" i="3"/>
  <c r="E952" i="3"/>
  <c r="E956" i="3"/>
  <c r="E957" i="3"/>
  <c r="E958" i="3"/>
  <c r="E959" i="3"/>
  <c r="E961" i="3"/>
  <c r="E962" i="3"/>
  <c r="E963" i="3"/>
  <c r="E964" i="3"/>
  <c r="E965" i="3"/>
  <c r="E966" i="3"/>
  <c r="E967" i="3"/>
  <c r="E968" i="3"/>
  <c r="E969" i="3"/>
  <c r="E970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22" i="3"/>
  <c r="E1024" i="3"/>
  <c r="E1026" i="3"/>
  <c r="E1028" i="3"/>
  <c r="E1030" i="3"/>
  <c r="E1032" i="3"/>
  <c r="E1034" i="3"/>
  <c r="E1036" i="3"/>
  <c r="E1039" i="3"/>
  <c r="E1041" i="3"/>
  <c r="E1043" i="3"/>
  <c r="E1045" i="3"/>
  <c r="E1047" i="3"/>
  <c r="E1049" i="3"/>
  <c r="E1053" i="3"/>
  <c r="E1055" i="3"/>
  <c r="E1057" i="3"/>
  <c r="E1059" i="3"/>
  <c r="E1061" i="3"/>
  <c r="E1063" i="3"/>
  <c r="E1064" i="3"/>
  <c r="E1065" i="3"/>
  <c r="E1067" i="3"/>
  <c r="E1069" i="3"/>
  <c r="E1070" i="3"/>
  <c r="E1073" i="3"/>
  <c r="E1075" i="3"/>
  <c r="E1077" i="3"/>
  <c r="E1079" i="3"/>
  <c r="E1081" i="3"/>
  <c r="E1082" i="3"/>
  <c r="E1084" i="3"/>
  <c r="E1087" i="3"/>
  <c r="E1089" i="3"/>
  <c r="E1091" i="3"/>
  <c r="E1093" i="3"/>
  <c r="E1095" i="3"/>
  <c r="E1097" i="3"/>
  <c r="E1099" i="3"/>
  <c r="E1101" i="3"/>
  <c r="E1103" i="3"/>
  <c r="E1105" i="3"/>
  <c r="E1109" i="3"/>
  <c r="E1111" i="3"/>
  <c r="E1113" i="3"/>
  <c r="E1114" i="3"/>
  <c r="E1117" i="3"/>
  <c r="E1119" i="3"/>
  <c r="E1122" i="3"/>
  <c r="E1126" i="3"/>
  <c r="E1129" i="3"/>
  <c r="E1131" i="3"/>
  <c r="E1135" i="3"/>
  <c r="E1137" i="3"/>
  <c r="E1140" i="3"/>
  <c r="E1143" i="3"/>
  <c r="E1145" i="3"/>
  <c r="E1147" i="3"/>
  <c r="E1149" i="3"/>
  <c r="E1151" i="3"/>
  <c r="E1153" i="3"/>
  <c r="E1155" i="3"/>
  <c r="E1157" i="3"/>
  <c r="E1160" i="3"/>
  <c r="E1162" i="3"/>
  <c r="E1165" i="3"/>
  <c r="E1167" i="3"/>
  <c r="E1169" i="3"/>
  <c r="E1171" i="3"/>
  <c r="E1173" i="3"/>
  <c r="E1175" i="3"/>
  <c r="E1177" i="3"/>
  <c r="E1179" i="3"/>
  <c r="E1183" i="3"/>
  <c r="E1185" i="3"/>
  <c r="E1187" i="3"/>
  <c r="E1189" i="3"/>
  <c r="E1192" i="3"/>
  <c r="E1194" i="3"/>
  <c r="E1196" i="3"/>
  <c r="E7" i="3"/>
  <c r="H1155" i="3"/>
  <c r="H1147" i="3"/>
  <c r="H1082" i="3"/>
  <c r="H594" i="3"/>
  <c r="H589" i="3"/>
  <c r="H586" i="3"/>
  <c r="H585" i="3"/>
  <c r="H580" i="3"/>
  <c r="H574" i="3"/>
  <c r="H569" i="3"/>
  <c r="H566" i="3"/>
  <c r="H546" i="3"/>
  <c r="H539" i="3"/>
  <c r="H523" i="3"/>
  <c r="H508" i="3"/>
  <c r="H506" i="3"/>
  <c r="H495" i="3"/>
  <c r="H494" i="3"/>
  <c r="H492" i="3"/>
  <c r="H479" i="3"/>
  <c r="H433" i="3"/>
  <c r="H419" i="3"/>
  <c r="H418" i="3"/>
  <c r="H414" i="3"/>
  <c r="H412" i="3"/>
  <c r="H401" i="3"/>
  <c r="H399" i="3"/>
  <c r="H396" i="3"/>
  <c r="H395" i="3"/>
  <c r="H335" i="3"/>
  <c r="H328" i="3"/>
  <c r="H271" i="3"/>
  <c r="H258" i="3"/>
  <c r="H203" i="3"/>
  <c r="H199" i="3"/>
  <c r="H178" i="3"/>
  <c r="H101" i="3"/>
  <c r="H100" i="3"/>
  <c r="H85" i="3" s="1"/>
  <c r="H94" i="3"/>
  <c r="H90" i="3"/>
  <c r="H79" i="3"/>
  <c r="H76" i="3"/>
  <c r="H67" i="3"/>
  <c r="H42" i="3" s="1"/>
  <c r="H7" i="3"/>
  <c r="H51" i="3"/>
  <c r="H48" i="3"/>
  <c r="H45" i="3"/>
  <c r="H39" i="3"/>
  <c r="H36" i="3"/>
  <c r="H33" i="3"/>
  <c r="H30" i="3"/>
  <c r="H10" i="3"/>
  <c r="H384" i="2"/>
  <c r="H314" i="2"/>
  <c r="H312" i="2"/>
  <c r="H248" i="2"/>
  <c r="H66" i="2"/>
  <c r="H44" i="2"/>
  <c r="H14" i="2"/>
  <c r="G391" i="2" l="1"/>
  <c r="E1197" i="3"/>
  <c r="E390" i="2" s="1"/>
  <c r="F391" i="2"/>
  <c r="E41" i="2"/>
  <c r="E389" i="2" s="1"/>
  <c r="E204" i="4"/>
  <c r="E391" i="2" l="1"/>
  <c r="F576" i="4"/>
  <c r="F515" i="4"/>
  <c r="F511" i="4"/>
  <c r="F492" i="4"/>
  <c r="F158" i="4"/>
  <c r="F36" i="1"/>
  <c r="G36" i="1" s="1"/>
  <c r="E585" i="4" l="1"/>
  <c r="E584" i="4"/>
  <c r="E583" i="4"/>
  <c r="E581" i="4"/>
  <c r="E580" i="4"/>
  <c r="E579" i="4"/>
  <c r="E578" i="4"/>
  <c r="E573" i="4"/>
  <c r="E572" i="4"/>
  <c r="E571" i="4"/>
  <c r="E570" i="4"/>
  <c r="E569" i="4"/>
  <c r="E568" i="4"/>
  <c r="E567" i="4"/>
  <c r="E566" i="4"/>
  <c r="E564" i="4"/>
  <c r="E563" i="4"/>
  <c r="E561" i="4"/>
  <c r="E560" i="4"/>
  <c r="E559" i="4"/>
  <c r="E558" i="4"/>
  <c r="E557" i="4"/>
  <c r="E556" i="4"/>
  <c r="E555" i="4"/>
  <c r="E554" i="4"/>
  <c r="E552" i="4"/>
  <c r="E550" i="4"/>
  <c r="E549" i="4"/>
  <c r="E546" i="4"/>
  <c r="E545" i="4"/>
  <c r="E543" i="4"/>
  <c r="E541" i="4"/>
  <c r="E540" i="4"/>
  <c r="E539" i="4"/>
  <c r="E538" i="4"/>
  <c r="E537" i="4"/>
  <c r="E536" i="4"/>
  <c r="E535" i="4"/>
  <c r="E534" i="4"/>
  <c r="E532" i="4"/>
  <c r="E530" i="4"/>
  <c r="E529" i="4"/>
  <c r="E528" i="4"/>
  <c r="E527" i="4"/>
  <c r="E526" i="4"/>
  <c r="E525" i="4"/>
  <c r="E524" i="4"/>
  <c r="E522" i="4"/>
  <c r="E521" i="4"/>
  <c r="E519" i="4"/>
  <c r="E517" i="4"/>
  <c r="E513" i="4"/>
  <c r="E512" i="4"/>
  <c r="E509" i="4"/>
  <c r="E508" i="4"/>
  <c r="E506" i="4"/>
  <c r="E505" i="4"/>
  <c r="E504" i="4"/>
  <c r="E502" i="4"/>
  <c r="E501" i="4"/>
  <c r="E500" i="4"/>
  <c r="E499" i="4"/>
  <c r="E498" i="4"/>
  <c r="E496" i="4"/>
  <c r="E495" i="4"/>
  <c r="E494" i="4"/>
  <c r="E490" i="4"/>
  <c r="E489" i="4"/>
  <c r="E488" i="4"/>
  <c r="E487" i="4"/>
  <c r="E486" i="4"/>
  <c r="E485" i="4"/>
  <c r="E484" i="4"/>
  <c r="E483" i="4"/>
  <c r="E482" i="4"/>
  <c r="E481" i="4"/>
  <c r="E479" i="4"/>
  <c r="E478" i="4"/>
  <c r="E477" i="4"/>
  <c r="E476" i="4"/>
  <c r="E475" i="4"/>
  <c r="E474" i="4"/>
  <c r="E472" i="4"/>
  <c r="E471" i="4"/>
  <c r="E470" i="4"/>
  <c r="E469" i="4"/>
  <c r="E468" i="4"/>
  <c r="E467" i="4"/>
  <c r="E466" i="4"/>
  <c r="E465" i="4"/>
  <c r="E462" i="4"/>
  <c r="E461" i="4"/>
  <c r="E460" i="4"/>
  <c r="E459" i="4"/>
  <c r="E458" i="4"/>
  <c r="E457" i="4"/>
  <c r="E455" i="4"/>
  <c r="E454" i="4"/>
  <c r="E453" i="4"/>
  <c r="E452" i="4"/>
  <c r="E451" i="4"/>
  <c r="E450" i="4"/>
  <c r="E449" i="4"/>
  <c r="E448" i="4"/>
  <c r="E445" i="4"/>
  <c r="E444" i="4"/>
  <c r="E442" i="4"/>
  <c r="E441" i="4"/>
  <c r="E440" i="4"/>
  <c r="E437" i="4"/>
  <c r="E435" i="4"/>
  <c r="E434" i="4"/>
  <c r="E433" i="4"/>
  <c r="E432" i="4"/>
  <c r="E430" i="4"/>
  <c r="E429" i="4"/>
  <c r="E427" i="4"/>
  <c r="E426" i="4"/>
  <c r="E425" i="4"/>
  <c r="E423" i="4"/>
  <c r="E422" i="4"/>
  <c r="E421" i="4"/>
  <c r="E418" i="4"/>
  <c r="E417" i="4"/>
  <c r="E416" i="4"/>
  <c r="E414" i="4"/>
  <c r="E413" i="4"/>
  <c r="E412" i="4"/>
  <c r="E409" i="4"/>
  <c r="E408" i="4"/>
  <c r="E407" i="4"/>
  <c r="E405" i="4"/>
  <c r="E404" i="4"/>
  <c r="E403" i="4"/>
  <c r="E400" i="4"/>
  <c r="E399" i="4"/>
  <c r="E398" i="4"/>
  <c r="E396" i="4"/>
  <c r="E395" i="4"/>
  <c r="E394" i="4"/>
  <c r="E392" i="4"/>
  <c r="E391" i="4"/>
  <c r="E390" i="4"/>
  <c r="E385" i="4"/>
  <c r="E384" i="4"/>
  <c r="E383" i="4"/>
  <c r="E382" i="4"/>
  <c r="E380" i="4"/>
  <c r="E379" i="4"/>
  <c r="E377" i="4"/>
  <c r="E375" i="4"/>
  <c r="E374" i="4"/>
  <c r="E373" i="4"/>
  <c r="E372" i="4"/>
  <c r="E371" i="4"/>
  <c r="E370" i="4"/>
  <c r="E369" i="4"/>
  <c r="E367" i="4"/>
  <c r="E366" i="4"/>
  <c r="E364" i="4"/>
  <c r="E363" i="4"/>
  <c r="E362" i="4"/>
  <c r="E360" i="4"/>
  <c r="E359" i="4"/>
  <c r="E358" i="4"/>
  <c r="E357" i="4"/>
  <c r="E356" i="4"/>
  <c r="E355" i="4"/>
  <c r="E353" i="4"/>
  <c r="E352" i="4"/>
  <c r="E350" i="4"/>
  <c r="E349" i="4"/>
  <c r="E348" i="4"/>
  <c r="E346" i="4"/>
  <c r="E345" i="4"/>
  <c r="E343" i="4"/>
  <c r="E342" i="4"/>
  <c r="E341" i="4"/>
  <c r="E340" i="4"/>
  <c r="E339" i="4"/>
  <c r="E338" i="4"/>
  <c r="E337" i="4"/>
  <c r="E336" i="4"/>
  <c r="E335" i="4"/>
  <c r="E333" i="4"/>
  <c r="E332" i="4"/>
  <c r="E329" i="4"/>
  <c r="E328" i="4"/>
  <c r="E327" i="4"/>
  <c r="E326" i="4"/>
  <c r="E325" i="4"/>
  <c r="E324" i="4"/>
  <c r="E323" i="4"/>
  <c r="E322" i="4"/>
  <c r="E320" i="4"/>
  <c r="E319" i="4"/>
  <c r="E318" i="4"/>
  <c r="E316" i="4"/>
  <c r="E315" i="4"/>
  <c r="E314" i="4"/>
  <c r="E313" i="4"/>
  <c r="E312" i="4"/>
  <c r="E311" i="4"/>
  <c r="E309" i="4"/>
  <c r="E308" i="4"/>
  <c r="E306" i="4"/>
  <c r="E305" i="4"/>
  <c r="E304" i="4"/>
  <c r="E303" i="4"/>
  <c r="E302" i="4"/>
  <c r="E301" i="4"/>
  <c r="E300" i="4"/>
  <c r="E298" i="4"/>
  <c r="E297" i="4"/>
  <c r="E296" i="4"/>
  <c r="E295" i="4"/>
  <c r="E294" i="4"/>
  <c r="E293" i="4"/>
  <c r="E292" i="4"/>
  <c r="E290" i="4"/>
  <c r="E289" i="4"/>
  <c r="E288" i="4"/>
  <c r="E287" i="4"/>
  <c r="E286" i="4"/>
  <c r="E285" i="4"/>
  <c r="E284" i="4"/>
  <c r="E281" i="4"/>
  <c r="E280" i="4"/>
  <c r="E279" i="4"/>
  <c r="E278" i="4"/>
  <c r="E276" i="4"/>
  <c r="E275" i="4"/>
  <c r="E274" i="4"/>
  <c r="E273" i="4"/>
  <c r="E272" i="4"/>
  <c r="E270" i="4"/>
  <c r="E269" i="4"/>
  <c r="E268" i="4"/>
  <c r="E267" i="4"/>
  <c r="E266" i="4"/>
  <c r="E265" i="4"/>
  <c r="E263" i="4"/>
  <c r="E262" i="4"/>
  <c r="E261" i="4"/>
  <c r="E260" i="4"/>
  <c r="E259" i="4"/>
  <c r="E257" i="4"/>
  <c r="E256" i="4"/>
  <c r="E255" i="4"/>
  <c r="E254" i="4"/>
  <c r="E253" i="4"/>
  <c r="E251" i="4"/>
  <c r="E250" i="4"/>
  <c r="E249" i="4"/>
  <c r="E247" i="4"/>
  <c r="E246" i="4"/>
  <c r="E245" i="4"/>
  <c r="E244" i="4"/>
  <c r="E242" i="4"/>
  <c r="E241" i="4"/>
  <c r="E240" i="4"/>
  <c r="E239" i="4"/>
  <c r="E237" i="4"/>
  <c r="E236" i="4"/>
  <c r="E235" i="4"/>
  <c r="E234" i="4"/>
  <c r="E233" i="4"/>
  <c r="E231" i="4"/>
  <c r="E230" i="4"/>
  <c r="E229" i="4"/>
  <c r="E228" i="4"/>
  <c r="E227" i="4"/>
  <c r="E226" i="4"/>
  <c r="E225" i="4"/>
  <c r="E224" i="4"/>
  <c r="E223" i="4"/>
  <c r="E222" i="4"/>
  <c r="E220" i="4"/>
  <c r="E219" i="4"/>
  <c r="E218" i="4"/>
  <c r="E217" i="4"/>
  <c r="E216" i="4"/>
  <c r="E215" i="4"/>
  <c r="E214" i="4"/>
  <c r="E212" i="4"/>
  <c r="E211" i="4"/>
  <c r="E210" i="4"/>
  <c r="E208" i="4"/>
  <c r="E207" i="4"/>
  <c r="E206" i="4"/>
  <c r="E205" i="4"/>
  <c r="E203" i="4"/>
  <c r="E198" i="4"/>
  <c r="E197" i="4"/>
  <c r="E196" i="4"/>
  <c r="E195" i="4"/>
  <c r="E194" i="4"/>
  <c r="E193" i="4"/>
  <c r="E192" i="4"/>
  <c r="E190" i="4"/>
  <c r="E189" i="4"/>
  <c r="E188" i="4"/>
  <c r="E187" i="4"/>
  <c r="E186" i="4"/>
  <c r="E185" i="4"/>
  <c r="E184" i="4"/>
  <c r="E183" i="4"/>
  <c r="E181" i="4"/>
  <c r="E180" i="4"/>
  <c r="E179" i="4"/>
  <c r="E178" i="4"/>
  <c r="E177" i="4"/>
  <c r="E176" i="4"/>
  <c r="E175" i="4"/>
  <c r="E174" i="4"/>
  <c r="E172" i="4"/>
  <c r="E171" i="4"/>
  <c r="E170" i="4"/>
  <c r="E168" i="4"/>
  <c r="E167" i="4"/>
  <c r="E166" i="4"/>
  <c r="E164" i="4"/>
  <c r="E163" i="4"/>
  <c r="E162" i="4"/>
  <c r="E156" i="4"/>
  <c r="E155" i="4"/>
  <c r="E154" i="4"/>
  <c r="E152" i="4"/>
  <c r="E151" i="4"/>
  <c r="E150" i="4"/>
  <c r="E149" i="4"/>
  <c r="E148" i="4"/>
  <c r="E147" i="4"/>
  <c r="E146" i="4"/>
  <c r="E144" i="4"/>
  <c r="E143" i="4"/>
  <c r="E142" i="4"/>
  <c r="E140" i="4"/>
  <c r="E139" i="4"/>
  <c r="E138" i="4"/>
  <c r="E137" i="4"/>
  <c r="E136" i="4"/>
  <c r="E133" i="4"/>
  <c r="E132" i="4"/>
  <c r="E131" i="4"/>
  <c r="E129" i="4"/>
  <c r="E128" i="4"/>
  <c r="E127" i="4"/>
  <c r="E126" i="4"/>
  <c r="E124" i="4"/>
  <c r="E123" i="4"/>
  <c r="E121" i="4"/>
  <c r="E119" i="4"/>
  <c r="E118" i="4"/>
  <c r="E117" i="4"/>
  <c r="E116" i="4"/>
  <c r="E115" i="4"/>
  <c r="E114" i="4"/>
  <c r="E113" i="4"/>
  <c r="E111" i="4"/>
  <c r="E110" i="4"/>
  <c r="E109" i="4"/>
  <c r="E108" i="4"/>
  <c r="E107" i="4"/>
  <c r="E106" i="4"/>
  <c r="E104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4" i="4"/>
  <c r="E63" i="4"/>
  <c r="E62" i="4"/>
  <c r="E61" i="4"/>
  <c r="E60" i="4"/>
  <c r="E58" i="4"/>
  <c r="E57" i="4"/>
  <c r="E55" i="4"/>
  <c r="E54" i="4"/>
  <c r="E53" i="4"/>
  <c r="E52" i="4"/>
  <c r="E51" i="4"/>
  <c r="E49" i="4"/>
  <c r="E48" i="4"/>
  <c r="E47" i="4"/>
  <c r="E46" i="4"/>
  <c r="E45" i="4"/>
  <c r="E43" i="4"/>
  <c r="E42" i="4"/>
  <c r="E40" i="4"/>
  <c r="E39" i="4"/>
  <c r="E38" i="4"/>
  <c r="E37" i="4"/>
  <c r="E34" i="4"/>
  <c r="E33" i="4"/>
  <c r="E32" i="4"/>
  <c r="E31" i="4"/>
  <c r="E29" i="4"/>
  <c r="E28" i="4"/>
  <c r="D42" i="4"/>
  <c r="F42" i="4" s="1"/>
  <c r="E56" i="4" l="1"/>
  <c r="E122" i="4"/>
  <c r="E153" i="4"/>
  <c r="E50" i="4"/>
  <c r="E497" i="4"/>
  <c r="E125" i="4"/>
  <c r="E145" i="4"/>
  <c r="E533" i="4"/>
  <c r="E531" i="4" s="1"/>
  <c r="E44" i="4"/>
  <c r="E141" i="4"/>
  <c r="E130" i="4"/>
  <c r="E344" i="4"/>
  <c r="E36" i="4"/>
  <c r="E67" i="4"/>
  <c r="E523" i="4"/>
  <c r="E520" i="4" s="1"/>
  <c r="E112" i="4"/>
  <c r="E493" i="4"/>
  <c r="E99" i="4"/>
  <c r="E84" i="4" s="1"/>
  <c r="E135" i="4"/>
  <c r="E134" i="4" s="1"/>
  <c r="E105" i="4"/>
  <c r="E30" i="4"/>
  <c r="E27" i="4" s="1"/>
  <c r="E26" i="4" s="1"/>
  <c r="E41" i="4"/>
  <c r="E59" i="4"/>
  <c r="E202" i="4"/>
  <c r="E201" i="4" s="1"/>
  <c r="E347" i="4"/>
  <c r="E378" i="4"/>
  <c r="E439" i="4"/>
  <c r="E438" i="4" s="1"/>
  <c r="E436" i="4" s="1"/>
  <c r="E503" i="4"/>
  <c r="E381" i="4"/>
  <c r="E406" i="4"/>
  <c r="E553" i="4"/>
  <c r="E551" i="4" s="1"/>
  <c r="E299" i="4"/>
  <c r="E310" i="4"/>
  <c r="E365" i="4"/>
  <c r="E165" i="4"/>
  <c r="E161" i="4" s="1"/>
  <c r="E243" i="4"/>
  <c r="E252" i="4"/>
  <c r="E248" i="4" s="1"/>
  <c r="E283" i="4"/>
  <c r="E282" i="4" s="1"/>
  <c r="E321" i="4"/>
  <c r="E209" i="4"/>
  <c r="E420" i="4"/>
  <c r="E424" i="4"/>
  <c r="E565" i="4"/>
  <c r="E562" i="4" s="1"/>
  <c r="E173" i="4"/>
  <c r="E238" i="4"/>
  <c r="E411" i="4"/>
  <c r="E443" i="4"/>
  <c r="E548" i="4"/>
  <c r="E577" i="4"/>
  <c r="E397" i="4"/>
  <c r="E402" i="4"/>
  <c r="E291" i="4"/>
  <c r="E473" i="4"/>
  <c r="E182" i="4"/>
  <c r="E334" i="4"/>
  <c r="E507" i="4"/>
  <c r="E191" i="4"/>
  <c r="E277" i="4"/>
  <c r="E317" i="4"/>
  <c r="E415" i="4"/>
  <c r="E480" i="4"/>
  <c r="E271" i="4"/>
  <c r="E431" i="4"/>
  <c r="E428" i="4" s="1"/>
  <c r="E447" i="4"/>
  <c r="E514" i="4"/>
  <c r="E232" i="4"/>
  <c r="E354" i="4"/>
  <c r="E456" i="4"/>
  <c r="E221" i="4"/>
  <c r="E213" i="4" s="1"/>
  <c r="E258" i="4"/>
  <c r="E264" i="4"/>
  <c r="E361" i="4"/>
  <c r="E368" i="4"/>
  <c r="E389" i="4"/>
  <c r="E169" i="4"/>
  <c r="E393" i="4"/>
  <c r="E464" i="4"/>
  <c r="E582" i="4"/>
  <c r="E307" i="4" l="1"/>
  <c r="E200" i="4" s="1"/>
  <c r="E518" i="4"/>
  <c r="E516" i="4" s="1"/>
  <c r="E510" i="4"/>
  <c r="E463" i="4"/>
  <c r="E120" i="4"/>
  <c r="E331" i="4"/>
  <c r="E547" i="4"/>
  <c r="E544" i="4" s="1"/>
  <c r="E542" i="4" s="1"/>
  <c r="E419" i="4"/>
  <c r="E376" i="4"/>
  <c r="E401" i="4"/>
  <c r="E66" i="4"/>
  <c r="E65" i="4" s="1"/>
  <c r="E35" i="4"/>
  <c r="E25" i="4" s="1"/>
  <c r="E586" i="4"/>
  <c r="E351" i="4"/>
  <c r="E410" i="4"/>
  <c r="E446" i="4"/>
  <c r="E388" i="4"/>
  <c r="E387" i="4" s="1"/>
  <c r="E160" i="4"/>
  <c r="E159" i="4" s="1"/>
  <c r="E574" i="4" l="1"/>
  <c r="E330" i="4"/>
  <c r="E199" i="4" s="1"/>
  <c r="E157" i="4"/>
  <c r="E386" i="4"/>
  <c r="D513" i="4"/>
  <c r="F513" i="4" s="1"/>
  <c r="D585" i="4"/>
  <c r="F585" i="4" s="1"/>
  <c r="D584" i="4"/>
  <c r="F584" i="4" s="1"/>
  <c r="D583" i="4"/>
  <c r="F583" i="4" s="1"/>
  <c r="D581" i="4"/>
  <c r="F581" i="4" s="1"/>
  <c r="D580" i="4"/>
  <c r="F580" i="4" s="1"/>
  <c r="D579" i="4"/>
  <c r="F579" i="4" s="1"/>
  <c r="D578" i="4"/>
  <c r="F578" i="4" s="1"/>
  <c r="D573" i="4"/>
  <c r="F573" i="4" s="1"/>
  <c r="D572" i="4"/>
  <c r="F572" i="4" s="1"/>
  <c r="D571" i="4"/>
  <c r="F571" i="4" s="1"/>
  <c r="D570" i="4"/>
  <c r="F570" i="4" s="1"/>
  <c r="D569" i="4"/>
  <c r="F569" i="4" s="1"/>
  <c r="D568" i="4"/>
  <c r="F568" i="4" s="1"/>
  <c r="D567" i="4"/>
  <c r="F567" i="4" s="1"/>
  <c r="D566" i="4"/>
  <c r="F566" i="4" s="1"/>
  <c r="D564" i="4"/>
  <c r="F564" i="4" s="1"/>
  <c r="D563" i="4"/>
  <c r="F563" i="4" s="1"/>
  <c r="D561" i="4"/>
  <c r="F561" i="4" s="1"/>
  <c r="D560" i="4"/>
  <c r="F560" i="4" s="1"/>
  <c r="D559" i="4"/>
  <c r="F559" i="4" s="1"/>
  <c r="D558" i="4"/>
  <c r="F558" i="4" s="1"/>
  <c r="D557" i="4"/>
  <c r="F557" i="4" s="1"/>
  <c r="D556" i="4"/>
  <c r="F556" i="4" s="1"/>
  <c r="D555" i="4"/>
  <c r="F555" i="4" s="1"/>
  <c r="D554" i="4"/>
  <c r="F554" i="4" s="1"/>
  <c r="D552" i="4"/>
  <c r="F552" i="4" s="1"/>
  <c r="D550" i="4"/>
  <c r="F550" i="4" s="1"/>
  <c r="D549" i="4"/>
  <c r="F549" i="4" s="1"/>
  <c r="D546" i="4"/>
  <c r="F546" i="4" s="1"/>
  <c r="D545" i="4"/>
  <c r="F545" i="4" s="1"/>
  <c r="D543" i="4"/>
  <c r="F543" i="4" s="1"/>
  <c r="D541" i="4"/>
  <c r="F541" i="4" s="1"/>
  <c r="D540" i="4"/>
  <c r="F540" i="4" s="1"/>
  <c r="D539" i="4"/>
  <c r="F539" i="4" s="1"/>
  <c r="D538" i="4"/>
  <c r="F538" i="4" s="1"/>
  <c r="D537" i="4"/>
  <c r="F537" i="4" s="1"/>
  <c r="D536" i="4"/>
  <c r="F536" i="4" s="1"/>
  <c r="D535" i="4"/>
  <c r="F535" i="4" s="1"/>
  <c r="D534" i="4"/>
  <c r="F534" i="4" s="1"/>
  <c r="D532" i="4"/>
  <c r="F532" i="4" s="1"/>
  <c r="D512" i="4"/>
  <c r="F512" i="4" s="1"/>
  <c r="D530" i="4"/>
  <c r="F530" i="4" s="1"/>
  <c r="D529" i="4"/>
  <c r="F529" i="4" s="1"/>
  <c r="D528" i="4"/>
  <c r="F528" i="4" s="1"/>
  <c r="D527" i="4"/>
  <c r="F527" i="4" s="1"/>
  <c r="D526" i="4"/>
  <c r="F526" i="4" s="1"/>
  <c r="D525" i="4"/>
  <c r="F525" i="4" s="1"/>
  <c r="D524" i="4"/>
  <c r="F524" i="4" s="1"/>
  <c r="D522" i="4"/>
  <c r="F522" i="4" s="1"/>
  <c r="D521" i="4"/>
  <c r="F521" i="4" s="1"/>
  <c r="D519" i="4"/>
  <c r="F519" i="4" s="1"/>
  <c r="D517" i="4"/>
  <c r="F517" i="4" s="1"/>
  <c r="D509" i="4"/>
  <c r="F509" i="4" s="1"/>
  <c r="D508" i="4"/>
  <c r="F508" i="4" s="1"/>
  <c r="D506" i="4"/>
  <c r="F506" i="4" s="1"/>
  <c r="D505" i="4"/>
  <c r="F505" i="4" s="1"/>
  <c r="D504" i="4"/>
  <c r="F504" i="4" s="1"/>
  <c r="D502" i="4"/>
  <c r="F502" i="4" s="1"/>
  <c r="D501" i="4"/>
  <c r="F501" i="4" s="1"/>
  <c r="D500" i="4"/>
  <c r="F500" i="4" s="1"/>
  <c r="D499" i="4"/>
  <c r="F499" i="4" s="1"/>
  <c r="D498" i="4"/>
  <c r="F498" i="4" s="1"/>
  <c r="D496" i="4"/>
  <c r="F496" i="4" s="1"/>
  <c r="D495" i="4"/>
  <c r="F495" i="4" s="1"/>
  <c r="D494" i="4"/>
  <c r="F494" i="4" s="1"/>
  <c r="D490" i="4"/>
  <c r="F490" i="4" s="1"/>
  <c r="D489" i="4"/>
  <c r="F489" i="4" s="1"/>
  <c r="D488" i="4"/>
  <c r="F488" i="4" s="1"/>
  <c r="D487" i="4"/>
  <c r="F487" i="4" s="1"/>
  <c r="D486" i="4"/>
  <c r="F486" i="4" s="1"/>
  <c r="D485" i="4"/>
  <c r="F485" i="4" s="1"/>
  <c r="D484" i="4"/>
  <c r="F484" i="4" s="1"/>
  <c r="D483" i="4"/>
  <c r="F483" i="4" s="1"/>
  <c r="D482" i="4"/>
  <c r="F482" i="4" s="1"/>
  <c r="D481" i="4"/>
  <c r="F481" i="4" s="1"/>
  <c r="D479" i="4"/>
  <c r="F479" i="4" s="1"/>
  <c r="D478" i="4"/>
  <c r="F478" i="4" s="1"/>
  <c r="D477" i="4"/>
  <c r="F477" i="4" s="1"/>
  <c r="D476" i="4"/>
  <c r="F476" i="4" s="1"/>
  <c r="D475" i="4"/>
  <c r="F475" i="4" s="1"/>
  <c r="D474" i="4"/>
  <c r="F474" i="4" s="1"/>
  <c r="D472" i="4"/>
  <c r="F472" i="4" s="1"/>
  <c r="D471" i="4"/>
  <c r="F471" i="4" s="1"/>
  <c r="D470" i="4"/>
  <c r="F470" i="4" s="1"/>
  <c r="D469" i="4"/>
  <c r="F469" i="4" s="1"/>
  <c r="D468" i="4"/>
  <c r="F468" i="4" s="1"/>
  <c r="D467" i="4"/>
  <c r="F467" i="4" s="1"/>
  <c r="D466" i="4"/>
  <c r="F466" i="4" s="1"/>
  <c r="D465" i="4"/>
  <c r="F465" i="4" s="1"/>
  <c r="D462" i="4"/>
  <c r="F462" i="4" s="1"/>
  <c r="D461" i="4"/>
  <c r="F461" i="4" s="1"/>
  <c r="D460" i="4"/>
  <c r="F460" i="4" s="1"/>
  <c r="D459" i="4"/>
  <c r="F459" i="4" s="1"/>
  <c r="D458" i="4"/>
  <c r="F458" i="4" s="1"/>
  <c r="D457" i="4"/>
  <c r="F457" i="4" s="1"/>
  <c r="D455" i="4"/>
  <c r="F455" i="4" s="1"/>
  <c r="D454" i="4"/>
  <c r="F454" i="4" s="1"/>
  <c r="D453" i="4"/>
  <c r="F453" i="4" s="1"/>
  <c r="D452" i="4"/>
  <c r="F452" i="4" s="1"/>
  <c r="D451" i="4"/>
  <c r="F451" i="4" s="1"/>
  <c r="D450" i="4"/>
  <c r="F450" i="4" s="1"/>
  <c r="D449" i="4"/>
  <c r="F449" i="4" s="1"/>
  <c r="D448" i="4"/>
  <c r="F448" i="4" s="1"/>
  <c r="D445" i="4"/>
  <c r="F445" i="4" s="1"/>
  <c r="D444" i="4"/>
  <c r="F444" i="4" s="1"/>
  <c r="D442" i="4"/>
  <c r="F442" i="4" s="1"/>
  <c r="D441" i="4"/>
  <c r="F441" i="4" s="1"/>
  <c r="D440" i="4"/>
  <c r="F440" i="4" s="1"/>
  <c r="D437" i="4"/>
  <c r="F437" i="4" s="1"/>
  <c r="D435" i="4"/>
  <c r="F435" i="4" s="1"/>
  <c r="D434" i="4"/>
  <c r="F434" i="4" s="1"/>
  <c r="D433" i="4"/>
  <c r="F433" i="4" s="1"/>
  <c r="D432" i="4"/>
  <c r="F432" i="4" s="1"/>
  <c r="D430" i="4"/>
  <c r="F430" i="4" s="1"/>
  <c r="D429" i="4"/>
  <c r="F429" i="4" s="1"/>
  <c r="D427" i="4"/>
  <c r="F427" i="4" s="1"/>
  <c r="D426" i="4"/>
  <c r="F426" i="4" s="1"/>
  <c r="D425" i="4"/>
  <c r="F425" i="4" s="1"/>
  <c r="D423" i="4"/>
  <c r="F423" i="4" s="1"/>
  <c r="D422" i="4"/>
  <c r="F422" i="4" s="1"/>
  <c r="D421" i="4"/>
  <c r="F421" i="4" s="1"/>
  <c r="D418" i="4"/>
  <c r="F418" i="4" s="1"/>
  <c r="D417" i="4"/>
  <c r="F417" i="4" s="1"/>
  <c r="D416" i="4"/>
  <c r="F416" i="4" s="1"/>
  <c r="D414" i="4"/>
  <c r="F414" i="4" s="1"/>
  <c r="D413" i="4"/>
  <c r="F413" i="4" s="1"/>
  <c r="D412" i="4"/>
  <c r="F412" i="4" s="1"/>
  <c r="E491" i="4" l="1"/>
  <c r="E575" i="4" s="1"/>
  <c r="E587" i="4" s="1"/>
  <c r="D409" i="4"/>
  <c r="F409" i="4" s="1"/>
  <c r="D408" i="4"/>
  <c r="F408" i="4" s="1"/>
  <c r="D407" i="4"/>
  <c r="F407" i="4" s="1"/>
  <c r="D405" i="4"/>
  <c r="F405" i="4" s="1"/>
  <c r="D404" i="4"/>
  <c r="F404" i="4" s="1"/>
  <c r="D403" i="4"/>
  <c r="F403" i="4" s="1"/>
  <c r="D400" i="4"/>
  <c r="F400" i="4" s="1"/>
  <c r="D399" i="4"/>
  <c r="F399" i="4" s="1"/>
  <c r="D398" i="4"/>
  <c r="F398" i="4" s="1"/>
  <c r="D396" i="4"/>
  <c r="F396" i="4" s="1"/>
  <c r="D395" i="4"/>
  <c r="F395" i="4" s="1"/>
  <c r="D394" i="4"/>
  <c r="F394" i="4" s="1"/>
  <c r="D392" i="4"/>
  <c r="F392" i="4" s="1"/>
  <c r="D391" i="4"/>
  <c r="F391" i="4" s="1"/>
  <c r="D390" i="4"/>
  <c r="F390" i="4" s="1"/>
  <c r="D385" i="4"/>
  <c r="F385" i="4" s="1"/>
  <c r="D384" i="4"/>
  <c r="F384" i="4" s="1"/>
  <c r="D383" i="4"/>
  <c r="F383" i="4" s="1"/>
  <c r="D382" i="4"/>
  <c r="F382" i="4" s="1"/>
  <c r="D380" i="4"/>
  <c r="F380" i="4" s="1"/>
  <c r="D379" i="4"/>
  <c r="F379" i="4" s="1"/>
  <c r="D377" i="4"/>
  <c r="F377" i="4" s="1"/>
  <c r="D375" i="4"/>
  <c r="F375" i="4" s="1"/>
  <c r="D374" i="4"/>
  <c r="F374" i="4" s="1"/>
  <c r="D373" i="4"/>
  <c r="F373" i="4" s="1"/>
  <c r="D372" i="4"/>
  <c r="F372" i="4" s="1"/>
  <c r="D371" i="4"/>
  <c r="F371" i="4" s="1"/>
  <c r="D370" i="4"/>
  <c r="F370" i="4" s="1"/>
  <c r="D369" i="4"/>
  <c r="F369" i="4" s="1"/>
  <c r="D367" i="4"/>
  <c r="F367" i="4" s="1"/>
  <c r="D366" i="4"/>
  <c r="F366" i="4" s="1"/>
  <c r="D364" i="4"/>
  <c r="F364" i="4" s="1"/>
  <c r="D363" i="4"/>
  <c r="F363" i="4" s="1"/>
  <c r="D362" i="4"/>
  <c r="F362" i="4" s="1"/>
  <c r="D360" i="4"/>
  <c r="F360" i="4" s="1"/>
  <c r="D359" i="4"/>
  <c r="F359" i="4" s="1"/>
  <c r="D358" i="4"/>
  <c r="F358" i="4" s="1"/>
  <c r="D357" i="4"/>
  <c r="F357" i="4" s="1"/>
  <c r="D356" i="4"/>
  <c r="F356" i="4" s="1"/>
  <c r="D355" i="4"/>
  <c r="F355" i="4" s="1"/>
  <c r="D353" i="4"/>
  <c r="F353" i="4" s="1"/>
  <c r="D352" i="4"/>
  <c r="F352" i="4" s="1"/>
  <c r="D350" i="4"/>
  <c r="F350" i="4" s="1"/>
  <c r="D349" i="4"/>
  <c r="F349" i="4" s="1"/>
  <c r="D348" i="4"/>
  <c r="F348" i="4" s="1"/>
  <c r="D346" i="4"/>
  <c r="F346" i="4" s="1"/>
  <c r="D345" i="4"/>
  <c r="F345" i="4" s="1"/>
  <c r="D343" i="4"/>
  <c r="F343" i="4" s="1"/>
  <c r="D342" i="4"/>
  <c r="F342" i="4" s="1"/>
  <c r="D341" i="4"/>
  <c r="F341" i="4" s="1"/>
  <c r="D340" i="4"/>
  <c r="F340" i="4" s="1"/>
  <c r="D339" i="4"/>
  <c r="F339" i="4" s="1"/>
  <c r="D338" i="4"/>
  <c r="F338" i="4" s="1"/>
  <c r="D337" i="4"/>
  <c r="F337" i="4" s="1"/>
  <c r="D336" i="4"/>
  <c r="F336" i="4" s="1"/>
  <c r="D335" i="4"/>
  <c r="F335" i="4" s="1"/>
  <c r="D333" i="4"/>
  <c r="F333" i="4" s="1"/>
  <c r="D332" i="4"/>
  <c r="F332" i="4" s="1"/>
  <c r="D329" i="4"/>
  <c r="F329" i="4" s="1"/>
  <c r="D328" i="4"/>
  <c r="F328" i="4" s="1"/>
  <c r="D327" i="4"/>
  <c r="F327" i="4" s="1"/>
  <c r="D326" i="4"/>
  <c r="F326" i="4" s="1"/>
  <c r="D325" i="4"/>
  <c r="F325" i="4" s="1"/>
  <c r="D324" i="4"/>
  <c r="F324" i="4" s="1"/>
  <c r="D323" i="4"/>
  <c r="F323" i="4" s="1"/>
  <c r="D322" i="4"/>
  <c r="F322" i="4" s="1"/>
  <c r="D320" i="4"/>
  <c r="F320" i="4" s="1"/>
  <c r="D319" i="4"/>
  <c r="F319" i="4" s="1"/>
  <c r="D318" i="4"/>
  <c r="F318" i="4" s="1"/>
  <c r="D316" i="4"/>
  <c r="F316" i="4" s="1"/>
  <c r="D315" i="4"/>
  <c r="F315" i="4" s="1"/>
  <c r="D314" i="4"/>
  <c r="F314" i="4" s="1"/>
  <c r="D313" i="4"/>
  <c r="F313" i="4" s="1"/>
  <c r="D312" i="4"/>
  <c r="F312" i="4" s="1"/>
  <c r="D311" i="4"/>
  <c r="F311" i="4" s="1"/>
  <c r="D309" i="4"/>
  <c r="F309" i="4" s="1"/>
  <c r="D308" i="4"/>
  <c r="F308" i="4" s="1"/>
  <c r="D306" i="4"/>
  <c r="F306" i="4" s="1"/>
  <c r="D305" i="4"/>
  <c r="F305" i="4" s="1"/>
  <c r="D304" i="4"/>
  <c r="F304" i="4" s="1"/>
  <c r="D303" i="4"/>
  <c r="F303" i="4" s="1"/>
  <c r="D302" i="4"/>
  <c r="F302" i="4" s="1"/>
  <c r="D301" i="4"/>
  <c r="F301" i="4" s="1"/>
  <c r="D300" i="4"/>
  <c r="F300" i="4" s="1"/>
  <c r="D298" i="4"/>
  <c r="F298" i="4" s="1"/>
  <c r="D297" i="4"/>
  <c r="F297" i="4" s="1"/>
  <c r="D296" i="4"/>
  <c r="F296" i="4" s="1"/>
  <c r="D295" i="4"/>
  <c r="F295" i="4" s="1"/>
  <c r="D294" i="4"/>
  <c r="F294" i="4" s="1"/>
  <c r="D293" i="4"/>
  <c r="F293" i="4" s="1"/>
  <c r="D292" i="4"/>
  <c r="F292" i="4" s="1"/>
  <c r="D290" i="4"/>
  <c r="F290" i="4" s="1"/>
  <c r="D289" i="4"/>
  <c r="F289" i="4" s="1"/>
  <c r="D288" i="4"/>
  <c r="F288" i="4" s="1"/>
  <c r="D287" i="4"/>
  <c r="F287" i="4" s="1"/>
  <c r="D286" i="4"/>
  <c r="F286" i="4" s="1"/>
  <c r="D285" i="4"/>
  <c r="F285" i="4" s="1"/>
  <c r="D284" i="4"/>
  <c r="F284" i="4" s="1"/>
  <c r="D281" i="4"/>
  <c r="F281" i="4" s="1"/>
  <c r="D280" i="4"/>
  <c r="F280" i="4" s="1"/>
  <c r="D279" i="4"/>
  <c r="F279" i="4" s="1"/>
  <c r="D278" i="4"/>
  <c r="F278" i="4" s="1"/>
  <c r="D276" i="4"/>
  <c r="F276" i="4" s="1"/>
  <c r="D275" i="4"/>
  <c r="F275" i="4" s="1"/>
  <c r="D274" i="4"/>
  <c r="F274" i="4" s="1"/>
  <c r="D273" i="4"/>
  <c r="F273" i="4" s="1"/>
  <c r="D272" i="4"/>
  <c r="F272" i="4" s="1"/>
  <c r="D270" i="4"/>
  <c r="F270" i="4" s="1"/>
  <c r="D269" i="4"/>
  <c r="F269" i="4" s="1"/>
  <c r="D268" i="4"/>
  <c r="F268" i="4" s="1"/>
  <c r="D267" i="4"/>
  <c r="F267" i="4" s="1"/>
  <c r="D266" i="4"/>
  <c r="F266" i="4" s="1"/>
  <c r="D265" i="4"/>
  <c r="F265" i="4" s="1"/>
  <c r="D263" i="4"/>
  <c r="F263" i="4" s="1"/>
  <c r="D262" i="4"/>
  <c r="F262" i="4" s="1"/>
  <c r="D261" i="4"/>
  <c r="F261" i="4" s="1"/>
  <c r="D260" i="4"/>
  <c r="F260" i="4" s="1"/>
  <c r="D259" i="4"/>
  <c r="F259" i="4" s="1"/>
  <c r="D256" i="4"/>
  <c r="F256" i="4" s="1"/>
  <c r="D257" i="4"/>
  <c r="F257" i="4" s="1"/>
  <c r="D255" i="4"/>
  <c r="F255" i="4" s="1"/>
  <c r="D254" i="4"/>
  <c r="F254" i="4" s="1"/>
  <c r="D253" i="4"/>
  <c r="F253" i="4" s="1"/>
  <c r="D251" i="4"/>
  <c r="F251" i="4" s="1"/>
  <c r="D250" i="4"/>
  <c r="F250" i="4" s="1"/>
  <c r="D249" i="4"/>
  <c r="F249" i="4" s="1"/>
  <c r="D247" i="4"/>
  <c r="F247" i="4" s="1"/>
  <c r="D246" i="4"/>
  <c r="F246" i="4" s="1"/>
  <c r="D245" i="4"/>
  <c r="F245" i="4" s="1"/>
  <c r="D244" i="4"/>
  <c r="F244" i="4" s="1"/>
  <c r="D242" i="4"/>
  <c r="F242" i="4" s="1"/>
  <c r="D241" i="4"/>
  <c r="F241" i="4" s="1"/>
  <c r="D240" i="4"/>
  <c r="F240" i="4" s="1"/>
  <c r="D239" i="4"/>
  <c r="F239" i="4" s="1"/>
  <c r="D237" i="4"/>
  <c r="F237" i="4" s="1"/>
  <c r="D236" i="4"/>
  <c r="F236" i="4" s="1"/>
  <c r="D235" i="4"/>
  <c r="F235" i="4" s="1"/>
  <c r="D234" i="4"/>
  <c r="F234" i="4" s="1"/>
  <c r="D233" i="4"/>
  <c r="F233" i="4" s="1"/>
  <c r="D231" i="4"/>
  <c r="F231" i="4" s="1"/>
  <c r="D230" i="4"/>
  <c r="F230" i="4" s="1"/>
  <c r="D229" i="4"/>
  <c r="F229" i="4" s="1"/>
  <c r="D228" i="4"/>
  <c r="F228" i="4" s="1"/>
  <c r="D227" i="4"/>
  <c r="F227" i="4" s="1"/>
  <c r="D226" i="4"/>
  <c r="F226" i="4" s="1"/>
  <c r="D225" i="4"/>
  <c r="F225" i="4" s="1"/>
  <c r="D224" i="4"/>
  <c r="F224" i="4" s="1"/>
  <c r="D223" i="4"/>
  <c r="F223" i="4" s="1"/>
  <c r="D222" i="4"/>
  <c r="F222" i="4" s="1"/>
  <c r="D220" i="4"/>
  <c r="F220" i="4" s="1"/>
  <c r="D219" i="4"/>
  <c r="F219" i="4" s="1"/>
  <c r="D218" i="4"/>
  <c r="F218" i="4" s="1"/>
  <c r="D217" i="4"/>
  <c r="F217" i="4" s="1"/>
  <c r="D216" i="4"/>
  <c r="F216" i="4" s="1"/>
  <c r="D215" i="4"/>
  <c r="F215" i="4" s="1"/>
  <c r="D214" i="4"/>
  <c r="F214" i="4" s="1"/>
  <c r="D212" i="4"/>
  <c r="F212" i="4" s="1"/>
  <c r="D211" i="4"/>
  <c r="F211" i="4" s="1"/>
  <c r="D210" i="4"/>
  <c r="F210" i="4" s="1"/>
  <c r="D208" i="4"/>
  <c r="F208" i="4" s="1"/>
  <c r="D207" i="4"/>
  <c r="F207" i="4" s="1"/>
  <c r="D206" i="4"/>
  <c r="F206" i="4" s="1"/>
  <c r="D205" i="4"/>
  <c r="F205" i="4" s="1"/>
  <c r="D204" i="4"/>
  <c r="F204" i="4" s="1"/>
  <c r="D203" i="4"/>
  <c r="F203" i="4" s="1"/>
  <c r="D198" i="4"/>
  <c r="F198" i="4" s="1"/>
  <c r="D197" i="4"/>
  <c r="F197" i="4" s="1"/>
  <c r="D196" i="4"/>
  <c r="F196" i="4" s="1"/>
  <c r="D195" i="4"/>
  <c r="F195" i="4" s="1"/>
  <c r="D194" i="4"/>
  <c r="F194" i="4" s="1"/>
  <c r="D193" i="4"/>
  <c r="F193" i="4" s="1"/>
  <c r="D192" i="4"/>
  <c r="F192" i="4" s="1"/>
  <c r="D190" i="4"/>
  <c r="F190" i="4" s="1"/>
  <c r="D189" i="4"/>
  <c r="F189" i="4" s="1"/>
  <c r="D188" i="4"/>
  <c r="F188" i="4" s="1"/>
  <c r="D187" i="4"/>
  <c r="F187" i="4" s="1"/>
  <c r="D186" i="4"/>
  <c r="F186" i="4" s="1"/>
  <c r="D185" i="4"/>
  <c r="F185" i="4" s="1"/>
  <c r="D184" i="4"/>
  <c r="F184" i="4" s="1"/>
  <c r="D183" i="4"/>
  <c r="F183" i="4" s="1"/>
  <c r="D181" i="4"/>
  <c r="F181" i="4" s="1"/>
  <c r="D180" i="4"/>
  <c r="F180" i="4" s="1"/>
  <c r="D179" i="4"/>
  <c r="F179" i="4" s="1"/>
  <c r="D178" i="4"/>
  <c r="F178" i="4" s="1"/>
  <c r="D177" i="4"/>
  <c r="F177" i="4" s="1"/>
  <c r="D176" i="4"/>
  <c r="F176" i="4" s="1"/>
  <c r="D175" i="4"/>
  <c r="F175" i="4" s="1"/>
  <c r="D174" i="4"/>
  <c r="F174" i="4" s="1"/>
  <c r="D172" i="4"/>
  <c r="F172" i="4" s="1"/>
  <c r="D171" i="4"/>
  <c r="F171" i="4" s="1"/>
  <c r="D170" i="4"/>
  <c r="F170" i="4" s="1"/>
  <c r="D168" i="4"/>
  <c r="F168" i="4" s="1"/>
  <c r="D167" i="4"/>
  <c r="F167" i="4" s="1"/>
  <c r="D166" i="4"/>
  <c r="F166" i="4" s="1"/>
  <c r="D164" i="4"/>
  <c r="F164" i="4" s="1"/>
  <c r="D163" i="4"/>
  <c r="F163" i="4" s="1"/>
  <c r="D162" i="4"/>
  <c r="F162" i="4" s="1"/>
  <c r="D156" i="4"/>
  <c r="F156" i="4" s="1"/>
  <c r="D155" i="4"/>
  <c r="F155" i="4" s="1"/>
  <c r="D154" i="4"/>
  <c r="F154" i="4" s="1"/>
  <c r="D152" i="4"/>
  <c r="F152" i="4" s="1"/>
  <c r="D151" i="4"/>
  <c r="F151" i="4" s="1"/>
  <c r="D150" i="4"/>
  <c r="F150" i="4" s="1"/>
  <c r="D149" i="4"/>
  <c r="F149" i="4" s="1"/>
  <c r="D148" i="4"/>
  <c r="F148" i="4" s="1"/>
  <c r="D147" i="4"/>
  <c r="F147" i="4" s="1"/>
  <c r="D146" i="4"/>
  <c r="F146" i="4" s="1"/>
  <c r="D144" i="4"/>
  <c r="F144" i="4" s="1"/>
  <c r="D143" i="4"/>
  <c r="F143" i="4" s="1"/>
  <c r="D142" i="4"/>
  <c r="F142" i="4" s="1"/>
  <c r="D139" i="4"/>
  <c r="F139" i="4" s="1"/>
  <c r="D138" i="4"/>
  <c r="F138" i="4" s="1"/>
  <c r="D137" i="4"/>
  <c r="F137" i="4" s="1"/>
  <c r="D136" i="4"/>
  <c r="F136" i="4" s="1"/>
  <c r="D132" i="4"/>
  <c r="F132" i="4" s="1"/>
  <c r="D131" i="4"/>
  <c r="F131" i="4" s="1"/>
  <c r="D129" i="4"/>
  <c r="F129" i="4" s="1"/>
  <c r="D128" i="4"/>
  <c r="F128" i="4" s="1"/>
  <c r="D127" i="4"/>
  <c r="F127" i="4" s="1"/>
  <c r="D126" i="4"/>
  <c r="F126" i="4" s="1"/>
  <c r="D124" i="4"/>
  <c r="F124" i="4" s="1"/>
  <c r="D123" i="4"/>
  <c r="F123" i="4" s="1"/>
  <c r="D121" i="4"/>
  <c r="F121" i="4" s="1"/>
  <c r="D119" i="4"/>
  <c r="F119" i="4" s="1"/>
  <c r="D118" i="4"/>
  <c r="F118" i="4" s="1"/>
  <c r="D117" i="4"/>
  <c r="F117" i="4" s="1"/>
  <c r="D116" i="4"/>
  <c r="F116" i="4" s="1"/>
  <c r="D115" i="4"/>
  <c r="F115" i="4" s="1"/>
  <c r="D114" i="4"/>
  <c r="F114" i="4" s="1"/>
  <c r="D113" i="4"/>
  <c r="F113" i="4" s="1"/>
  <c r="D110" i="4"/>
  <c r="F110" i="4" s="1"/>
  <c r="D109" i="4"/>
  <c r="F109" i="4" s="1"/>
  <c r="D108" i="4"/>
  <c r="F108" i="4" s="1"/>
  <c r="D107" i="4"/>
  <c r="F107" i="4" s="1"/>
  <c r="D106" i="4"/>
  <c r="F106" i="4" s="1"/>
  <c r="D104" i="4"/>
  <c r="F104" i="4" s="1"/>
  <c r="D103" i="4"/>
  <c r="F103" i="4" s="1"/>
  <c r="D102" i="4"/>
  <c r="F102" i="4" s="1"/>
  <c r="D101" i="4"/>
  <c r="F101" i="4" s="1"/>
  <c r="D100" i="4"/>
  <c r="F100" i="4" s="1"/>
  <c r="D98" i="4"/>
  <c r="F98" i="4" s="1"/>
  <c r="D97" i="4"/>
  <c r="F97" i="4" s="1"/>
  <c r="D96" i="4"/>
  <c r="F96" i="4" s="1"/>
  <c r="D95" i="4"/>
  <c r="F95" i="4" s="1"/>
  <c r="D94" i="4"/>
  <c r="F94" i="4" s="1"/>
  <c r="D93" i="4"/>
  <c r="F93" i="4" s="1"/>
  <c r="D92" i="4"/>
  <c r="F92" i="4" s="1"/>
  <c r="D91" i="4"/>
  <c r="F91" i="4" s="1"/>
  <c r="D90" i="4"/>
  <c r="F90" i="4" s="1"/>
  <c r="D89" i="4"/>
  <c r="F89" i="4" s="1"/>
  <c r="D88" i="4"/>
  <c r="F88" i="4" s="1"/>
  <c r="D87" i="4"/>
  <c r="F87" i="4" s="1"/>
  <c r="D86" i="4"/>
  <c r="F86" i="4" s="1"/>
  <c r="D85" i="4"/>
  <c r="F85" i="4" s="1"/>
  <c r="D83" i="4"/>
  <c r="F83" i="4" s="1"/>
  <c r="D82" i="4"/>
  <c r="F82" i="4" s="1"/>
  <c r="D81" i="4"/>
  <c r="F81" i="4" s="1"/>
  <c r="D80" i="4"/>
  <c r="F80" i="4" s="1"/>
  <c r="D79" i="4"/>
  <c r="F79" i="4" s="1"/>
  <c r="D78" i="4"/>
  <c r="F78" i="4" s="1"/>
  <c r="D77" i="4"/>
  <c r="F77" i="4" s="1"/>
  <c r="D76" i="4"/>
  <c r="F76" i="4" s="1"/>
  <c r="D75" i="4"/>
  <c r="F75" i="4" s="1"/>
  <c r="D74" i="4"/>
  <c r="F74" i="4" s="1"/>
  <c r="D73" i="4"/>
  <c r="F73" i="4" s="1"/>
  <c r="D72" i="4"/>
  <c r="F72" i="4" s="1"/>
  <c r="D71" i="4"/>
  <c r="F71" i="4" s="1"/>
  <c r="D70" i="4"/>
  <c r="F70" i="4" s="1"/>
  <c r="D69" i="4"/>
  <c r="F69" i="4" s="1"/>
  <c r="D68" i="4"/>
  <c r="F68" i="4" s="1"/>
  <c r="D64" i="4"/>
  <c r="F64" i="4" s="1"/>
  <c r="D63" i="4"/>
  <c r="F63" i="4" s="1"/>
  <c r="D62" i="4"/>
  <c r="F62" i="4" s="1"/>
  <c r="D61" i="4"/>
  <c r="F61" i="4" s="1"/>
  <c r="D60" i="4"/>
  <c r="F60" i="4" s="1"/>
  <c r="D58" i="4"/>
  <c r="F58" i="4" s="1"/>
  <c r="D57" i="4"/>
  <c r="F57" i="4" s="1"/>
  <c r="D55" i="4"/>
  <c r="F55" i="4" s="1"/>
  <c r="D54" i="4"/>
  <c r="F54" i="4" s="1"/>
  <c r="D53" i="4"/>
  <c r="F53" i="4" s="1"/>
  <c r="D52" i="4"/>
  <c r="F52" i="4" s="1"/>
  <c r="D51" i="4"/>
  <c r="F51" i="4" s="1"/>
  <c r="D49" i="4"/>
  <c r="F49" i="4" s="1"/>
  <c r="D48" i="4"/>
  <c r="F48" i="4" s="1"/>
  <c r="D47" i="4"/>
  <c r="F47" i="4" s="1"/>
  <c r="D46" i="4"/>
  <c r="F46" i="4" s="1"/>
  <c r="D45" i="4"/>
  <c r="F45" i="4" s="1"/>
  <c r="D43" i="4"/>
  <c r="D40" i="4"/>
  <c r="F40" i="4" s="1"/>
  <c r="D39" i="4"/>
  <c r="F39" i="4" s="1"/>
  <c r="D38" i="4"/>
  <c r="F38" i="4" s="1"/>
  <c r="D37" i="4"/>
  <c r="F37" i="4" s="1"/>
  <c r="D34" i="4"/>
  <c r="F34" i="4" s="1"/>
  <c r="D33" i="4"/>
  <c r="F33" i="4" s="1"/>
  <c r="D32" i="4"/>
  <c r="F32" i="4" s="1"/>
  <c r="D31" i="4"/>
  <c r="F31" i="4" s="1"/>
  <c r="D29" i="4"/>
  <c r="F29" i="4" s="1"/>
  <c r="D28" i="4"/>
  <c r="F28" i="4" s="1"/>
  <c r="D140" i="4"/>
  <c r="F140" i="4" s="1"/>
  <c r="D111" i="4"/>
  <c r="F111" i="4" s="1"/>
  <c r="D41" i="4" l="1"/>
  <c r="F41" i="4" s="1"/>
  <c r="F43" i="4"/>
  <c r="H1197" i="3"/>
  <c r="H390" i="2" l="1"/>
  <c r="D116" i="1"/>
  <c r="D114" i="1"/>
  <c r="D113" i="1"/>
  <c r="D112" i="1"/>
  <c r="E111" i="1"/>
  <c r="D111" i="1"/>
  <c r="D103" i="1"/>
  <c r="D100" i="1"/>
  <c r="D95" i="1"/>
  <c r="E94" i="1"/>
  <c r="D94" i="1"/>
  <c r="D81" i="1"/>
  <c r="D74" i="1"/>
  <c r="D72" i="1"/>
  <c r="E57" i="1"/>
  <c r="D57" i="1"/>
  <c r="D32" i="1"/>
  <c r="E22" i="1"/>
  <c r="D22" i="1"/>
  <c r="D21" i="1"/>
  <c r="E20" i="1"/>
  <c r="D20" i="1"/>
  <c r="E19" i="1"/>
  <c r="D19" i="1"/>
  <c r="E18" i="1"/>
  <c r="D18" i="1"/>
  <c r="E14" i="1"/>
  <c r="D14" i="1"/>
  <c r="D13" i="1"/>
  <c r="D12" i="1"/>
  <c r="E11" i="1"/>
  <c r="D11" i="1"/>
  <c r="F57" i="1" l="1"/>
  <c r="G57" i="1" s="1"/>
  <c r="F11" i="1"/>
  <c r="G11" i="1" s="1"/>
  <c r="F19" i="1"/>
  <c r="G19" i="1" s="1"/>
  <c r="F22" i="1"/>
  <c r="G22" i="1" s="1"/>
  <c r="F14" i="1"/>
  <c r="G14" i="1" s="1"/>
  <c r="F94" i="1"/>
  <c r="G94" i="1" s="1"/>
  <c r="F18" i="1"/>
  <c r="G18" i="1" s="1"/>
  <c r="F20" i="1"/>
  <c r="G20" i="1" s="1"/>
  <c r="F111" i="1"/>
  <c r="G111" i="1" s="1"/>
  <c r="H389" i="2"/>
  <c r="D133" i="4"/>
  <c r="D122" i="4"/>
  <c r="F122" i="4" s="1"/>
  <c r="D153" i="4"/>
  <c r="E31" i="1"/>
  <c r="D135" i="4"/>
  <c r="E12" i="1"/>
  <c r="F12" i="1" s="1"/>
  <c r="G12" i="1" s="1"/>
  <c r="E100" i="1"/>
  <c r="F100" i="1" s="1"/>
  <c r="G100" i="1" s="1"/>
  <c r="E13" i="1"/>
  <c r="F13" i="1" s="1"/>
  <c r="G13" i="1" s="1"/>
  <c r="E21" i="1"/>
  <c r="E17" i="1" s="1"/>
  <c r="E32" i="1"/>
  <c r="F32" i="1" s="1"/>
  <c r="G32" i="1" s="1"/>
  <c r="D30" i="4"/>
  <c r="D344" i="4"/>
  <c r="F344" i="4" s="1"/>
  <c r="E54" i="1"/>
  <c r="D361" i="4"/>
  <c r="F361" i="4" s="1"/>
  <c r="D191" i="4"/>
  <c r="D202" i="4"/>
  <c r="D464" i="4"/>
  <c r="D480" i="4"/>
  <c r="E95" i="1"/>
  <c r="E96" i="1" s="1"/>
  <c r="E114" i="1"/>
  <c r="F114" i="1" s="1"/>
  <c r="G114" i="1" s="1"/>
  <c r="D283" i="4"/>
  <c r="D456" i="4"/>
  <c r="D110" i="1"/>
  <c r="D169" i="4"/>
  <c r="F169" i="4" s="1"/>
  <c r="E74" i="1"/>
  <c r="F74" i="1" s="1"/>
  <c r="G74" i="1" s="1"/>
  <c r="E81" i="1"/>
  <c r="F81" i="1" s="1"/>
  <c r="G81" i="1" s="1"/>
  <c r="E103" i="1"/>
  <c r="F103" i="1" s="1"/>
  <c r="G103" i="1" s="1"/>
  <c r="E112" i="1"/>
  <c r="F112" i="1" s="1"/>
  <c r="G112" i="1" s="1"/>
  <c r="D347" i="4"/>
  <c r="F347" i="4" s="1"/>
  <c r="D402" i="4"/>
  <c r="F402" i="4" s="1"/>
  <c r="E72" i="1"/>
  <c r="F72" i="1" s="1"/>
  <c r="G72" i="1" s="1"/>
  <c r="E113" i="1"/>
  <c r="F113" i="1" s="1"/>
  <c r="G113" i="1" s="1"/>
  <c r="E116" i="1"/>
  <c r="F116" i="1" s="1"/>
  <c r="G116" i="1" s="1"/>
  <c r="D96" i="1"/>
  <c r="D17" i="1"/>
  <c r="D125" i="4"/>
  <c r="F125" i="4" s="1"/>
  <c r="D232" i="4"/>
  <c r="D271" i="4"/>
  <c r="D67" i="4"/>
  <c r="F67" i="4" s="1"/>
  <c r="D420" i="4"/>
  <c r="F420" i="4" s="1"/>
  <c r="D424" i="4"/>
  <c r="F424" i="4" s="1"/>
  <c r="D431" i="4"/>
  <c r="D443" i="4"/>
  <c r="D577" i="4"/>
  <c r="F577" i="4" s="1"/>
  <c r="D252" i="4"/>
  <c r="D50" i="4"/>
  <c r="F50" i="4" s="1"/>
  <c r="D397" i="4"/>
  <c r="D415" i="4"/>
  <c r="F415" i="4" s="1"/>
  <c r="D523" i="4"/>
  <c r="D533" i="4"/>
  <c r="D238" i="4"/>
  <c r="D264" i="4"/>
  <c r="D365" i="4"/>
  <c r="D368" i="4"/>
  <c r="D393" i="4"/>
  <c r="D36" i="4"/>
  <c r="F36" i="4" s="1"/>
  <c r="D99" i="4"/>
  <c r="D317" i="4"/>
  <c r="F317" i="4" s="1"/>
  <c r="D381" i="4"/>
  <c r="F381" i="4" s="1"/>
  <c r="D493" i="4"/>
  <c r="F493" i="4" s="1"/>
  <c r="D497" i="4"/>
  <c r="F497" i="4" s="1"/>
  <c r="D503" i="4"/>
  <c r="F503" i="4" s="1"/>
  <c r="D514" i="4"/>
  <c r="F514" i="4" s="1"/>
  <c r="D15" i="1"/>
  <c r="D105" i="4"/>
  <c r="D165" i="4"/>
  <c r="D221" i="4"/>
  <c r="D243" i="4"/>
  <c r="D378" i="4"/>
  <c r="F378" i="4" s="1"/>
  <c r="D406" i="4"/>
  <c r="F406" i="4" s="1"/>
  <c r="D507" i="4"/>
  <c r="F507" i="4" s="1"/>
  <c r="D56" i="4"/>
  <c r="D145" i="4"/>
  <c r="D182" i="4"/>
  <c r="F182" i="4" s="1"/>
  <c r="D299" i="4"/>
  <c r="D565" i="4"/>
  <c r="D141" i="4"/>
  <c r="D173" i="4"/>
  <c r="F173" i="4" s="1"/>
  <c r="D209" i="4"/>
  <c r="D258" i="4"/>
  <c r="D277" i="4"/>
  <c r="D291" i="4"/>
  <c r="D389" i="4"/>
  <c r="F389" i="4" s="1"/>
  <c r="D411" i="4"/>
  <c r="F411" i="4" s="1"/>
  <c r="D439" i="4"/>
  <c r="F439" i="4" s="1"/>
  <c r="D582" i="4"/>
  <c r="F582" i="4" s="1"/>
  <c r="D334" i="4"/>
  <c r="F334" i="4" s="1"/>
  <c r="D473" i="4"/>
  <c r="D44" i="4"/>
  <c r="D59" i="4"/>
  <c r="D112" i="4"/>
  <c r="D447" i="4"/>
  <c r="F447" i="4" s="1"/>
  <c r="D310" i="4"/>
  <c r="F310" i="4" s="1"/>
  <c r="D321" i="4"/>
  <c r="D354" i="4"/>
  <c r="F354" i="4" s="1"/>
  <c r="D548" i="4"/>
  <c r="F548" i="4" s="1"/>
  <c r="D553" i="4"/>
  <c r="D30" i="1" l="1"/>
  <c r="F141" i="4"/>
  <c r="D27" i="4"/>
  <c r="F30" i="4"/>
  <c r="D33" i="1"/>
  <c r="F153" i="4"/>
  <c r="D24" i="1"/>
  <c r="F59" i="4"/>
  <c r="D531" i="4"/>
  <c r="F531" i="4" s="1"/>
  <c r="F533" i="4"/>
  <c r="D16" i="1"/>
  <c r="D10" i="1" s="1"/>
  <c r="F44" i="4"/>
  <c r="D28" i="1"/>
  <c r="F105" i="4"/>
  <c r="D84" i="4"/>
  <c r="F84" i="4" s="1"/>
  <c r="F99" i="4"/>
  <c r="D130" i="4"/>
  <c r="F130" i="4" s="1"/>
  <c r="F133" i="4"/>
  <c r="D134" i="4"/>
  <c r="F134" i="4" s="1"/>
  <c r="F135" i="4"/>
  <c r="D27" i="1"/>
  <c r="F112" i="4"/>
  <c r="D31" i="1"/>
  <c r="F31" i="1" s="1"/>
  <c r="G31" i="1" s="1"/>
  <c r="F145" i="4"/>
  <c r="D520" i="4"/>
  <c r="F520" i="4" s="1"/>
  <c r="F523" i="4"/>
  <c r="D23" i="1"/>
  <c r="F56" i="4"/>
  <c r="D44" i="1"/>
  <c r="F232" i="4"/>
  <c r="D282" i="4"/>
  <c r="F283" i="4"/>
  <c r="D562" i="4"/>
  <c r="F562" i="4" s="1"/>
  <c r="F565" i="4"/>
  <c r="D46" i="1"/>
  <c r="F243" i="4"/>
  <c r="D49" i="1"/>
  <c r="F264" i="4"/>
  <c r="D248" i="4"/>
  <c r="F252" i="4"/>
  <c r="D54" i="1"/>
  <c r="F54" i="1" s="1"/>
  <c r="G54" i="1" s="1"/>
  <c r="F299" i="4"/>
  <c r="D213" i="4"/>
  <c r="F221" i="4"/>
  <c r="D45" i="1"/>
  <c r="F238" i="4"/>
  <c r="D75" i="1"/>
  <c r="F443" i="4"/>
  <c r="D50" i="1"/>
  <c r="F271" i="4"/>
  <c r="D61" i="1"/>
  <c r="F365" i="4"/>
  <c r="D161" i="4"/>
  <c r="F161" i="4" s="1"/>
  <c r="F165" i="4"/>
  <c r="D428" i="4"/>
  <c r="F431" i="4"/>
  <c r="D83" i="1"/>
  <c r="F480" i="4"/>
  <c r="D551" i="4"/>
  <c r="F551" i="4" s="1"/>
  <c r="F553" i="4"/>
  <c r="D51" i="1"/>
  <c r="F277" i="4"/>
  <c r="D80" i="1"/>
  <c r="F464" i="4"/>
  <c r="D53" i="1"/>
  <c r="F291" i="4"/>
  <c r="D82" i="1"/>
  <c r="F473" i="4"/>
  <c r="D48" i="1"/>
  <c r="F258" i="4"/>
  <c r="D201" i="4"/>
  <c r="F202" i="4"/>
  <c r="D56" i="1"/>
  <c r="F321" i="4"/>
  <c r="D62" i="1"/>
  <c r="F368" i="4"/>
  <c r="D78" i="1"/>
  <c r="F456" i="4"/>
  <c r="D42" i="1"/>
  <c r="F209" i="4"/>
  <c r="D66" i="1"/>
  <c r="F393" i="4"/>
  <c r="D67" i="1"/>
  <c r="F397" i="4"/>
  <c r="D39" i="1"/>
  <c r="F191" i="4"/>
  <c r="F17" i="1"/>
  <c r="G17" i="1" s="1"/>
  <c r="F95" i="1"/>
  <c r="G95" i="1" s="1"/>
  <c r="F96" i="1"/>
  <c r="G96" i="1" s="1"/>
  <c r="F21" i="1"/>
  <c r="G21" i="1" s="1"/>
  <c r="H391" i="2"/>
  <c r="D351" i="4"/>
  <c r="D90" i="1"/>
  <c r="D89" i="1"/>
  <c r="E30" i="1"/>
  <c r="E28" i="1"/>
  <c r="E15" i="1"/>
  <c r="F15" i="1" s="1"/>
  <c r="G15" i="1" s="1"/>
  <c r="E27" i="1"/>
  <c r="E24" i="1"/>
  <c r="E33" i="1"/>
  <c r="E16" i="1"/>
  <c r="F16" i="1" s="1"/>
  <c r="G16" i="1" s="1"/>
  <c r="E89" i="1"/>
  <c r="E23" i="1"/>
  <c r="D376" i="4"/>
  <c r="D331" i="4"/>
  <c r="F331" i="4" s="1"/>
  <c r="D463" i="4"/>
  <c r="F463" i="4" s="1"/>
  <c r="D68" i="1"/>
  <c r="E59" i="1"/>
  <c r="D307" i="4"/>
  <c r="E45" i="1"/>
  <c r="E39" i="1"/>
  <c r="E77" i="1"/>
  <c r="E82" i="1"/>
  <c r="E43" i="1"/>
  <c r="D438" i="4"/>
  <c r="D73" i="1"/>
  <c r="E48" i="1"/>
  <c r="E49" i="1"/>
  <c r="D586" i="4"/>
  <c r="F586" i="4" s="1"/>
  <c r="D115" i="1"/>
  <c r="E68" i="1"/>
  <c r="E110" i="1"/>
  <c r="F110" i="1" s="1"/>
  <c r="G110" i="1" s="1"/>
  <c r="E80" i="1"/>
  <c r="E115" i="1"/>
  <c r="E75" i="1"/>
  <c r="E73" i="1"/>
  <c r="E71" i="1" s="1"/>
  <c r="E50" i="1"/>
  <c r="E47" i="1"/>
  <c r="E51" i="1"/>
  <c r="E44" i="1"/>
  <c r="D410" i="4"/>
  <c r="F410" i="4" s="1"/>
  <c r="E65" i="1"/>
  <c r="E56" i="1"/>
  <c r="E66" i="1"/>
  <c r="E69" i="1"/>
  <c r="E42" i="1"/>
  <c r="D388" i="4"/>
  <c r="D65" i="1"/>
  <c r="E78" i="1"/>
  <c r="E46" i="1"/>
  <c r="D419" i="4"/>
  <c r="F419" i="4" s="1"/>
  <c r="D401" i="4"/>
  <c r="F401" i="4" s="1"/>
  <c r="D69" i="1"/>
  <c r="E61" i="1"/>
  <c r="E90" i="1"/>
  <c r="E62" i="1"/>
  <c r="E67" i="1"/>
  <c r="D446" i="4"/>
  <c r="F446" i="4" s="1"/>
  <c r="D77" i="1"/>
  <c r="E83" i="1"/>
  <c r="E53" i="1"/>
  <c r="D35" i="4"/>
  <c r="D510" i="4"/>
  <c r="F510" i="4" s="1"/>
  <c r="F69" i="1" l="1"/>
  <c r="G69" i="1" s="1"/>
  <c r="F33" i="1"/>
  <c r="G33" i="1" s="1"/>
  <c r="F23" i="1"/>
  <c r="G23" i="1" s="1"/>
  <c r="F27" i="1"/>
  <c r="G27" i="1" s="1"/>
  <c r="F28" i="1"/>
  <c r="G28" i="1" s="1"/>
  <c r="D120" i="4"/>
  <c r="F120" i="4" s="1"/>
  <c r="F30" i="1"/>
  <c r="G30" i="1" s="1"/>
  <c r="D518" i="4"/>
  <c r="F518" i="4" s="1"/>
  <c r="F56" i="1"/>
  <c r="G56" i="1" s="1"/>
  <c r="F46" i="1"/>
  <c r="G46" i="1" s="1"/>
  <c r="D79" i="1"/>
  <c r="F75" i="1"/>
  <c r="G75" i="1" s="1"/>
  <c r="F42" i="1"/>
  <c r="G42" i="1" s="1"/>
  <c r="F80" i="1"/>
  <c r="G80" i="1" s="1"/>
  <c r="F35" i="4"/>
  <c r="D29" i="1"/>
  <c r="F24" i="1"/>
  <c r="G24" i="1" s="1"/>
  <c r="D26" i="4"/>
  <c r="D25" i="4" s="1"/>
  <c r="F25" i="4" s="1"/>
  <c r="F27" i="4"/>
  <c r="D66" i="4"/>
  <c r="D26" i="1" s="1"/>
  <c r="F62" i="1"/>
  <c r="G62" i="1" s="1"/>
  <c r="D547" i="4"/>
  <c r="F67" i="1"/>
  <c r="G67" i="1" s="1"/>
  <c r="F78" i="1"/>
  <c r="G78" i="1" s="1"/>
  <c r="D436" i="4"/>
  <c r="F436" i="4" s="1"/>
  <c r="F438" i="4"/>
  <c r="D43" i="1"/>
  <c r="F43" i="1" s="1"/>
  <c r="G43" i="1" s="1"/>
  <c r="F213" i="4"/>
  <c r="D387" i="4"/>
  <c r="F387" i="4" s="1"/>
  <c r="F388" i="4"/>
  <c r="F61" i="1"/>
  <c r="G61" i="1" s="1"/>
  <c r="F53" i="1"/>
  <c r="G53" i="1" s="1"/>
  <c r="F50" i="1"/>
  <c r="G50" i="1" s="1"/>
  <c r="F39" i="1"/>
  <c r="G39" i="1" s="1"/>
  <c r="D63" i="1"/>
  <c r="F376" i="4"/>
  <c r="D60" i="1"/>
  <c r="F351" i="4"/>
  <c r="D160" i="4"/>
  <c r="F160" i="4" s="1"/>
  <c r="F44" i="1"/>
  <c r="G44" i="1" s="1"/>
  <c r="F51" i="1"/>
  <c r="G51" i="1" s="1"/>
  <c r="F82" i="1"/>
  <c r="G82" i="1" s="1"/>
  <c r="F83" i="1"/>
  <c r="G83" i="1" s="1"/>
  <c r="F66" i="1"/>
  <c r="G66" i="1" s="1"/>
  <c r="F49" i="1"/>
  <c r="G49" i="1" s="1"/>
  <c r="F45" i="1"/>
  <c r="G45" i="1" s="1"/>
  <c r="D41" i="1"/>
  <c r="F201" i="4"/>
  <c r="D70" i="1"/>
  <c r="F428" i="4"/>
  <c r="D47" i="1"/>
  <c r="F47" i="1" s="1"/>
  <c r="G47" i="1" s="1"/>
  <c r="F248" i="4"/>
  <c r="D52" i="1"/>
  <c r="F282" i="4"/>
  <c r="F48" i="1"/>
  <c r="G48" i="1" s="1"/>
  <c r="D55" i="1"/>
  <c r="F307" i="4"/>
  <c r="D71" i="1"/>
  <c r="F71" i="1" s="1"/>
  <c r="G71" i="1" s="1"/>
  <c r="F73" i="1"/>
  <c r="G73" i="1" s="1"/>
  <c r="D76" i="1"/>
  <c r="F77" i="1"/>
  <c r="G77" i="1" s="1"/>
  <c r="F65" i="1"/>
  <c r="G65" i="1" s="1"/>
  <c r="F68" i="1"/>
  <c r="G68" i="1" s="1"/>
  <c r="F89" i="1"/>
  <c r="G89" i="1" s="1"/>
  <c r="F90" i="1"/>
  <c r="G90" i="1" s="1"/>
  <c r="D117" i="1"/>
  <c r="F115" i="1"/>
  <c r="G115" i="1" s="1"/>
  <c r="D330" i="4"/>
  <c r="F330" i="4" s="1"/>
  <c r="D91" i="1"/>
  <c r="E9" i="1"/>
  <c r="E29" i="1"/>
  <c r="E10" i="1"/>
  <c r="F10" i="1" s="1"/>
  <c r="G10" i="1" s="1"/>
  <c r="D59" i="1"/>
  <c r="D200" i="4"/>
  <c r="F200" i="4" s="1"/>
  <c r="D64" i="1"/>
  <c r="E76" i="1"/>
  <c r="E117" i="1"/>
  <c r="E60" i="1"/>
  <c r="E58" i="1" s="1"/>
  <c r="E41" i="1"/>
  <c r="E70" i="1"/>
  <c r="E64" i="1"/>
  <c r="E55" i="1"/>
  <c r="E52" i="1"/>
  <c r="E91" i="1"/>
  <c r="E79" i="1"/>
  <c r="E63" i="1"/>
  <c r="F79" i="1" l="1"/>
  <c r="G79" i="1" s="1"/>
  <c r="D159" i="4"/>
  <c r="F159" i="4" s="1"/>
  <c r="D516" i="4"/>
  <c r="F516" i="4" s="1"/>
  <c r="D101" i="1"/>
  <c r="D99" i="1" s="1"/>
  <c r="F70" i="1"/>
  <c r="G70" i="1" s="1"/>
  <c r="F41" i="1"/>
  <c r="G41" i="1" s="1"/>
  <c r="F52" i="1"/>
  <c r="G52" i="1" s="1"/>
  <c r="D38" i="1"/>
  <c r="D37" i="1" s="1"/>
  <c r="D9" i="1"/>
  <c r="D8" i="1" s="1"/>
  <c r="F26" i="4"/>
  <c r="F29" i="1"/>
  <c r="G29" i="1" s="1"/>
  <c r="D65" i="4"/>
  <c r="F66" i="4"/>
  <c r="D40" i="1"/>
  <c r="D386" i="4"/>
  <c r="F386" i="4" s="1"/>
  <c r="F63" i="1"/>
  <c r="G63" i="1" s="1"/>
  <c r="F55" i="1"/>
  <c r="G55" i="1" s="1"/>
  <c r="D544" i="4"/>
  <c r="F547" i="4"/>
  <c r="F64" i="1"/>
  <c r="G64" i="1" s="1"/>
  <c r="F91" i="1"/>
  <c r="G91" i="1" s="1"/>
  <c r="D58" i="1"/>
  <c r="F58" i="1" s="1"/>
  <c r="G58" i="1" s="1"/>
  <c r="F59" i="1"/>
  <c r="G59" i="1" s="1"/>
  <c r="D25" i="1"/>
  <c r="F76" i="1"/>
  <c r="G76" i="1" s="1"/>
  <c r="F60" i="1"/>
  <c r="G60" i="1" s="1"/>
  <c r="F117" i="1"/>
  <c r="G117" i="1" s="1"/>
  <c r="D199" i="4"/>
  <c r="E8" i="1"/>
  <c r="E26" i="1"/>
  <c r="F26" i="1" s="1"/>
  <c r="G26" i="1" s="1"/>
  <c r="E101" i="1"/>
  <c r="F101" i="1" s="1"/>
  <c r="G101" i="1" s="1"/>
  <c r="E40" i="1"/>
  <c r="E38" i="1"/>
  <c r="F40" i="1" l="1"/>
  <c r="G40" i="1" s="1"/>
  <c r="F38" i="1"/>
  <c r="G38" i="1" s="1"/>
  <c r="F8" i="1"/>
  <c r="G8" i="1" s="1"/>
  <c r="F9" i="1"/>
  <c r="G9" i="1" s="1"/>
  <c r="F65" i="4"/>
  <c r="D157" i="4"/>
  <c r="F157" i="4" s="1"/>
  <c r="F544" i="4"/>
  <c r="D542" i="4"/>
  <c r="D104" i="1"/>
  <c r="D102" i="1" s="1"/>
  <c r="D105" i="1" s="1"/>
  <c r="D491" i="4"/>
  <c r="F199" i="4"/>
  <c r="D84" i="1"/>
  <c r="D34" i="1"/>
  <c r="E99" i="1"/>
  <c r="F99" i="1" s="1"/>
  <c r="G99" i="1" s="1"/>
  <c r="E25" i="1"/>
  <c r="F25" i="1" s="1"/>
  <c r="G25" i="1" s="1"/>
  <c r="E104" i="1"/>
  <c r="E37" i="1"/>
  <c r="F37" i="1" s="1"/>
  <c r="G37" i="1" s="1"/>
  <c r="F104" i="1" l="1"/>
  <c r="G104" i="1" s="1"/>
  <c r="F491" i="4"/>
  <c r="D574" i="4"/>
  <c r="F574" i="4" s="1"/>
  <c r="F542" i="4"/>
  <c r="D86" i="1"/>
  <c r="D107" i="1" s="1"/>
  <c r="E34" i="1"/>
  <c r="E102" i="1"/>
  <c r="F102" i="1" s="1"/>
  <c r="G102" i="1" s="1"/>
  <c r="E84" i="1"/>
  <c r="F84" i="1" s="1"/>
  <c r="G84" i="1" s="1"/>
  <c r="D575" i="4" l="1"/>
  <c r="D119" i="1"/>
  <c r="E86" i="1"/>
  <c r="F86" i="1" s="1"/>
  <c r="G86" i="1" s="1"/>
  <c r="E105" i="1"/>
  <c r="F105" i="1" s="1"/>
  <c r="G105" i="1" s="1"/>
  <c r="D587" i="4" l="1"/>
  <c r="F587" i="4" s="1"/>
  <c r="F575" i="4"/>
  <c r="E107" i="1"/>
  <c r="F107" i="1" s="1"/>
  <c r="G107" i="1" s="1"/>
  <c r="E119" i="1" l="1"/>
  <c r="F119" i="1" s="1"/>
  <c r="G119" i="1" s="1"/>
  <c r="B7" i="17" l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E8" i="17" l="1"/>
  <c r="G8" i="17"/>
  <c r="E9" i="17"/>
  <c r="G9" i="17"/>
  <c r="D7" i="17"/>
  <c r="E7" i="17"/>
  <c r="F7" i="17"/>
  <c r="G7" i="17"/>
  <c r="D15" i="17"/>
  <c r="E15" i="17"/>
  <c r="F15" i="17"/>
  <c r="G15" i="17"/>
  <c r="D40" i="17"/>
  <c r="E40" i="17"/>
  <c r="F40" i="17"/>
  <c r="G40" i="17"/>
  <c r="D41" i="17"/>
  <c r="E41" i="17"/>
  <c r="F41" i="17"/>
  <c r="G41" i="17"/>
  <c r="D43" i="17" l="1"/>
  <c r="G30" i="17"/>
  <c r="G43" i="17"/>
  <c r="G46" i="17"/>
  <c r="G52" i="17"/>
  <c r="G18" i="17"/>
  <c r="D52" i="17"/>
  <c r="F30" i="17"/>
  <c r="F43" i="17"/>
  <c r="F46" i="17"/>
  <c r="F52" i="17"/>
  <c r="F8" i="17"/>
  <c r="E30" i="17"/>
  <c r="E43" i="17"/>
  <c r="E46" i="17"/>
  <c r="E52" i="17"/>
  <c r="D8" i="17"/>
  <c r="G45" i="17"/>
  <c r="G55" i="17"/>
  <c r="D30" i="17"/>
  <c r="F45" i="17"/>
  <c r="F55" i="17"/>
  <c r="F9" i="17"/>
  <c r="D46" i="17"/>
  <c r="E54" i="17"/>
  <c r="E45" i="17"/>
  <c r="E55" i="17"/>
  <c r="D45" i="17"/>
  <c r="D55" i="17"/>
  <c r="D9" i="17"/>
  <c r="E14" i="17"/>
  <c r="E16" i="17"/>
  <c r="E12" i="17"/>
  <c r="E18" i="17"/>
  <c r="E17" i="17"/>
  <c r="E10" i="17"/>
  <c r="E6" i="17"/>
  <c r="G16" i="17"/>
  <c r="G12" i="17"/>
  <c r="G17" i="17"/>
  <c r="G10" i="17"/>
  <c r="G6" i="17"/>
  <c r="F17" i="17"/>
  <c r="F6" i="17"/>
  <c r="D17" i="17"/>
  <c r="D50" i="17"/>
  <c r="G49" i="17"/>
  <c r="G31" i="17"/>
  <c r="G54" i="17"/>
  <c r="E50" i="17"/>
  <c r="F31" i="17"/>
  <c r="E49" i="17"/>
  <c r="E31" i="17"/>
  <c r="E34" i="17"/>
  <c r="G34" i="17"/>
  <c r="J41" i="17"/>
  <c r="I41" i="17"/>
  <c r="H41" i="17"/>
  <c r="J40" i="17"/>
  <c r="I40" i="17"/>
  <c r="H40" i="17"/>
  <c r="J15" i="17"/>
  <c r="I15" i="17"/>
  <c r="H15" i="17"/>
  <c r="J7" i="17"/>
  <c r="I7" i="17"/>
  <c r="H7" i="17"/>
  <c r="I9" i="17"/>
  <c r="H9" i="17"/>
  <c r="D18" i="17" l="1"/>
  <c r="G48" i="17"/>
  <c r="J43" i="17"/>
  <c r="J30" i="17"/>
  <c r="D49" i="17"/>
  <c r="D54" i="17"/>
  <c r="F18" i="17"/>
  <c r="H52" i="17"/>
  <c r="H8" i="17"/>
  <c r="G39" i="17"/>
  <c r="F48" i="17"/>
  <c r="D10" i="17"/>
  <c r="D13" i="17"/>
  <c r="G13" i="17"/>
  <c r="D12" i="17"/>
  <c r="H55" i="17"/>
  <c r="I52" i="17"/>
  <c r="H45" i="17"/>
  <c r="G42" i="17"/>
  <c r="D34" i="17"/>
  <c r="F34" i="17"/>
  <c r="D6" i="17"/>
  <c r="D16" i="17"/>
  <c r="G14" i="17"/>
  <c r="F44" i="17"/>
  <c r="I55" i="17"/>
  <c r="H43" i="17"/>
  <c r="I45" i="17"/>
  <c r="H30" i="17"/>
  <c r="D39" i="17"/>
  <c r="E44" i="17"/>
  <c r="F39" i="17"/>
  <c r="D14" i="17"/>
  <c r="F14" i="17"/>
  <c r="I43" i="17"/>
  <c r="I30" i="17"/>
  <c r="D28" i="17"/>
  <c r="D31" i="17"/>
  <c r="E13" i="17"/>
  <c r="E51" i="17"/>
  <c r="G51" i="17"/>
  <c r="H46" i="17"/>
  <c r="G36" i="17"/>
  <c r="D42" i="17"/>
  <c r="E39" i="17"/>
  <c r="F42" i="17"/>
  <c r="D44" i="17"/>
  <c r="F10" i="17"/>
  <c r="F13" i="17"/>
  <c r="D51" i="17"/>
  <c r="F51" i="17"/>
  <c r="I8" i="17"/>
  <c r="I46" i="17"/>
  <c r="G44" i="17"/>
  <c r="D48" i="17"/>
  <c r="F12" i="17"/>
  <c r="E42" i="17"/>
  <c r="E48" i="17"/>
  <c r="F16" i="17"/>
  <c r="F54" i="17"/>
  <c r="F49" i="17"/>
  <c r="J9" i="17"/>
  <c r="J8" i="17"/>
  <c r="J52" i="17"/>
  <c r="J46" i="17"/>
  <c r="J45" i="17"/>
  <c r="J55" i="17"/>
  <c r="G11" i="17"/>
  <c r="I6" i="17"/>
  <c r="G37" i="17"/>
  <c r="G27" i="17"/>
  <c r="D29" i="17"/>
  <c r="F28" i="17"/>
  <c r="F29" i="17"/>
  <c r="F27" i="17"/>
  <c r="E29" i="17"/>
  <c r="F47" i="17"/>
  <c r="E28" i="17"/>
  <c r="E36" i="17"/>
  <c r="F36" i="17"/>
  <c r="G29" i="17"/>
  <c r="G26" i="17"/>
  <c r="F26" i="17"/>
  <c r="G28" i="17"/>
  <c r="G47" i="17"/>
  <c r="G50" i="17"/>
  <c r="E47" i="17"/>
  <c r="D27" i="17"/>
  <c r="D47" i="17"/>
  <c r="D26" i="17"/>
  <c r="E27" i="17"/>
  <c r="F50" i="17"/>
  <c r="G33" i="17"/>
  <c r="G32" i="17" s="1"/>
  <c r="E26" i="17"/>
  <c r="K9" i="17"/>
  <c r="I17" i="17"/>
  <c r="L9" i="17"/>
  <c r="L7" i="17"/>
  <c r="L15" i="17"/>
  <c r="J17" i="17"/>
  <c r="K40" i="17"/>
  <c r="H44" i="17"/>
  <c r="H51" i="17"/>
  <c r="I31" i="17"/>
  <c r="K41" i="17"/>
  <c r="L41" i="17"/>
  <c r="L8" i="17"/>
  <c r="H10" i="17"/>
  <c r="K7" i="17"/>
  <c r="H16" i="17"/>
  <c r="K8" i="17"/>
  <c r="K15" i="17"/>
  <c r="H12" i="17"/>
  <c r="H34" i="17"/>
  <c r="H17" i="17"/>
  <c r="H18" i="17"/>
  <c r="L40" i="17"/>
  <c r="H54" i="17"/>
  <c r="H49" i="17"/>
  <c r="J31" i="17"/>
  <c r="H31" i="17"/>
  <c r="I48" i="17" l="1"/>
  <c r="K30" i="17"/>
  <c r="D36" i="17"/>
  <c r="F25" i="17"/>
  <c r="K43" i="17"/>
  <c r="G35" i="17"/>
  <c r="G19" i="17"/>
  <c r="E38" i="17"/>
  <c r="F38" i="17"/>
  <c r="I42" i="17"/>
  <c r="I16" i="17"/>
  <c r="H42" i="17"/>
  <c r="K46" i="17"/>
  <c r="G25" i="17"/>
  <c r="D11" i="17"/>
  <c r="D19" i="17" s="1"/>
  <c r="I34" i="17"/>
  <c r="H39" i="17"/>
  <c r="I13" i="17"/>
  <c r="F37" i="17"/>
  <c r="F35" i="17" s="1"/>
  <c r="F11" i="17"/>
  <c r="F19" i="17" s="1"/>
  <c r="I54" i="17"/>
  <c r="H14" i="17"/>
  <c r="D38" i="17"/>
  <c r="I49" i="17"/>
  <c r="K45" i="17"/>
  <c r="I39" i="17"/>
  <c r="H13" i="17"/>
  <c r="D25" i="17"/>
  <c r="D37" i="17"/>
  <c r="E11" i="17"/>
  <c r="E19" i="17" s="1"/>
  <c r="I18" i="17"/>
  <c r="E33" i="17"/>
  <c r="E32" i="17" s="1"/>
  <c r="H48" i="17"/>
  <c r="L43" i="17"/>
  <c r="G53" i="17"/>
  <c r="I14" i="17"/>
  <c r="I51" i="17"/>
  <c r="K52" i="17"/>
  <c r="I10" i="17"/>
  <c r="K55" i="17"/>
  <c r="F33" i="17"/>
  <c r="F32" i="17" s="1"/>
  <c r="G38" i="17"/>
  <c r="I44" i="17"/>
  <c r="I12" i="17"/>
  <c r="E25" i="17"/>
  <c r="D33" i="17"/>
  <c r="D32" i="17" s="1"/>
  <c r="E37" i="17"/>
  <c r="E35" i="17" s="1"/>
  <c r="J14" i="17"/>
  <c r="J12" i="17"/>
  <c r="J13" i="17"/>
  <c r="J10" i="17"/>
  <c r="J16" i="17"/>
  <c r="J6" i="17"/>
  <c r="J18" i="17"/>
  <c r="L46" i="17"/>
  <c r="J42" i="17"/>
  <c r="L52" i="17"/>
  <c r="L55" i="17"/>
  <c r="J48" i="17"/>
  <c r="J54" i="17"/>
  <c r="J39" i="17"/>
  <c r="L30" i="17"/>
  <c r="J34" i="17"/>
  <c r="L45" i="17"/>
  <c r="J44" i="17"/>
  <c r="J51" i="17"/>
  <c r="J49" i="17"/>
  <c r="K44" i="17"/>
  <c r="L13" i="17"/>
  <c r="K13" i="17"/>
  <c r="H27" i="17"/>
  <c r="K39" i="17"/>
  <c r="L39" i="17"/>
  <c r="L44" i="17"/>
  <c r="J29" i="17"/>
  <c r="J33" i="17"/>
  <c r="I27" i="17"/>
  <c r="I50" i="17"/>
  <c r="L51" i="17"/>
  <c r="J50" i="17"/>
  <c r="I29" i="17"/>
  <c r="J28" i="17"/>
  <c r="J26" i="17"/>
  <c r="L31" i="17"/>
  <c r="K31" i="17"/>
  <c r="H47" i="17"/>
  <c r="H28" i="17"/>
  <c r="L16" i="17"/>
  <c r="K16" i="17"/>
  <c r="H36" i="17"/>
  <c r="K49" i="17"/>
  <c r="L49" i="17"/>
  <c r="I47" i="17"/>
  <c r="I28" i="17"/>
  <c r="K51" i="17"/>
  <c r="L42" i="17"/>
  <c r="K42" i="17"/>
  <c r="L17" i="17"/>
  <c r="K17" i="17"/>
  <c r="L34" i="17"/>
  <c r="K34" i="17"/>
  <c r="L12" i="17"/>
  <c r="K12" i="17"/>
  <c r="L10" i="17"/>
  <c r="K10" i="17"/>
  <c r="L54" i="17"/>
  <c r="K54" i="17"/>
  <c r="H6" i="17"/>
  <c r="J47" i="17"/>
  <c r="H29" i="17"/>
  <c r="J27" i="17"/>
  <c r="I26" i="17"/>
  <c r="L18" i="17"/>
  <c r="K18" i="17"/>
  <c r="H33" i="17"/>
  <c r="H32" i="17" s="1"/>
  <c r="D35" i="17" l="1"/>
  <c r="K48" i="17"/>
  <c r="H38" i="17"/>
  <c r="I38" i="17"/>
  <c r="F53" i="17"/>
  <c r="F56" i="17" s="1"/>
  <c r="F58" i="17" s="1"/>
  <c r="K14" i="17"/>
  <c r="D53" i="17"/>
  <c r="I25" i="17"/>
  <c r="J32" i="17"/>
  <c r="L38" i="17"/>
  <c r="K38" i="17"/>
  <c r="K11" i="17"/>
  <c r="H11" i="17"/>
  <c r="H19" i="17" s="1"/>
  <c r="H37" i="17"/>
  <c r="H35" i="17" s="1"/>
  <c r="E53" i="17"/>
  <c r="E56" i="17" s="1"/>
  <c r="E58" i="17" s="1"/>
  <c r="I33" i="17"/>
  <c r="I32" i="17" s="1"/>
  <c r="I37" i="17"/>
  <c r="I36" i="17"/>
  <c r="I11" i="17"/>
  <c r="I19" i="17" s="1"/>
  <c r="G56" i="17"/>
  <c r="G58" i="17" s="1"/>
  <c r="L14" i="17"/>
  <c r="J11" i="17"/>
  <c r="J19" i="17" s="1"/>
  <c r="J38" i="17"/>
  <c r="J36" i="17"/>
  <c r="J25" i="17"/>
  <c r="J37" i="17"/>
  <c r="L48" i="17"/>
  <c r="K27" i="17"/>
  <c r="L11" i="17"/>
  <c r="L47" i="17"/>
  <c r="K47" i="17"/>
  <c r="H50" i="17"/>
  <c r="K28" i="17"/>
  <c r="L28" i="17"/>
  <c r="L36" i="17"/>
  <c r="K36" i="17"/>
  <c r="L6" i="17"/>
  <c r="K6" i="17"/>
  <c r="H26" i="17"/>
  <c r="H25" i="17" s="1"/>
  <c r="L33" i="17"/>
  <c r="L32" i="17" s="1"/>
  <c r="K33" i="17"/>
  <c r="K32" i="17" s="1"/>
  <c r="L27" i="17"/>
  <c r="L29" i="17"/>
  <c r="K29" i="17"/>
  <c r="D56" i="17" l="1"/>
  <c r="D58" i="17" s="1"/>
  <c r="J53" i="17"/>
  <c r="I35" i="17"/>
  <c r="K19" i="17"/>
  <c r="K37" i="17"/>
  <c r="K35" i="17" s="1"/>
  <c r="I53" i="17"/>
  <c r="J35" i="17"/>
  <c r="L37" i="17"/>
  <c r="L35" i="17" s="1"/>
  <c r="L19" i="17"/>
  <c r="K50" i="17"/>
  <c r="L50" i="17"/>
  <c r="L26" i="17"/>
  <c r="L25" i="17" s="1"/>
  <c r="K26" i="17"/>
  <c r="K25" i="17" s="1"/>
  <c r="J56" i="17" l="1"/>
  <c r="J58" i="17" s="1"/>
  <c r="I56" i="17"/>
  <c r="I58" i="17" s="1"/>
  <c r="H53" i="17"/>
  <c r="H56" i="17" s="1"/>
  <c r="H58" i="17" s="1"/>
  <c r="K53" i="17" l="1"/>
  <c r="K56" i="17" s="1"/>
  <c r="K58" i="17" s="1"/>
  <c r="L53" i="17"/>
  <c r="L56" i="17" s="1"/>
  <c r="L58" i="17" s="1"/>
</calcChain>
</file>

<file path=xl/sharedStrings.xml><?xml version="1.0" encoding="utf-8"?>
<sst xmlns="http://schemas.openxmlformats.org/spreadsheetml/2006/main" count="6010" uniqueCount="3645">
  <si>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</si>
  <si>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</si>
  <si>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</si>
  <si>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</si>
  <si>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</si>
  <si>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</si>
  <si>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</si>
  <si>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</si>
  <si>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</si>
  <si>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</si>
  <si>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</si>
  <si>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</si>
  <si>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</si>
  <si>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</si>
  <si>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</si>
  <si>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</si>
  <si>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</si>
  <si>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</si>
  <si>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</si>
  <si>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</si>
  <si>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</si>
  <si>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</si>
  <si>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</si>
  <si>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</si>
  <si>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</si>
  <si>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</si>
  <si>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</si>
  <si>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</si>
  <si>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</si>
  <si>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</si>
  <si>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</si>
  <si>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</si>
  <si>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</si>
  <si>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</si>
  <si>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</si>
  <si>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</si>
  <si>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</si>
  <si>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</si>
  <si>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</si>
  <si>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</si>
  <si>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</si>
  <si>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</si>
  <si>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</si>
  <si>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</si>
  <si>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</si>
  <si>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</si>
  <si>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</si>
  <si>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</si>
  <si>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</si>
  <si>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</si>
  <si>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</si>
  <si>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</si>
  <si>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</si>
  <si>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</si>
  <si>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</si>
  <si>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</si>
  <si>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</si>
  <si>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</si>
  <si>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</si>
  <si>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</si>
  <si>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</si>
  <si>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</si>
  <si>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</si>
  <si>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</si>
  <si>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</si>
  <si>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</si>
  <si>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</si>
  <si>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</si>
  <si>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</si>
  <si>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</si>
  <si>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</si>
  <si>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</si>
  <si>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</si>
  <si>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</si>
  <si>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</si>
  <si>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</si>
  <si>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</si>
  <si>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</si>
  <si>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</si>
  <si>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</si>
  <si>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</si>
  <si>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</si>
  <si>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</si>
  <si>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</si>
  <si>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</si>
  <si>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</si>
  <si>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</si>
  <si>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</si>
  <si>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</si>
  <si>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</si>
  <si>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</si>
  <si>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</si>
  <si>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</si>
  <si>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</si>
  <si>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</si>
  <si>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</si>
  <si>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</si>
  <si>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</si>
  <si>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</si>
  <si>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</si>
  <si>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</si>
  <si>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</si>
  <si>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</si>
  <si>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</si>
  <si>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</si>
  <si>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</si>
  <si>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</si>
  <si>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</si>
  <si>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</si>
  <si>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</si>
  <si>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</si>
  <si>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</si>
  <si>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</si>
  <si>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</si>
  <si>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</si>
  <si>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</si>
  <si>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</si>
  <si>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</si>
  <si>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</si>
  <si>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</si>
  <si>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</si>
  <si>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</si>
  <si>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</si>
  <si>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</si>
  <si>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</si>
  <si>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</si>
  <si>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</si>
  <si>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</si>
  <si>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</si>
  <si>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</si>
  <si>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</si>
  <si>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</si>
  <si>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</si>
  <si>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AA0040</t>
  </si>
  <si>
    <t>Altri contributi da FS regionale vincolati</t>
  </si>
  <si>
    <t>AA0050</t>
  </si>
  <si>
    <t>AA0060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</si>
  <si>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</si>
  <si>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</si>
  <si>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</si>
  <si>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</si>
  <si>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</si>
  <si>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</si>
  <si>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</si>
  <si>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</si>
  <si>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</si>
  <si>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</si>
  <si>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</si>
  <si>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</si>
  <si>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</si>
  <si>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</si>
  <si>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</si>
  <si>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</si>
  <si>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>AA0140</t>
  </si>
  <si>
    <t xml:space="preserve">Contributi da Ministero della Salute  (extra fondo) </t>
  </si>
  <si>
    <t>AA0141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</si>
  <si>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</si>
  <si>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</si>
  <si>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</si>
  <si>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</si>
  <si>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</si>
  <si>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</si>
  <si>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</si>
  <si>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</si>
  <si>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</si>
  <si>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</si>
  <si>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</si>
  <si>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</si>
  <si>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</si>
  <si>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</si>
  <si>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</si>
  <si>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</si>
  <si>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</si>
  <si>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</si>
  <si>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</si>
  <si>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</si>
  <si>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</si>
  <si>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</si>
  <si>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</si>
  <si>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</si>
  <si>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</si>
  <si>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</si>
  <si>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</si>
  <si>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</si>
  <si>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</si>
  <si>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</si>
  <si>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</si>
  <si>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</si>
  <si>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</si>
  <si>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</si>
  <si>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</si>
  <si>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</si>
  <si>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</si>
  <si>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</si>
  <si>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</si>
  <si>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</si>
  <si>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</si>
  <si>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AA0330</t>
  </si>
  <si>
    <t>AA0340</t>
  </si>
  <si>
    <t>Prestazioni di ricovero</t>
  </si>
  <si>
    <t>AA0350</t>
  </si>
  <si>
    <t>Rimborso per prestazioni in regime di ricovero (DRG)</t>
  </si>
  <si>
    <t>AA0360</t>
  </si>
  <si>
    <t>Rimborso per prestazioni ambulatoriali e diagnostiche</t>
  </si>
  <si>
    <t>AA0361</t>
  </si>
  <si>
    <t>AA0370</t>
  </si>
  <si>
    <t>AA0380</t>
  </si>
  <si>
    <t>AA0390</t>
  </si>
  <si>
    <t>AA0400</t>
  </si>
  <si>
    <t>AA0410</t>
  </si>
  <si>
    <t>AA0420</t>
  </si>
  <si>
    <t>AA0421</t>
  </si>
  <si>
    <t>AA0422</t>
  </si>
  <si>
    <t>AA0423</t>
  </si>
  <si>
    <t>AA0424</t>
  </si>
  <si>
    <t>AA0425</t>
  </si>
  <si>
    <t>AA0430</t>
  </si>
  <si>
    <t xml:space="preserve">Ricavi per prestaz. sanitarie e sociosanitarie a rilevanza sanitaria erogate ad altri soggetti pubblici </t>
  </si>
  <si>
    <t>AA0440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</si>
  <si>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</si>
  <si>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</si>
  <si>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</si>
  <si>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</si>
  <si>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</si>
  <si>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</si>
  <si>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AA0471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</si>
  <si>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</si>
  <si>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</si>
  <si>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</si>
  <si>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</si>
  <si>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</si>
  <si>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</si>
  <si>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</si>
  <si>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</si>
  <si>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</si>
  <si>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</si>
  <si>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</si>
  <si>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</si>
  <si>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</si>
  <si>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</si>
  <si>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</si>
  <si>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</si>
  <si>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</si>
  <si>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</si>
  <si>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</si>
  <si>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</si>
  <si>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</si>
  <si>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</si>
  <si>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</si>
  <si>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</si>
  <si>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</si>
  <si>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</si>
  <si>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</si>
  <si>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</si>
  <si>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</si>
  <si>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</si>
  <si>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</si>
  <si>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</si>
  <si>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</si>
  <si>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</si>
  <si>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</si>
  <si>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</si>
  <si>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</si>
  <si>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</si>
  <si>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</si>
  <si>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</si>
  <si>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</si>
  <si>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</si>
  <si>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</si>
  <si>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</si>
  <si>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</si>
  <si>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</si>
  <si>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</si>
  <si>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</si>
  <si>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</si>
  <si>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</si>
  <si>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</si>
  <si>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</si>
  <si>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</si>
  <si>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</si>
  <si>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</si>
  <si>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</si>
  <si>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</si>
  <si>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</si>
  <si>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</si>
  <si>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</si>
  <si>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</si>
  <si>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</si>
  <si>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</si>
  <si>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</si>
  <si>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</si>
  <si>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</si>
  <si>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</si>
  <si>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</si>
  <si>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</si>
  <si>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</si>
  <si>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</si>
  <si>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</si>
  <si>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</si>
  <si>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</si>
  <si>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</si>
  <si>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</si>
  <si>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</si>
  <si>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</si>
  <si>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</si>
  <si>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</si>
  <si>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</si>
  <si>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</si>
  <si>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</si>
  <si>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</si>
  <si>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</si>
  <si>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</si>
  <si>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</si>
  <si>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</si>
  <si>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</si>
  <si>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Rimborsi assicurativi</t>
  </si>
  <si>
    <t>AA0760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</si>
  <si>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</si>
  <si>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</si>
  <si>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</si>
  <si>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</si>
  <si>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</si>
  <si>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</si>
  <si>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</si>
  <si>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</si>
  <si>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AA0830</t>
  </si>
  <si>
    <t>Altri concorsi, recuperi e rimborsi da parte della Regione - GSA</t>
  </si>
  <si>
    <t>AA0831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</si>
  <si>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</si>
  <si>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</si>
  <si>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</si>
  <si>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</si>
  <si>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</si>
  <si>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</si>
  <si>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</si>
  <si>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</si>
  <si>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</si>
  <si>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</si>
  <si>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</si>
  <si>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</si>
  <si>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AA0880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</si>
  <si>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</si>
  <si>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</si>
  <si>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</si>
  <si>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</si>
  <si>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</si>
  <si>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</si>
  <si>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</si>
  <si>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</si>
  <si>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</si>
  <si>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</si>
  <si>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</si>
  <si>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</si>
  <si>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</si>
  <si>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</si>
  <si>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</si>
  <si>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</si>
  <si>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</si>
  <si>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</si>
  <si>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</si>
  <si>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</si>
  <si>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</si>
  <si>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</si>
  <si>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</si>
  <si>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</si>
  <si>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</si>
  <si>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</si>
  <si>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</si>
  <si>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</si>
  <si>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</si>
  <si>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</si>
  <si>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</si>
  <si>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</si>
  <si>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</si>
  <si>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</si>
  <si>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</si>
  <si>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</si>
  <si>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</si>
  <si>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</si>
  <si>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</si>
  <si>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</si>
  <si>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</si>
  <si>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</si>
  <si>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</si>
  <si>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</si>
  <si>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AA1070</t>
  </si>
  <si>
    <t>Differenze alberghiere camere speciali</t>
  </si>
  <si>
    <t>Cessione liquidi di fissaggio, rottami e materiali diversi</t>
  </si>
  <si>
    <t>Altri ricavi per prestazioni non sanitarie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</si>
  <si>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</si>
  <si>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</si>
  <si>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</si>
  <si>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</si>
  <si>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</si>
  <si>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</si>
  <si>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</si>
  <si>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</si>
  <si>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CA0010</t>
  </si>
  <si>
    <t>Interessi attivi su c/tesoreria unica</t>
  </si>
  <si>
    <t>CA0020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</si>
  <si>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</si>
  <si>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</si>
  <si>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</si>
  <si>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</si>
  <si>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</si>
  <si>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</si>
  <si>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</si>
  <si>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</si>
  <si>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</si>
  <si>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</si>
  <si>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</si>
  <si>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</si>
  <si>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</si>
  <si>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</si>
  <si>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</si>
  <si>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</si>
  <si>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</si>
  <si>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</si>
  <si>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</si>
  <si>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</si>
  <si>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</si>
  <si>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</si>
  <si>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</si>
  <si>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</si>
  <si>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</si>
  <si>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</si>
  <si>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</si>
  <si>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</si>
  <si>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</si>
  <si>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</si>
  <si>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</si>
  <si>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</si>
  <si>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</si>
  <si>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</si>
  <si>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</si>
  <si>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</si>
  <si>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</si>
  <si>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</si>
  <si>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</si>
  <si>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</si>
  <si>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</si>
  <si>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</si>
  <si>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</si>
  <si>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</si>
  <si>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</si>
  <si>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</si>
  <si>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>Insussistenze attive v/Aziende sanitarie pubbliche della Regione</t>
  </si>
  <si>
    <t>EA0160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</si>
  <si>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</si>
  <si>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</si>
  <si>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</si>
  <si>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</si>
  <si>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</si>
  <si>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</si>
  <si>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</si>
  <si>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</si>
  <si>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</si>
  <si>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</si>
  <si>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</si>
  <si>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</si>
  <si>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</si>
  <si>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</si>
  <si>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</si>
  <si>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BA0010</t>
  </si>
  <si>
    <t>BA0020</t>
  </si>
  <si>
    <t>BA0030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</si>
  <si>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</si>
  <si>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</si>
  <si>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</si>
  <si>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</si>
  <si>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</si>
  <si>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</si>
  <si>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</si>
  <si>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</si>
  <si>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</si>
  <si>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</si>
  <si>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</si>
  <si>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</si>
  <si>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</si>
  <si>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BA0070</t>
  </si>
  <si>
    <t>BA0080</t>
  </si>
  <si>
    <t>BA0090</t>
  </si>
  <si>
    <t>da altri soggetti</t>
  </si>
  <si>
    <t>BA0100</t>
  </si>
  <si>
    <t>Dispositivi medici</t>
  </si>
  <si>
    <t>BA0210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</si>
  <si>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</si>
  <si>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</si>
  <si>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</si>
  <si>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</si>
  <si>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</si>
  <si>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</si>
  <si>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</si>
  <si>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</si>
  <si>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</si>
  <si>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</si>
  <si>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</si>
  <si>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</si>
  <si>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</si>
  <si>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</si>
  <si>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</si>
  <si>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BA0300</t>
  </si>
  <si>
    <t>BA0301</t>
  </si>
  <si>
    <t>BA0303</t>
  </si>
  <si>
    <t>BA0304</t>
  </si>
  <si>
    <t>BA0305</t>
  </si>
  <si>
    <t>BA0306</t>
  </si>
  <si>
    <t>BA0307</t>
  </si>
  <si>
    <t>BA0308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</si>
  <si>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</si>
  <si>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</si>
  <si>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</si>
  <si>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</si>
  <si>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</si>
  <si>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</si>
  <si>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</si>
  <si>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BA0350</t>
  </si>
  <si>
    <t>Cancelleria e stampati</t>
  </si>
  <si>
    <t>Materiali di consumo per l'informatica</t>
  </si>
  <si>
    <t>Materiale didattico, audiovisivo e fotografico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</si>
  <si>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</si>
  <si>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</si>
  <si>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</si>
  <si>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</si>
  <si>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</si>
  <si>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BA0380</t>
  </si>
  <si>
    <t>BA0390</t>
  </si>
  <si>
    <t>BA0400</t>
  </si>
  <si>
    <t>BA0410</t>
  </si>
  <si>
    <t>BA0420</t>
  </si>
  <si>
    <t>BA0430</t>
  </si>
  <si>
    <t>BA0440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</si>
  <si>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</si>
  <si>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</si>
  <si>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</si>
  <si>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</si>
  <si>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</si>
  <si>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</si>
  <si>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</si>
  <si>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</si>
  <si>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</si>
  <si>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</si>
  <si>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</si>
  <si>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</si>
  <si>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</si>
  <si>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</si>
  <si>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BA0460</t>
  </si>
  <si>
    <t>Medicina fiscale</t>
  </si>
  <si>
    <t>BA0470</t>
  </si>
  <si>
    <t>BA0480</t>
  </si>
  <si>
    <t>BA0490</t>
  </si>
  <si>
    <t>BA0500</t>
  </si>
  <si>
    <t>Prodotti farmaceutici e galenici</t>
  </si>
  <si>
    <t>Contributi farmacie rurali ed Enpaf</t>
  </si>
  <si>
    <t>BA0510</t>
  </si>
  <si>
    <t>BA0520</t>
  </si>
  <si>
    <t>BA0530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</si>
  <si>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</si>
  <si>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</si>
  <si>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</si>
  <si>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</si>
  <si>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</si>
  <si>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</si>
  <si>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</si>
  <si>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</si>
  <si>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</si>
  <si>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</si>
  <si>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</si>
  <si>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</si>
  <si>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</si>
  <si>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BA0570</t>
  </si>
  <si>
    <t>BA0580</t>
  </si>
  <si>
    <t>Servizi sanitari per assistenza specialistica da IRCCS privati e Policlinici privati</t>
  </si>
  <si>
    <t>BA0590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</si>
  <si>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</si>
  <si>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</si>
  <si>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</si>
  <si>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</si>
  <si>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</si>
  <si>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</si>
  <si>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</si>
  <si>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</si>
  <si>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</si>
  <si>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</si>
  <si>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</si>
  <si>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</si>
  <si>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</si>
  <si>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</si>
  <si>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</si>
  <si>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</si>
  <si>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BA0640</t>
  </si>
  <si>
    <t>BA0650</t>
  </si>
  <si>
    <t>BA0660</t>
  </si>
  <si>
    <t>BA0670</t>
  </si>
  <si>
    <t>BA0680</t>
  </si>
  <si>
    <t>BA0690</t>
  </si>
  <si>
    <t>BA0700</t>
  </si>
  <si>
    <t>BA0710</t>
  </si>
  <si>
    <t>BA0720</t>
  </si>
  <si>
    <t>BA0730</t>
  </si>
  <si>
    <t>BA0740</t>
  </si>
  <si>
    <t>AFIR farmacie convenzionate</t>
  </si>
  <si>
    <t>Fornitura ausilii per incontinenti</t>
  </si>
  <si>
    <t>Ossigeno terapia domiciliare</t>
  </si>
  <si>
    <t>AFIR altro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</si>
  <si>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</si>
  <si>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</si>
  <si>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</si>
  <si>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</si>
  <si>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</si>
  <si>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</si>
  <si>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</si>
  <si>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</si>
  <si>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</si>
  <si>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</si>
  <si>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</si>
  <si>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</si>
  <si>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</si>
  <si>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</si>
  <si>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</si>
  <si>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</si>
  <si>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</si>
  <si>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</si>
  <si>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</si>
  <si>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</si>
  <si>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</si>
  <si>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</si>
  <si>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</si>
  <si>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</si>
  <si>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BA0900</t>
  </si>
  <si>
    <t>BA0910</t>
  </si>
  <si>
    <t>BA0920</t>
  </si>
  <si>
    <t>BA0930</t>
  </si>
  <si>
    <t>BA0940</t>
  </si>
  <si>
    <t>BA0950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</si>
  <si>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</si>
  <si>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</si>
  <si>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</si>
  <si>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</si>
  <si>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</si>
  <si>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</si>
  <si>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</si>
  <si>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</si>
  <si>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BA1010</t>
  </si>
  <si>
    <t>BA1020</t>
  </si>
  <si>
    <t>BA1030</t>
  </si>
  <si>
    <t>BA1040</t>
  </si>
  <si>
    <t>BA1050</t>
  </si>
  <si>
    <t>BA1060</t>
  </si>
  <si>
    <t>BA1070</t>
  </si>
  <si>
    <t>BA1080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</si>
  <si>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</si>
  <si>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</si>
  <si>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</si>
  <si>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</si>
  <si>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</si>
  <si>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</si>
  <si>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</si>
  <si>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</si>
  <si>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</si>
  <si>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BA1140</t>
  </si>
  <si>
    <t>BA1150</t>
  </si>
  <si>
    <t>Assistenza domiciliare integrata (ADI)</t>
  </si>
  <si>
    <t>BA1151</t>
  </si>
  <si>
    <t>BA1152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</si>
  <si>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</si>
  <si>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</si>
  <si>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</si>
  <si>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</si>
  <si>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</si>
  <si>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BA1161</t>
  </si>
  <si>
    <t>BA1170</t>
  </si>
  <si>
    <t>BA1180</t>
  </si>
  <si>
    <t>Conv. per ass. ostetrica ed infermieristica</t>
  </si>
  <si>
    <t>Conv. per ass. domiciliare -ADI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</si>
  <si>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</si>
  <si>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</si>
  <si>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</si>
  <si>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</si>
  <si>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</si>
  <si>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</si>
  <si>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</si>
  <si>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</si>
  <si>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</si>
  <si>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</si>
  <si>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</si>
  <si>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</si>
  <si>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</si>
  <si>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</si>
  <si>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</si>
  <si>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BA1250</t>
  </si>
  <si>
    <t>BA1260</t>
  </si>
  <si>
    <t>Consulenze a favore di terzi, rimborsate Dirigenza ruolo professionale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</si>
  <si>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</si>
  <si>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</si>
  <si>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</si>
  <si>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>Personale di supporto diretto e indiretto</t>
  </si>
  <si>
    <t>Quota di perequazione</t>
  </si>
  <si>
    <t>BA1270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</si>
  <si>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</si>
  <si>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</si>
  <si>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</si>
  <si>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</si>
  <si>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</si>
  <si>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</si>
  <si>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</si>
  <si>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</si>
  <si>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</si>
  <si>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</si>
  <si>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</si>
  <si>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</si>
  <si>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</si>
  <si>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</si>
  <si>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</si>
  <si>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</si>
  <si>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</si>
  <si>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</si>
  <si>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</si>
  <si>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</si>
  <si>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</si>
  <si>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</si>
  <si>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</si>
  <si>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</si>
  <si>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</si>
  <si>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</si>
  <si>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</si>
  <si>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</si>
  <si>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</si>
  <si>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</si>
  <si>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BA1380</t>
  </si>
  <si>
    <t>Consulenze sanitarie da privato - articolo 55, comma 2, CCNL 8 giugno 2000</t>
  </si>
  <si>
    <t>BA1390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</si>
  <si>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</si>
  <si>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</si>
  <si>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</si>
  <si>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</si>
  <si>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</si>
  <si>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</si>
  <si>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</si>
  <si>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</si>
  <si>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</si>
  <si>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>BA1420</t>
  </si>
  <si>
    <t>BA1430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</si>
  <si>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</si>
  <si>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</si>
  <si>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</si>
  <si>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</si>
  <si>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</si>
  <si>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</si>
  <si>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</si>
  <si>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</si>
  <si>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</si>
  <si>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</si>
  <si>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</si>
  <si>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</si>
  <si>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</si>
  <si>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</si>
  <si>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</si>
  <si>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</si>
  <si>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</si>
  <si>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</si>
  <si>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</si>
  <si>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</si>
  <si>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</si>
  <si>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</si>
  <si>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</si>
  <si>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</si>
  <si>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</si>
  <si>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</si>
  <si>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</si>
  <si>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</si>
  <si>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</si>
  <si>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</si>
  <si>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</si>
  <si>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</si>
  <si>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</si>
  <si>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</si>
  <si>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</si>
  <si>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>BA1570</t>
  </si>
  <si>
    <t>Lavanderia</t>
  </si>
  <si>
    <t>BA1580</t>
  </si>
  <si>
    <t>Pulizia</t>
  </si>
  <si>
    <t>BA1590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</si>
  <si>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</si>
  <si>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</si>
  <si>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</si>
  <si>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</si>
  <si>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</si>
  <si>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</si>
  <si>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</si>
  <si>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</si>
  <si>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</si>
  <si>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</si>
  <si>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</si>
  <si>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</si>
  <si>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</si>
  <si>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</si>
  <si>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</si>
  <si>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</si>
  <si>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</si>
  <si>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</si>
  <si>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</si>
  <si>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</si>
  <si>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</si>
  <si>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</si>
  <si>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</si>
  <si>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</si>
  <si>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</si>
  <si>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</si>
  <si>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BA1680</t>
  </si>
  <si>
    <t>BA1690</t>
  </si>
  <si>
    <t>Premi di assicurazione - Altri premi assicurativi</t>
  </si>
  <si>
    <t>BA1700</t>
  </si>
  <si>
    <t>BA1710</t>
  </si>
  <si>
    <t>Altri servizi non sanitari da pubblico (Aziende sanitarie pubbliche della Regione)</t>
  </si>
  <si>
    <t>BA1720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</si>
  <si>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</si>
  <si>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</si>
  <si>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</si>
  <si>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</si>
  <si>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</si>
  <si>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</si>
  <si>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</si>
  <si>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</si>
  <si>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</si>
  <si>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</si>
  <si>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</si>
  <si>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</si>
  <si>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</si>
  <si>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</si>
  <si>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</si>
  <si>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</si>
  <si>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</si>
  <si>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</si>
  <si>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</si>
  <si>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</si>
  <si>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</si>
  <si>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</si>
  <si>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</si>
  <si>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</si>
  <si>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BA1780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</si>
  <si>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</si>
  <si>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</si>
  <si>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</si>
  <si>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</si>
  <si>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</si>
  <si>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</si>
  <si>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</si>
  <si>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</si>
  <si>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>BA1810</t>
  </si>
  <si>
    <t>BA1820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</si>
  <si>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</si>
  <si>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</si>
  <si>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</si>
  <si>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</si>
  <si>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</si>
  <si>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BA1831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</si>
  <si>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</si>
  <si>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</si>
  <si>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</si>
  <si>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</si>
  <si>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</si>
  <si>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</si>
  <si>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</si>
  <si>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</si>
  <si>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</si>
  <si>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</si>
  <si>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</si>
  <si>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</si>
  <si>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ai fabbricati e loro pertinenze</t>
  </si>
  <si>
    <t>BA1920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</si>
  <si>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</si>
  <si>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</si>
  <si>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</si>
  <si>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</si>
  <si>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</si>
  <si>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</si>
  <si>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</si>
  <si>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</si>
  <si>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</si>
  <si>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</si>
  <si>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</si>
  <si>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</si>
  <si>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</si>
  <si>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</si>
  <si>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</si>
  <si>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</si>
  <si>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</si>
  <si>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BA2000</t>
  </si>
  <si>
    <t>Locazioni passive</t>
  </si>
  <si>
    <t>Spese condominiali</t>
  </si>
  <si>
    <t>BA2010</t>
  </si>
  <si>
    <t>Canoni di noleggio - area sanitaria</t>
  </si>
  <si>
    <t>BA2020</t>
  </si>
  <si>
    <t>BA2030</t>
  </si>
  <si>
    <t>Canoni hardware e software</t>
  </si>
  <si>
    <t>Canoni fotocopiatrici</t>
  </si>
  <si>
    <t>Canoni noleggio automezzi</t>
  </si>
  <si>
    <t>Canoni noleggio altro</t>
  </si>
  <si>
    <t>BA2040</t>
  </si>
  <si>
    <t>BA2050</t>
  </si>
  <si>
    <t>BA2060</t>
  </si>
  <si>
    <t>Canoni di project financing</t>
  </si>
  <si>
    <t>BA2061</t>
  </si>
  <si>
    <t>Locazioni e noleggi da Aziende sanitarie pubbliche della Regione</t>
  </si>
  <si>
    <t>BA2070</t>
  </si>
  <si>
    <t>BA2090</t>
  </si>
  <si>
    <t>BA2100</t>
  </si>
  <si>
    <t>BA2110</t>
  </si>
  <si>
    <t>BA2120</t>
  </si>
  <si>
    <t>BA2130</t>
  </si>
  <si>
    <t>Costo del personale dirigente medico - altro</t>
  </si>
  <si>
    <t>BA2140</t>
  </si>
  <si>
    <t>BA2150</t>
  </si>
  <si>
    <t>BA2160</t>
  </si>
  <si>
    <t>BA2170</t>
  </si>
  <si>
    <t>BA2180</t>
  </si>
  <si>
    <t>BA2190</t>
  </si>
  <si>
    <t>BA2200</t>
  </si>
  <si>
    <t>BA2210</t>
  </si>
  <si>
    <t>Costo del personale comparto ruolo sanitario - altro</t>
  </si>
  <si>
    <t>BA2220</t>
  </si>
  <si>
    <t>BA2230</t>
  </si>
  <si>
    <t>BA2240</t>
  </si>
  <si>
    <t>BA2250</t>
  </si>
  <si>
    <t>BA2260</t>
  </si>
  <si>
    <t>Costo del personale dirigente ruolo professionale - altro</t>
  </si>
  <si>
    <t>BA2270</t>
  </si>
  <si>
    <t>BA2280</t>
  </si>
  <si>
    <t>BA2290</t>
  </si>
  <si>
    <t>BA2300</t>
  </si>
  <si>
    <t>Costo del personale comparto ruolo professionale - altro</t>
  </si>
  <si>
    <t>BA2310</t>
  </si>
  <si>
    <t>BA2320</t>
  </si>
  <si>
    <t>BA2330</t>
  </si>
  <si>
    <t>BA2340</t>
  </si>
  <si>
    <t>BA2350</t>
  </si>
  <si>
    <t>Costo del personale dirigente ruolo tecnico - altro</t>
  </si>
  <si>
    <t>BA2360</t>
  </si>
  <si>
    <t>BA2370</t>
  </si>
  <si>
    <t>BA2380</t>
  </si>
  <si>
    <t>BA2390</t>
  </si>
  <si>
    <t>Costo del personale comparto ruolo tecnico - altro</t>
  </si>
  <si>
    <t>BA2400</t>
  </si>
  <si>
    <t>BA2410</t>
  </si>
  <si>
    <t>BA2420</t>
  </si>
  <si>
    <t>BA2430</t>
  </si>
  <si>
    <t>BA2440</t>
  </si>
  <si>
    <t>Costo del personale dirigente ruolo amministrativo - altro</t>
  </si>
  <si>
    <t>BA2450</t>
  </si>
  <si>
    <t>BA2460</t>
  </si>
  <si>
    <t>BA2470</t>
  </si>
  <si>
    <t>BA2480</t>
  </si>
  <si>
    <t>Costo del personale comparto ruolo amministrativo - altro</t>
  </si>
  <si>
    <t>BA2490</t>
  </si>
  <si>
    <t>BA2500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</si>
  <si>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</si>
  <si>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</si>
  <si>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</si>
  <si>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</si>
  <si>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</si>
  <si>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</si>
  <si>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</si>
  <si>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</si>
  <si>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</si>
  <si>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</si>
  <si>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</si>
  <si>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</si>
  <si>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BA2540</t>
  </si>
  <si>
    <t>Compensi agli organi direttivi e di indirizzo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</si>
  <si>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</si>
  <si>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</si>
  <si>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</si>
  <si>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</si>
  <si>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</si>
  <si>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</si>
  <si>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</si>
  <si>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</si>
  <si>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</si>
  <si>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</si>
  <si>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</si>
  <si>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</si>
  <si>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BA2570</t>
  </si>
  <si>
    <t>Ammortamento Costi di impianto e ampliamento</t>
  </si>
  <si>
    <t>Ammortamento Costi di ricerca, sviluppo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</si>
  <si>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</si>
  <si>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</si>
  <si>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</si>
  <si>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</si>
  <si>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</si>
  <si>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BA2580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</si>
  <si>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</si>
  <si>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</si>
  <si>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</si>
  <si>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</si>
  <si>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</si>
  <si>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</si>
  <si>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</si>
  <si>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</si>
  <si>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</si>
  <si>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</si>
  <si>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</si>
  <si>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BA2630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</si>
  <si>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</si>
  <si>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</si>
  <si>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</si>
  <si>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</si>
  <si>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</si>
  <si>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</si>
  <si>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</si>
  <si>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</si>
  <si>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</si>
  <si>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</si>
  <si>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</si>
  <si>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</si>
  <si>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</si>
  <si>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</si>
  <si>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>Svalutazione oggetti d'arte</t>
  </si>
  <si>
    <t>Svalutazione altre immobilizzazioni materiali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</si>
  <si>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</si>
  <si>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</si>
  <si>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</si>
  <si>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</si>
  <si>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</si>
  <si>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</si>
  <si>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</si>
  <si>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</si>
  <si>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</si>
  <si>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</si>
  <si>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</si>
  <si>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</si>
  <si>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</si>
  <si>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</si>
  <si>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</si>
  <si>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</si>
  <si>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</si>
  <si>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</si>
  <si>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</si>
  <si>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</si>
  <si>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</si>
  <si>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</si>
  <si>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</si>
  <si>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</si>
  <si>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</si>
  <si>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</si>
  <si>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</si>
  <si>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</si>
  <si>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</si>
  <si>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</si>
  <si>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</si>
  <si>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</si>
  <si>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</si>
  <si>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</si>
  <si>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</si>
  <si>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</si>
  <si>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</si>
  <si>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</si>
  <si>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</si>
  <si>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</si>
  <si>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</si>
  <si>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</si>
  <si>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</si>
  <si>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</si>
  <si>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</si>
  <si>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</si>
  <si>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</si>
  <si>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</si>
  <si>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</si>
  <si>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</si>
  <si>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</si>
  <si>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</si>
  <si>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</si>
  <si>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</si>
  <si>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</si>
  <si>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</si>
  <si>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</si>
  <si>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BA2680</t>
  </si>
  <si>
    <t>BA2681</t>
  </si>
  <si>
    <t>BA2682</t>
  </si>
  <si>
    <t>BA2683</t>
  </si>
  <si>
    <t>BA2684</t>
  </si>
  <si>
    <t>BA2685</t>
  </si>
  <si>
    <t>BA2686</t>
  </si>
  <si>
    <t>BA2690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</si>
  <si>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</si>
  <si>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</si>
  <si>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</si>
  <si>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</si>
  <si>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</si>
  <si>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</si>
  <si>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</si>
  <si>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</si>
  <si>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</si>
  <si>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</si>
  <si>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</si>
  <si>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</si>
  <si>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</si>
  <si>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</si>
  <si>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</si>
  <si>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</si>
  <si>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</si>
  <si>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BA2760</t>
  </si>
  <si>
    <t>Accantonamento al fondo SUMAI - Specialisti ambulatoriali</t>
  </si>
  <si>
    <t>Accantonamento al fondo SUMAI - altre professioni</t>
  </si>
  <si>
    <t>BA2770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</si>
  <si>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</si>
  <si>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</si>
  <si>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</si>
  <si>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</si>
  <si>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</si>
  <si>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</si>
  <si>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</si>
  <si>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</si>
  <si>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</si>
  <si>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</si>
  <si>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</si>
  <si>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</si>
  <si>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</si>
  <si>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</si>
  <si>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</si>
  <si>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</si>
  <si>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</si>
  <si>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</si>
  <si>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</si>
  <si>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</si>
  <si>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</si>
  <si>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</si>
  <si>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</si>
  <si>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</si>
  <si>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</si>
  <si>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</si>
  <si>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</si>
  <si>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</si>
  <si>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</si>
  <si>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</si>
  <si>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</si>
  <si>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</si>
  <si>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</si>
  <si>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</si>
  <si>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</si>
  <si>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</si>
  <si>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</si>
  <si>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</si>
  <si>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</si>
  <si>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</si>
  <si>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</si>
  <si>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</si>
  <si>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</si>
  <si>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</si>
  <si>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</si>
  <si>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</si>
  <si>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</si>
  <si>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</si>
  <si>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</si>
  <si>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</si>
  <si>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</si>
  <si>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</si>
  <si>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</si>
  <si>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</si>
  <si>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</si>
  <si>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EA0310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</si>
  <si>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</si>
  <si>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</si>
  <si>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</si>
  <si>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</si>
  <si>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</si>
  <si>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EA0350</t>
  </si>
  <si>
    <t>Sopravvenienze passive v/terzi relative alla mobilità extraregionale</t>
  </si>
  <si>
    <t>EA0360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</si>
  <si>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</si>
  <si>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</si>
  <si>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</si>
  <si>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</si>
  <si>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</si>
  <si>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</si>
  <si>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</si>
  <si>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</si>
  <si>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</si>
  <si>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</si>
  <si>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</si>
  <si>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</si>
  <si>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</si>
  <si>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</si>
  <si>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</si>
  <si>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</si>
  <si>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</si>
  <si>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</si>
  <si>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</si>
  <si>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</si>
  <si>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</si>
  <si>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</si>
  <si>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</si>
  <si>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</si>
  <si>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</si>
  <si>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</si>
  <si>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</si>
  <si>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</si>
  <si>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</si>
  <si>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</si>
  <si>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</si>
  <si>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</si>
  <si>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</si>
  <si>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</si>
  <si>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</si>
  <si>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</si>
  <si>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</si>
  <si>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</si>
  <si>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</si>
  <si>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</si>
  <si>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</si>
  <si>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</si>
  <si>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</si>
  <si>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</si>
  <si>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</si>
  <si>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</si>
  <si>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</si>
  <si>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</si>
  <si>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</si>
  <si>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</si>
  <si>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</si>
  <si>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</si>
  <si>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</si>
  <si>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</si>
  <si>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</si>
  <si>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</si>
  <si>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</si>
  <si>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</si>
  <si>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</si>
  <si>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</si>
  <si>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</si>
  <si>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CONSUNTIVO</t>
  </si>
  <si>
    <t>APPROVAZIONE BILANCIO DA PARTE DEL COLLEGIO SINDACALE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</si>
  <si>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</si>
  <si>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</si>
  <si>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</si>
  <si>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</si>
  <si>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</si>
  <si>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</si>
  <si>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</si>
  <si>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</si>
  <si>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</si>
  <si>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</si>
  <si>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</si>
  <si>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</si>
  <si>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</si>
  <si>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</si>
  <si>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</si>
  <si>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</si>
  <si>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</si>
  <si>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</si>
  <si>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</si>
  <si>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</si>
  <si>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</si>
  <si>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</si>
  <si>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</si>
  <si>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</si>
  <si>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</si>
  <si>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</si>
  <si>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</si>
  <si>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</si>
  <si>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</si>
  <si>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</si>
  <si>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</si>
  <si>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</si>
  <si>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</si>
  <si>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</si>
  <si>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</si>
  <si>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</si>
  <si>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</si>
  <si>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</si>
  <si>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</si>
  <si>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</si>
  <si>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</si>
  <si>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</si>
  <si>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</si>
  <si>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</si>
  <si>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</si>
  <si>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</si>
  <si>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</si>
  <si>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</si>
  <si>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</si>
  <si>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</si>
  <si>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</si>
  <si>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</si>
  <si>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</si>
  <si>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</si>
  <si>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</si>
  <si>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</si>
  <si>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</si>
  <si>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</si>
  <si>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</si>
  <si>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</si>
  <si>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</si>
  <si>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</si>
  <si>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</si>
  <si>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</si>
  <si>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</si>
  <si>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</si>
  <si>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</si>
  <si>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</si>
  <si>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</si>
  <si>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</si>
  <si>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</si>
  <si>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</si>
  <si>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</si>
  <si>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</si>
  <si>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</si>
  <si>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</si>
  <si>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</si>
  <si>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</si>
  <si>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</si>
  <si>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</si>
  <si>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</si>
  <si>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</si>
  <si>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</si>
  <si>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</si>
  <si>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</si>
  <si>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</si>
  <si>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</si>
  <si>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</si>
  <si>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</si>
  <si>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</si>
  <si>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</si>
  <si>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</si>
  <si>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</si>
  <si>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</si>
  <si>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</si>
  <si>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</si>
  <si>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</si>
  <si>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</si>
  <si>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</si>
  <si>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</si>
  <si>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</si>
  <si>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</si>
  <si>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</si>
  <si>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</si>
  <si>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</si>
  <si>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</si>
  <si>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</si>
  <si>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</si>
  <si>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</si>
  <si>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</si>
  <si>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</si>
  <si>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</si>
  <si>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</si>
  <si>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</si>
  <si>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</si>
  <si>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</si>
  <si>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</si>
  <si>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</si>
  <si>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</si>
  <si>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</si>
  <si>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</si>
  <si>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</si>
  <si>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</si>
  <si>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</si>
  <si>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</si>
  <si>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</si>
  <si>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</si>
  <si>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</si>
  <si>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</si>
  <si>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</si>
  <si>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</si>
  <si>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</si>
  <si>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</si>
  <si>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</si>
  <si>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</si>
  <si>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</si>
  <si>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</si>
  <si>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</si>
  <si>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</si>
  <si>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</si>
  <si>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</si>
  <si>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</si>
  <si>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</si>
  <si>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</si>
  <si>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</si>
  <si>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</si>
  <si>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</si>
  <si>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</si>
  <si>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</si>
  <si>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</si>
  <si>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</si>
  <si>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</si>
  <si>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</si>
  <si>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</si>
  <si>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</si>
  <si>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</si>
  <si>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</si>
  <si>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</si>
  <si>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</si>
  <si>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</si>
  <si>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</si>
  <si>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</si>
  <si>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</si>
  <si>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</si>
  <si>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</si>
  <si>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</si>
  <si>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</si>
  <si>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</si>
  <si>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</si>
  <si>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</si>
  <si>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</si>
  <si>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</si>
  <si>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</si>
  <si>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</si>
  <si>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</si>
  <si>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</si>
  <si>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</si>
  <si>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</si>
  <si>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</si>
  <si>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</si>
  <si>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</si>
  <si>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</si>
  <si>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</si>
  <si>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</si>
  <si>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</si>
  <si>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</si>
  <si>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</si>
  <si>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</si>
  <si>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</si>
  <si>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</si>
  <si>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</si>
  <si>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</si>
  <si>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</si>
  <si>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</si>
  <si>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</si>
  <si>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</si>
  <si>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</si>
  <si>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</si>
  <si>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</si>
  <si>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</si>
  <si>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</si>
  <si>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</si>
  <si>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</si>
  <si>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</si>
  <si>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</si>
  <si>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</si>
  <si>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</si>
  <si>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</si>
  <si>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</si>
  <si>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</si>
  <si>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</si>
  <si>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</si>
  <si>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</si>
  <si>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</si>
  <si>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</si>
  <si>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</si>
  <si>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</si>
  <si>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</si>
  <si>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</si>
  <si>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</si>
  <si>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</si>
  <si>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</si>
  <si>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</si>
  <si>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</si>
  <si>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</si>
  <si>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</si>
  <si>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</si>
  <si>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</si>
  <si>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</si>
  <si>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</si>
  <si>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</si>
  <si>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</si>
  <si>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</si>
  <si>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</si>
  <si>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</si>
  <si>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</si>
  <si>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</si>
  <si>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</si>
  <si>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</si>
  <si>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</si>
  <si>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</si>
  <si>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</si>
  <si>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</si>
  <si>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</si>
  <si>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</si>
  <si>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</si>
  <si>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</si>
  <si>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</si>
  <si>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</si>
  <si>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</si>
  <si>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</si>
  <si>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</si>
  <si>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</si>
  <si>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</si>
  <si>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</si>
  <si>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</si>
  <si>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</si>
  <si>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</si>
  <si>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</si>
  <si>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</si>
  <si>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</si>
  <si>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</si>
  <si>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</si>
  <si>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</si>
  <si>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</si>
  <si>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</si>
  <si>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</si>
  <si>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</si>
  <si>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</si>
  <si>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</si>
  <si>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</si>
  <si>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</si>
  <si>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</si>
  <si>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</si>
  <si>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</si>
  <si>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</si>
  <si>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</si>
  <si>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</si>
  <si>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</si>
  <si>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</si>
  <si>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</si>
  <si>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</si>
  <si>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</si>
  <si>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</si>
  <si>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</si>
  <si>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</si>
  <si>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</si>
  <si>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</si>
  <si>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</si>
  <si>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</si>
  <si>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</si>
  <si>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</si>
  <si>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</si>
  <si>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</si>
  <si>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</si>
  <si>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</si>
  <si>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</si>
  <si>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</si>
  <si>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</si>
  <si>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</si>
  <si>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</si>
  <si>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</si>
  <si>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</si>
  <si>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</si>
  <si>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</si>
  <si>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</si>
  <si>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</si>
  <si>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</si>
  <si>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</si>
  <si>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</si>
  <si>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</si>
  <si>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</si>
  <si>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</si>
  <si>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</si>
  <si>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</si>
  <si>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</si>
  <si>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</si>
  <si>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</si>
  <si>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</si>
  <si>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</si>
  <si>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</si>
  <si>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</si>
  <si>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</si>
  <si>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</si>
  <si>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</si>
  <si>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</si>
  <si>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</si>
  <si>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</si>
  <si>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</si>
  <si>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</si>
  <si>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</si>
  <si>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</si>
  <si>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</si>
  <si>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</si>
  <si>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</si>
  <si>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</si>
  <si>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</si>
  <si>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</si>
  <si>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</si>
  <si>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</si>
  <si>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</si>
  <si>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</si>
  <si>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</si>
  <si>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</si>
  <si>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</si>
  <si>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</si>
  <si>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</si>
  <si>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</si>
  <si>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</si>
  <si>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</si>
  <si>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</si>
  <si>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</si>
  <si>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</si>
  <si>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</si>
  <si>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</si>
  <si>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</si>
  <si>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</si>
  <si>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</si>
  <si>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</si>
  <si>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</si>
  <si>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</si>
  <si>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</si>
  <si>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</si>
  <si>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</si>
  <si>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</si>
  <si>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</si>
  <si>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</si>
  <si>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</si>
  <si>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</si>
  <si>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</si>
  <si>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</si>
  <si>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</si>
  <si>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</si>
  <si>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</si>
  <si>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</si>
  <si>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</si>
  <si>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</si>
  <si>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</si>
  <si>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</si>
  <si>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</si>
  <si>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</si>
  <si>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</si>
  <si>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</si>
  <si>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</si>
  <si>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</si>
  <si>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</si>
  <si>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</si>
  <si>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</si>
  <si>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</si>
  <si>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</si>
  <si>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</si>
  <si>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</si>
  <si>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</si>
  <si>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</si>
  <si>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</si>
  <si>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</si>
  <si>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</si>
  <si>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</si>
  <si>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</si>
  <si>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</si>
  <si>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</si>
  <si>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</si>
  <si>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</si>
  <si>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</si>
  <si>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</si>
  <si>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</si>
  <si>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</si>
  <si>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</si>
  <si>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</si>
  <si>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</si>
  <si>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</si>
  <si>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</si>
  <si>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</si>
  <si>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</si>
  <si>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</si>
  <si>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</si>
  <si>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</si>
  <si>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</si>
  <si>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</si>
  <si>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</si>
  <si>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</si>
  <si>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</si>
  <si>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</si>
  <si>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</si>
  <si>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</si>
  <si>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</si>
  <si>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</si>
  <si>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</si>
  <si>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</si>
  <si>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</si>
  <si>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</si>
  <si>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</si>
  <si>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</si>
  <si>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</si>
  <si>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</si>
  <si>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</si>
  <si>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</si>
  <si>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</si>
  <si>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</si>
  <si>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</si>
  <si>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</si>
  <si>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</si>
  <si>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</si>
  <si>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</si>
  <si>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</si>
  <si>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</si>
  <si>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</si>
  <si>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</si>
  <si>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</si>
  <si>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</si>
  <si>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</si>
  <si>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</si>
  <si>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</si>
  <si>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</si>
  <si>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</si>
  <si>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</si>
  <si>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</si>
  <si>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</si>
  <si>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</si>
  <si>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</si>
  <si>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</si>
  <si>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</si>
  <si>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</si>
  <si>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</si>
  <si>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</si>
  <si>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</si>
  <si>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</si>
  <si>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</si>
  <si>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</si>
  <si>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</si>
  <si>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</si>
  <si>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</si>
  <si>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</si>
  <si>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</si>
  <si>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</si>
  <si>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</si>
  <si>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</si>
  <si>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</si>
  <si>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</si>
  <si>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</si>
  <si>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</si>
  <si>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</si>
  <si>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</si>
  <si>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</si>
  <si>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</si>
  <si>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</si>
  <si>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</si>
  <si>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</si>
  <si>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</si>
  <si>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</si>
  <si>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</si>
  <si>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</si>
  <si>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</si>
  <si>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</si>
  <si>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</si>
  <si>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</si>
  <si>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</si>
  <si>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</si>
  <si>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</si>
  <si>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</si>
  <si>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</si>
  <si>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</si>
  <si>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</si>
  <si>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</si>
  <si>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</si>
  <si>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</si>
  <si>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</si>
  <si>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</si>
  <si>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</si>
  <si>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</si>
  <si>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</si>
  <si>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</si>
  <si>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</si>
  <si>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</si>
  <si>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</si>
  <si>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</si>
  <si>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</si>
  <si>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</si>
  <si>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</si>
  <si>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</si>
  <si>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</si>
  <si>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</si>
  <si>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</si>
  <si>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</si>
  <si>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</si>
  <si>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</si>
  <si>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</si>
  <si>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</si>
  <si>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</si>
  <si>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</si>
  <si>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</si>
  <si>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</si>
  <si>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</si>
  <si>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</si>
  <si>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</si>
  <si>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</si>
  <si>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</si>
  <si>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</si>
  <si>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</si>
  <si>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</si>
  <si>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</si>
  <si>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</si>
  <si>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</si>
  <si>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</si>
  <si>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</si>
  <si>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</si>
  <si>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</si>
  <si>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</si>
  <si>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</si>
  <si>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</si>
  <si>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</si>
  <si>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</si>
  <si>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</si>
  <si>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</si>
  <si>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</si>
  <si>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</si>
  <si>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</si>
  <si>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</si>
  <si>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</si>
  <si>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</si>
  <si>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</si>
  <si>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</si>
  <si>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</si>
  <si>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</si>
  <si>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</si>
  <si>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</si>
  <si>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</si>
  <si>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</si>
  <si>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</si>
  <si>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</si>
  <si>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</si>
  <si>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</si>
  <si>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</si>
  <si>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</si>
  <si>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</si>
  <si>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</si>
  <si>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</si>
  <si>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</si>
  <si>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</si>
  <si>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</si>
  <si>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</si>
  <si>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</si>
  <si>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</si>
  <si>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</si>
  <si>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</si>
  <si>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</si>
  <si>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</si>
  <si>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</si>
  <si>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</si>
  <si>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</si>
  <si>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</si>
  <si>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………………………………………………………………………..</t>
  </si>
  <si>
    <t>Finanziamento indistinto</t>
  </si>
  <si>
    <t>Compartecipazione alla spesa per prestazioni sanitarie - Ticket sulle prestazioni di specialistica ambulatoriale e APA-PAC</t>
  </si>
  <si>
    <t>SCHEMA DI BILANCIO
Decreto interministeriale 20 marzo 2013</t>
  </si>
  <si>
    <t>Variazione
proiezione/preventivo</t>
  </si>
  <si>
    <t>Variazione
proiezione/consuntivo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</si>
  <si>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</si>
  <si>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</si>
  <si>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</si>
  <si>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</si>
  <si>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</si>
  <si>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</si>
  <si>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</si>
  <si>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</si>
  <si>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</si>
  <si>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</si>
  <si>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</si>
  <si>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</si>
  <si>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</si>
  <si>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</si>
  <si>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</si>
  <si>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</si>
  <si>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</si>
  <si>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</si>
  <si>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</si>
  <si>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</si>
  <si>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</si>
  <si>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</si>
  <si>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</si>
  <si>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</si>
  <si>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</si>
  <si>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</si>
  <si>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</si>
  <si>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</si>
  <si>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</si>
  <si>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</si>
  <si>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</si>
  <si>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</si>
  <si>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</si>
  <si>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</si>
  <si>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</si>
  <si>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</si>
  <si>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</si>
  <si>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</si>
  <si>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</si>
  <si>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</si>
  <si>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</si>
  <si>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</si>
  <si>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</si>
  <si>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</si>
  <si>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</si>
  <si>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</si>
  <si>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</si>
  <si>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</si>
  <si>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</si>
  <si>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</si>
  <si>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</si>
  <si>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</si>
  <si>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</si>
  <si>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</si>
  <si>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</si>
  <si>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</si>
  <si>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</si>
  <si>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</si>
  <si>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</si>
  <si>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</si>
  <si>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</si>
  <si>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</si>
  <si>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</si>
  <si>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</si>
  <si>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</si>
  <si>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</si>
  <si>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</si>
  <si>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</si>
  <si>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</si>
  <si>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</si>
  <si>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</si>
  <si>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</si>
  <si>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</si>
  <si>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</si>
  <si>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</si>
  <si>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</si>
  <si>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</si>
  <si>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</si>
  <si>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</si>
  <si>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</si>
  <si>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</si>
  <si>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</si>
  <si>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</si>
  <si>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</si>
  <si>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</si>
  <si>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</si>
  <si>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</si>
  <si>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</si>
  <si>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</si>
  <si>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</si>
  <si>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</si>
  <si>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</si>
  <si>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</si>
  <si>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</si>
  <si>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</si>
  <si>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</si>
  <si>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</si>
  <si>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</si>
  <si>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</si>
  <si>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</si>
  <si>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</si>
  <si>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</si>
  <si>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</si>
  <si>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</si>
  <si>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</si>
  <si>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</si>
  <si>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</si>
  <si>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</si>
  <si>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</si>
  <si>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</si>
  <si>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>TIPO CONTO</t>
  </si>
  <si>
    <t>IVA indetraibile acquisti intercompany per medicinali con AIC</t>
  </si>
  <si>
    <t>IVA indetraibile acquisti intercompany per medicinali senza AIC</t>
  </si>
  <si>
    <t xml:space="preserve">IVA indetraibile acquisti intercompany per dispositivi medici </t>
  </si>
  <si>
    <t>IVA indetraibile acquisti intercompany per dispositivi medici impiantabili attivi</t>
  </si>
  <si>
    <t>IVA indetraibile acquisti intercompany per dispositivi medico diagnostici in vitro (IVD)</t>
  </si>
  <si>
    <t>IVA indetraibile acquisti intercompany per prodotti dietetici</t>
  </si>
  <si>
    <t>IVA indetraibile acquisti intercompany per materiali per la profilassi (vaccini)</t>
  </si>
  <si>
    <t>IVA indetraibile acquisti intercompany per prodotti chimici</t>
  </si>
  <si>
    <t>IVA indetraibile acquisti intercompany per materiali e prodotti per uso veterinario</t>
  </si>
  <si>
    <t>IVA indetraibile acquisti intercompany per altri beni e prodotti sanitari</t>
  </si>
  <si>
    <t>IVA indetraibile acquisti intercompany per prodotti alimentari</t>
  </si>
  <si>
    <t>IVA indetraibile acquisti intercompany per materiali di guardaroba, di pulizia e di convivenza in genere</t>
  </si>
  <si>
    <t>IVA indetraibile acquisti intercompany per combustibili, carburanti e lubrificanti</t>
  </si>
  <si>
    <t>IVA indetraibile acquisti intercompany per supporti informatici e cancelleria</t>
  </si>
  <si>
    <t>IVA indetraibile acquisti intercompany per materiali per manutenzione</t>
  </si>
  <si>
    <t>IVA indetraibile acquisti intercompany per altri beni e prodotti non sanitari</t>
  </si>
  <si>
    <t xml:space="preserve">Retribuzione di posizione personale sanitario universitario </t>
  </si>
  <si>
    <t>PERIODO DI RILEVAZIONE</t>
  </si>
  <si>
    <t>ENTE SSN</t>
  </si>
  <si>
    <t xml:space="preserve">            ANNO</t>
  </si>
  <si>
    <t xml:space="preserve">    TRIMESTRE</t>
  </si>
  <si>
    <t xml:space="preserve">    PREVENTIVO</t>
  </si>
  <si>
    <t xml:space="preserve">SI </t>
  </si>
  <si>
    <t>Regione Friuli Venezia Giulia</t>
  </si>
  <si>
    <t>Contributi da Regione o Prov. Aut. (extra fondo) - Risorse aggiuntive da bilancio regionale a titolo di copertura LEA</t>
  </si>
  <si>
    <t>Contributi da Regione o Prov. Aut. (extra fondo) - Risorse aggiuntive da bilancio regionale a titolo di copertura extra LEA</t>
  </si>
  <si>
    <t>2</t>
  </si>
  <si>
    <t>AA0000</t>
  </si>
  <si>
    <t>A) Valore della produzione</t>
  </si>
  <si>
    <t>3</t>
  </si>
  <si>
    <t>A.1) Contributi in c/esercizio</t>
  </si>
  <si>
    <t>4</t>
  </si>
  <si>
    <t>A.1.A) Contributi da Regione o Prov. Aut. per quota F.S. regionale</t>
  </si>
  <si>
    <t>5</t>
  </si>
  <si>
    <t>A.1.A.1) da Regione o Prov. Aut. per quota F.S. regionale indistinto</t>
  </si>
  <si>
    <t>6</t>
  </si>
  <si>
    <t>600100100100000</t>
  </si>
  <si>
    <t>600100100200000</t>
  </si>
  <si>
    <t>7</t>
  </si>
  <si>
    <t>A.1.A.1.3.A) Funzioni - Pronto soccorso</t>
  </si>
  <si>
    <t>600100100301000</t>
  </si>
  <si>
    <t>600100100302000</t>
  </si>
  <si>
    <t>600100100400000</t>
  </si>
  <si>
    <t>A.1.A.2) da Regione o Prov. Aut. per quota F.S. regionale vincolato</t>
  </si>
  <si>
    <t>600100200000000</t>
  </si>
  <si>
    <t>A.1.B) Contributi c/esercizio (extra fondo)</t>
  </si>
  <si>
    <t>A.1.B.1) da Regione o Prov. Aut. (extra fondo)</t>
  </si>
  <si>
    <t>A.1.B.1.1) Contributi da Regione o Prov. Aut. (extra fondo) vincolati</t>
  </si>
  <si>
    <t>600200100101000</t>
  </si>
  <si>
    <t>600200100102000</t>
  </si>
  <si>
    <t>600200100103000</t>
  </si>
  <si>
    <t>600200100104000</t>
  </si>
  <si>
    <t>600200100108000</t>
  </si>
  <si>
    <t>600200100109000</t>
  </si>
  <si>
    <t>A.1.B.1.2) Contributi da Regione o Prov. Aut. (extra fondo) - Risorse aggiuntive da bilancio regionale a titolo di copertura LEA</t>
  </si>
  <si>
    <t>600200100200000</t>
  </si>
  <si>
    <t>A.1.B.1.3) Contributi da Regione o Prov. Aut. (extra fondo) - Risorse aggiuntive da bilancio regionale a titolo di copertura extra LEA</t>
  </si>
  <si>
    <t>600200100300000</t>
  </si>
  <si>
    <t>A.1.B.1.4) Contributi da Regione o Prov. Aut. (extra fondo) - Altro</t>
  </si>
  <si>
    <t>600200100400000</t>
  </si>
  <si>
    <t>A.1.B.2) Contributi da Aziende sanitarie pubbliche della Regione o Prov. Aut. (extra fondo)</t>
  </si>
  <si>
    <t>A.1.B.2.1) Contributi da Aziende sanitarie pubbliche della Regione o Prov. Aut. (extra fondo) vincolati</t>
  </si>
  <si>
    <t>600200200100000</t>
  </si>
  <si>
    <t>A.1.B.2.2) Contributi da Aziende sanitarie pubbliche della Regione o Prov. Aut. (extra fondo) altro</t>
  </si>
  <si>
    <t>600200200200000</t>
  </si>
  <si>
    <t>A.1.B.3) Contributi da altri soggetti pubblici (extra fondo)</t>
  </si>
  <si>
    <t>600200300050000</t>
  </si>
  <si>
    <t>600200300101000</t>
  </si>
  <si>
    <t>600200300102000</t>
  </si>
  <si>
    <t>600200300103000</t>
  </si>
  <si>
    <t>600200300104000</t>
  </si>
  <si>
    <t>600200300108000</t>
  </si>
  <si>
    <t>600200300109000</t>
  </si>
  <si>
    <t>600200300200000</t>
  </si>
  <si>
    <t>600200300300000</t>
  </si>
  <si>
    <t>A.1.B.3.5)  Contributi da altri soggetti pubblici (extra fondo) - in attuazione dell'art.79, comma 1 sexies lettera c), del D.L. 112/2008, convertito con legge 133/2008 e della legge 23 dicembre 2009, n. 191</t>
  </si>
  <si>
    <t>600200300400000</t>
  </si>
  <si>
    <t>A.1.C) Contributi c/esercizio per ricerca</t>
  </si>
  <si>
    <t>A.1.C.1) Contributi da Ministero della Salute per ricerca corrente</t>
  </si>
  <si>
    <t>600300100000000</t>
  </si>
  <si>
    <t>A.1.C.2) Contributi da Ministero della Salute per ricerca finalizzata</t>
  </si>
  <si>
    <t>600300200000000</t>
  </si>
  <si>
    <t>A.1.C.3) Contributi da Regione ed altri soggetti pubblici per ricerca</t>
  </si>
  <si>
    <t>600300300100000</t>
  </si>
  <si>
    <t>600300300900000</t>
  </si>
  <si>
    <t>A.1.C.4) Contributi da privati per ricerca</t>
  </si>
  <si>
    <t>600300400000000</t>
  </si>
  <si>
    <t>A.1.D) Contributi c/esercizio da privati</t>
  </si>
  <si>
    <t>600400000000000</t>
  </si>
  <si>
    <t>A.2) Rettifica contributi c/esercizio per destinazione ad investimenti</t>
  </si>
  <si>
    <t>A.2.A) Rettifica contributi in c/esercizio per destinazione ad investimenti - da Regione o Prov. Aut. per quota F.S. regionale</t>
  </si>
  <si>
    <t>610100000000000</t>
  </si>
  <si>
    <t>A.2.B) Rettifica contributi in c/esercizio per destinazione ad investimenti - altri contributi</t>
  </si>
  <si>
    <t>610200000000000</t>
  </si>
  <si>
    <t>A.3) Utilizzo fondi per quote inutilizzate contributi vincolati di esercizi precedenti</t>
  </si>
  <si>
    <t>620050000000000</t>
  </si>
  <si>
    <t>620100000000000</t>
  </si>
  <si>
    <t>620200000000000</t>
  </si>
  <si>
    <t>620300000000000</t>
  </si>
  <si>
    <t>620400000000000</t>
  </si>
  <si>
    <t>A.4) Ricavi per prestazioni sanitarie e sociosanitarie a rilevanza sanitaria</t>
  </si>
  <si>
    <t>A.4.A) Ricavi per prestazioni sanitarie e sociosanitarie a rilevanza sanitaria erogate a soggetti pubblici</t>
  </si>
  <si>
    <t>A.4.A.1) Ricavi per prestaz. sanitarie e sociosanitarie a rilevanza sanitaria erogate ad Aziende sanitarie pubbliche della Regione</t>
  </si>
  <si>
    <t>630100100101000</t>
  </si>
  <si>
    <t>630100100102000</t>
  </si>
  <si>
    <t>Rimborso per prestazioni fatturate in regime di ricovero - Az. sanitarie pubb. della Regione</t>
  </si>
  <si>
    <t>630100100201000</t>
  </si>
  <si>
    <t>630100100202000</t>
  </si>
  <si>
    <t>Rimborso per prestazioni ambulatoriali e diagnostiche fatturate  - Az. sanitarie pubb. della Regione</t>
  </si>
  <si>
    <t>630100100250000</t>
  </si>
  <si>
    <t>Prestazioni di pronto soccorso non seguite da ricovero - Az. sanitarie pubb. della Regione</t>
  </si>
  <si>
    <t>630100100300000</t>
  </si>
  <si>
    <t>Prestazioni di psichiatria residenziale e semiresidenziale - Az. sanitarie pubb. della Regione</t>
  </si>
  <si>
    <t>630100100400000</t>
  </si>
  <si>
    <t>Prestazioni di File F  - Az. sanitarie pubb. della Regione</t>
  </si>
  <si>
    <t>630100100500000</t>
  </si>
  <si>
    <t>Prestazioni servizi MMG, PLS, Contin. Assistenziale  - Az. sanitarie pubb. della Regione</t>
  </si>
  <si>
    <t>630100100600000</t>
  </si>
  <si>
    <t>Prestazioni servizi farmaceutica convenzionata  - Az. sanitarie pubb. della Regione</t>
  </si>
  <si>
    <t>630100100700000</t>
  </si>
  <si>
    <t>Prestazioni termali  - Az. sanitarie pubb. della Regione</t>
  </si>
  <si>
    <t>630100100800000</t>
  </si>
  <si>
    <t>Prestazioni trasporto ambulanze ed elisoccorso - Az. sanitarie pubb. della Regione</t>
  </si>
  <si>
    <t>630100100810000</t>
  </si>
  <si>
    <t>Prestazioni assistenza integrativa - Az. sanitarie pubb. della Regione</t>
  </si>
  <si>
    <t>630100100820000</t>
  </si>
  <si>
    <t>Prestazioni assistenza protesica - Az. sanitarie pubb. della Regione</t>
  </si>
  <si>
    <t>630100100830000</t>
  </si>
  <si>
    <t>Prestazioni assistenza riabilitativa extraospedaliera - Az. sanitarie pubb. della Regione</t>
  </si>
  <si>
    <t>630100100840000</t>
  </si>
  <si>
    <t>Ricavi per cessione di emocomponenti e cellule staminali - Az. sanitarie pubb. della Regione</t>
  </si>
  <si>
    <t>630100100850000</t>
  </si>
  <si>
    <t>Prestazioni assistenza domiciliare integrata (ADI) - Az. sanitarie pubb. della Regione</t>
  </si>
  <si>
    <t>630100100911000</t>
  </si>
  <si>
    <t>Consulenze sanitarie  - Az. sanitarie pubb. della Regione</t>
  </si>
  <si>
    <t>630100100909000</t>
  </si>
  <si>
    <t>Altre prestazioni sanitarie e socio-sanitarie a rilevanza sanitaria  - Az. sanitarie pubb. della Regione</t>
  </si>
  <si>
    <t>A.4.A.2) Ricavi per prestaz. sanitarie e sociosanitarie a rilevanza sanitaria erogate ad altri soggetti pubblici</t>
  </si>
  <si>
    <t>630100200000000</t>
  </si>
  <si>
    <t>630100300100000</t>
  </si>
  <si>
    <t>630100300150000</t>
  </si>
  <si>
    <t>630100300160000</t>
  </si>
  <si>
    <t>Prestazioni di pronto soccorso non seguite da ricovero -  a soggetti pubblici Extraregione</t>
  </si>
  <si>
    <t>630100300200000</t>
  </si>
  <si>
    <t>Prestazioni di psichiatria ad extraregione non soggetta a compensazione (resid. e semiresid.)</t>
  </si>
  <si>
    <t>630100300250000</t>
  </si>
  <si>
    <t>Prestazioni di File F - a soggetti pubblici Extraregione</t>
  </si>
  <si>
    <t>630100300300000</t>
  </si>
  <si>
    <t>630100300350000</t>
  </si>
  <si>
    <t>630100300400000</t>
  </si>
  <si>
    <t>630100300450000</t>
  </si>
  <si>
    <t>630100300510000</t>
  </si>
  <si>
    <t>630100300520000</t>
  </si>
  <si>
    <t>630100300550000</t>
  </si>
  <si>
    <t>8</t>
  </si>
  <si>
    <t>630100300600000</t>
  </si>
  <si>
    <t>630100300610000</t>
  </si>
  <si>
    <t>630100300651000</t>
  </si>
  <si>
    <t>630100300652010</t>
  </si>
  <si>
    <t>Consulenze sanitarie a compensazione Extraregione</t>
  </si>
  <si>
    <t>630100300652020</t>
  </si>
  <si>
    <t>Rimborso per prestazioni fatturate in regime di ricovero extraregione</t>
  </si>
  <si>
    <t>630100300652030</t>
  </si>
  <si>
    <t>Rimborso per prestazioni ambulatoriali e diagnostiche fatturate extraregione</t>
  </si>
  <si>
    <t>630100300652040</t>
  </si>
  <si>
    <t>630100300700000</t>
  </si>
  <si>
    <t>630100300800000</t>
  </si>
  <si>
    <t>630100300900000</t>
  </si>
  <si>
    <t>A.4.B) Ricavi per prestazioni sanitarie e sociosanitarie a rilevanza sanitaria erogate da privati v/residenti Extraregione in compensazione (mobilità attiva)</t>
  </si>
  <si>
    <t>A.4.B.1) Prestazioni di ricovero da priv. Extraregione in compensazione (mobilità attiva)</t>
  </si>
  <si>
    <t>630200100000000</t>
  </si>
  <si>
    <t>A.4.B.2) Prestazioni ambulatoriali da priv. Extraregione in compensazione (mobilità attiva)</t>
  </si>
  <si>
    <t>630200200000000</t>
  </si>
  <si>
    <t>A.4.B.3)  Prestazioni di pronto soccorso non seguite da ricovero da priv. Extraregione in compensazione  (mobilità attiva)</t>
  </si>
  <si>
    <t>630200250000000</t>
  </si>
  <si>
    <t>Prestazioni di pronto soccorso non seguite da ricovero da priv. Extraregione in compensazione (mobilità attiva)</t>
  </si>
  <si>
    <t>A.4.B.4) Prestazioni di File F da priv. Extraregione in compensazione (mobilità attiva)</t>
  </si>
  <si>
    <t>630200300000000</t>
  </si>
  <si>
    <t>630200400000000</t>
  </si>
  <si>
    <t>A.4.C) Ricavi per prestazioni sanitarie e sociosanitarie a rilevanza sanitaria erogate a privati</t>
  </si>
  <si>
    <t>6303001000000</t>
  </si>
  <si>
    <t>630300100100000</t>
  </si>
  <si>
    <t>630300100200000</t>
  </si>
  <si>
    <t>630300100300000</t>
  </si>
  <si>
    <t>630300100400000</t>
  </si>
  <si>
    <t>630300100500000</t>
  </si>
  <si>
    <t>630300100600000</t>
  </si>
  <si>
    <t>630300100900000</t>
  </si>
  <si>
    <t>6303002000000</t>
  </si>
  <si>
    <t>630300200100000</t>
  </si>
  <si>
    <t>630300200150000</t>
  </si>
  <si>
    <t>630300200200000</t>
  </si>
  <si>
    <t>630300200250000</t>
  </si>
  <si>
    <t>630300200300000</t>
  </si>
  <si>
    <t>630300200350000</t>
  </si>
  <si>
    <t>630300200400000</t>
  </si>
  <si>
    <t>630300200450000</t>
  </si>
  <si>
    <t>630300200500000</t>
  </si>
  <si>
    <t>630300200550000</t>
  </si>
  <si>
    <t>630300200600000</t>
  </si>
  <si>
    <t>630300200650000</t>
  </si>
  <si>
    <t>630300200700000</t>
  </si>
  <si>
    <t>630300200750000</t>
  </si>
  <si>
    <t>6303002008000</t>
  </si>
  <si>
    <t>630300200801000</t>
  </si>
  <si>
    <t>630300200802000</t>
  </si>
  <si>
    <t>630300200900000</t>
  </si>
  <si>
    <t>630300300000000</t>
  </si>
  <si>
    <t>Prestazioni amministrative e gestionali a privati</t>
  </si>
  <si>
    <t>630300400000000</t>
  </si>
  <si>
    <t>630300500000000</t>
  </si>
  <si>
    <t>630300600000000</t>
  </si>
  <si>
    <t>630300700000000</t>
  </si>
  <si>
    <t>630300800000000</t>
  </si>
  <si>
    <t>6303009000000</t>
  </si>
  <si>
    <t>630300900100000</t>
  </si>
  <si>
    <t>630300900900000</t>
  </si>
  <si>
    <t>A.4.D) Ricavi per prestazioni sanitarie erogate in regime di intramoenia</t>
  </si>
  <si>
    <t>A.4.D.1) Ricavi per prestazioni sanitarie intramoenia - Area ospedaliera</t>
  </si>
  <si>
    <t>630400100000000</t>
  </si>
  <si>
    <t>A.4.D.2) Ricavi per prestazioni sanitarie intramoenia - Area specialistica</t>
  </si>
  <si>
    <t>630400200000000</t>
  </si>
  <si>
    <t>A.4.D.3) Ricavi per prestazioni sanitarie intramoenia - Area sanità pubblica</t>
  </si>
  <si>
    <t>630400300000000</t>
  </si>
  <si>
    <t>A.4.D.4) Ricavi per prestazioni sanitarie intramoenia - Consulenze (ex art. 55 c.1 lett. c), d) ed ex art. 57-58)</t>
  </si>
  <si>
    <t>630400400000000</t>
  </si>
  <si>
    <t>A.4.D.5) Ricavi per prestazioni sanitarie intramoenia - Consulenze (ex art. 55 c.1 lett. c), d) ed ex art. 57-58) (Aziende sanitarie pubbliche della Regione)</t>
  </si>
  <si>
    <t>630400500000000</t>
  </si>
  <si>
    <t>A.4.D.6) Ricavi per prestazioni sanitarie intramoenia - Altro</t>
  </si>
  <si>
    <t>630400600000000</t>
  </si>
  <si>
    <t>A.4.D.7) Ricavi per prestazioni sanitarie intramoenia - Altro (Aziende sanitarie pubbliche della Regione)</t>
  </si>
  <si>
    <t>630400700000000</t>
  </si>
  <si>
    <t>640100000000000</t>
  </si>
  <si>
    <t>640200100000000</t>
  </si>
  <si>
    <t>640200200000000</t>
  </si>
  <si>
    <t>640300100000000</t>
  </si>
  <si>
    <t>640300200000000</t>
  </si>
  <si>
    <t>640300300100000</t>
  </si>
  <si>
    <t>Prestazioni amministrative e gestionali - Az. sanitarie pubb. della Regione</t>
  </si>
  <si>
    <t>640300300200000</t>
  </si>
  <si>
    <t>Consulenze non sanitarie  - Az. sanitarie pubb. della Regione</t>
  </si>
  <si>
    <t>640300300900000</t>
  </si>
  <si>
    <t>Altri concorsi, recuperi e rimborsi  - Az. sanitarie pubb. della Regione</t>
  </si>
  <si>
    <t>640300400000000</t>
  </si>
  <si>
    <t>640400100000000</t>
  </si>
  <si>
    <t>640400200000000</t>
  </si>
  <si>
    <t>640400300100000</t>
  </si>
  <si>
    <t>640400300200000</t>
  </si>
  <si>
    <t>640400300300000</t>
  </si>
  <si>
    <t>640400300400000</t>
  </si>
  <si>
    <t>640400300500000</t>
  </si>
  <si>
    <t>640400300900000</t>
  </si>
  <si>
    <t>640500100100000</t>
  </si>
  <si>
    <t>640500100200000</t>
  </si>
  <si>
    <t>640500100300000</t>
  </si>
  <si>
    <t>640500150000000</t>
  </si>
  <si>
    <t>640500200100000</t>
  </si>
  <si>
    <t>640500200150000</t>
  </si>
  <si>
    <t>640500200200000</t>
  </si>
  <si>
    <t>640500200250000</t>
  </si>
  <si>
    <t>640500200300000</t>
  </si>
  <si>
    <t>640500200350000</t>
  </si>
  <si>
    <t>640500200400000</t>
  </si>
  <si>
    <t>640500200450000</t>
  </si>
  <si>
    <t>640500200500000</t>
  </si>
  <si>
    <t>640500200550000</t>
  </si>
  <si>
    <t>640500200600000</t>
  </si>
  <si>
    <t>640500200650000</t>
  </si>
  <si>
    <t>640500200900000</t>
  </si>
  <si>
    <t>A.6) Compartecipazione alla spesa per prestazioni sanitarie (Ticket)</t>
  </si>
  <si>
    <t>A.6.A) Compartecipazione alla spesa per prestazioni sanitarie - Ticket sulle prestazioni di specialistica ambulatoriale</t>
  </si>
  <si>
    <t>650100000000000</t>
  </si>
  <si>
    <t>A.6.B) Compartecipazione alla spesa per prestazioni sanitarie - Ticket sul pronto soccorso</t>
  </si>
  <si>
    <t>650200000000000</t>
  </si>
  <si>
    <t>A.6.C) Compartecipazione alla spesa per prestazioni sanitarie (Ticket) - Altro</t>
  </si>
  <si>
    <t>650300000000000</t>
  </si>
  <si>
    <t>A.7) Quota contributi c/capitale imputata all'esercizio</t>
  </si>
  <si>
    <t>660100000000000</t>
  </si>
  <si>
    <t>A.7.B) Quota imputata all'esercizio dei finanziamenti per investimenti da Regione</t>
  </si>
  <si>
    <t>660200000000000</t>
  </si>
  <si>
    <t>A.7.C) Quota imputata all'esercizio dei finanziamenti per beni di prima dotazione</t>
  </si>
  <si>
    <t>660300000000000</t>
  </si>
  <si>
    <t>660400000000000</t>
  </si>
  <si>
    <t>660500000000000</t>
  </si>
  <si>
    <t>660600000000000</t>
  </si>
  <si>
    <t>A.8) Incrementi delle immobilizzazioni per lavori interni</t>
  </si>
  <si>
    <t>670000000000000</t>
  </si>
  <si>
    <t>680100100000000</t>
  </si>
  <si>
    <t>680100200000000</t>
  </si>
  <si>
    <t>680100900000000</t>
  </si>
  <si>
    <t>680200100000000</t>
  </si>
  <si>
    <t>680200200000000</t>
  </si>
  <si>
    <t>680200900000000</t>
  </si>
  <si>
    <t>680300100000000</t>
  </si>
  <si>
    <t>680300200000000</t>
  </si>
  <si>
    <t>680300900000000</t>
  </si>
  <si>
    <t>CONTO</t>
  </si>
  <si>
    <t>BA0000</t>
  </si>
  <si>
    <t>B) Costi della produzione</t>
  </si>
  <si>
    <t>B.1) Acquisti di beni</t>
  </si>
  <si>
    <t>B.1.A) Acquisti di beni sanitari</t>
  </si>
  <si>
    <t>B.1.A.1) Prodotti farmaceutici ed emoderivati</t>
  </si>
  <si>
    <t>B.1.A.1.1) Medicinali con AIC, ad eccezione di vaccini ed emoderivati di produzione regionale</t>
  </si>
  <si>
    <t>300100100100000</t>
  </si>
  <si>
    <t>300100100110000</t>
  </si>
  <si>
    <t>300100100200000</t>
  </si>
  <si>
    <t>300100100210000</t>
  </si>
  <si>
    <t>300100100250000</t>
  </si>
  <si>
    <t>300100100301000</t>
  </si>
  <si>
    <t>B.1.A.1.4.2) Emoderivati di produzione regionale da pubblico (Aziende sanitarie pubbliche extra Regione) - Mobilità extraregionale</t>
  </si>
  <si>
    <t>300100100302000</t>
  </si>
  <si>
    <t>300100100303000</t>
  </si>
  <si>
    <t>B.1.A.2) Sangue ed emocomponenti</t>
  </si>
  <si>
    <t>300100200100000</t>
  </si>
  <si>
    <t>Sangue e emocomp. da pubblico (Aziende sanitarie pubbliche della Regione) – Mobilità intraregionale</t>
  </si>
  <si>
    <t>300100200200000</t>
  </si>
  <si>
    <t>Sangue e emocomp. da pubblico (Aziende sanitarie pubbliche extra Regione) – Mobilità extraregionale</t>
  </si>
  <si>
    <t>300100200300000</t>
  </si>
  <si>
    <t>B.1.A.3.1) Dispositivi medici</t>
  </si>
  <si>
    <t>300100300100000</t>
  </si>
  <si>
    <t>300100300110000</t>
  </si>
  <si>
    <t>B.1.A.3.2) Dispositivi medici impiantabili attivi</t>
  </si>
  <si>
    <t>300100300200000</t>
  </si>
  <si>
    <t>300100300210000</t>
  </si>
  <si>
    <t>B.1.A.3.3) Dispositivi medico diagnostici in vitro (IVD)</t>
  </si>
  <si>
    <t>300100300300000</t>
  </si>
  <si>
    <t>300100300310000</t>
  </si>
  <si>
    <t>B.1.A.4) Prodotti dietetici</t>
  </si>
  <si>
    <t>300100400000000</t>
  </si>
  <si>
    <t>300100400100000</t>
  </si>
  <si>
    <t>B.1.A.5) Materiali per la profilassi (vaccini)</t>
  </si>
  <si>
    <t>300100500000000</t>
  </si>
  <si>
    <t>300100500100000</t>
  </si>
  <si>
    <t>B.1.A.6) Prodotti chimici</t>
  </si>
  <si>
    <t>300100600000000</t>
  </si>
  <si>
    <t>300100600100000</t>
  </si>
  <si>
    <t>B.1.A.7) Materiali e prodotti per uso veterinario</t>
  </si>
  <si>
    <t>300100700000000</t>
  </si>
  <si>
    <t>300100700100000</t>
  </si>
  <si>
    <t>B.1.A.8) Altri beni e prodotti sanitari</t>
  </si>
  <si>
    <t>300100800000000</t>
  </si>
  <si>
    <t>300100800100000</t>
  </si>
  <si>
    <t>B.1.A.9) Beni e prodotti sanitari da Aziende sanitarie pubbliche della Regione</t>
  </si>
  <si>
    <t>300100900100000</t>
  </si>
  <si>
    <t>Medicinali con AIC, ad eccezione di vaccini ed emoderivati di produzione regionale  - Az. sanitarie pubb. della Regione</t>
  </si>
  <si>
    <t>300100900150000</t>
  </si>
  <si>
    <t>Medicinali senza AIC - Az. sanitarie pubb. della Regione</t>
  </si>
  <si>
    <t>300100900200000</t>
  </si>
  <si>
    <t>Emoderivati di produzione regionale - Az. sanitarie pubb. della Regione</t>
  </si>
  <si>
    <t>BA0302</t>
  </si>
  <si>
    <t>B.1.A.9.2)  Sangue ed emocomponenti</t>
  </si>
  <si>
    <t>300100900250000</t>
  </si>
  <si>
    <t>Sangue ed emocomponenti - Az. sanitarie pubb. della Regione</t>
  </si>
  <si>
    <t>300100900300000</t>
  </si>
  <si>
    <t>Dispositivi medici  - Az. sanitarie pubb. della Regione</t>
  </si>
  <si>
    <t>300100900350000</t>
  </si>
  <si>
    <t>Dispositivi medici impiantabili attivi - Az. sanitarie pubb. della Regione</t>
  </si>
  <si>
    <t>300100900400000</t>
  </si>
  <si>
    <t>Dispositivi medico diagnostici in vitro (IVD) - Az. sanitarie pubb. della Regione</t>
  </si>
  <si>
    <t>300100900450000</t>
  </si>
  <si>
    <t>Prodotti dietetici - Az. sanitarie pubb. della Regione</t>
  </si>
  <si>
    <t>300100900500000</t>
  </si>
  <si>
    <t>Materiali per la profilassi (vaccini) - Az. sanitarie pubb. della Regione</t>
  </si>
  <si>
    <t>300100900550000</t>
  </si>
  <si>
    <t>Prodotti chimici - Az. sanitarie pubb. della Regione</t>
  </si>
  <si>
    <t>300100900600000</t>
  </si>
  <si>
    <t>Materiali e prodotti per uso veterinario - Az. sanitarie pubb. della Regione</t>
  </si>
  <si>
    <t>300100900900000</t>
  </si>
  <si>
    <t>Altri beni e prodotti sanitari  - Az. sanitarie pubb. della Regione</t>
  </si>
  <si>
    <t>B.1.B) Acquisti di beni non sanitari</t>
  </si>
  <si>
    <t>B.1.B.1) Prodotti alimentari</t>
  </si>
  <si>
    <t>300200100000000</t>
  </si>
  <si>
    <t>300200100100000</t>
  </si>
  <si>
    <t>B.1.B.2) Materiali di guardaroba, di pulizia e di convivenza in genere</t>
  </si>
  <si>
    <t>300200200000000</t>
  </si>
  <si>
    <t>300200200100000</t>
  </si>
  <si>
    <t>B.1.B.3) Combustibili, carburanti e lubrificanti</t>
  </si>
  <si>
    <t>300200300000000</t>
  </si>
  <si>
    <t>300200300100000</t>
  </si>
  <si>
    <t>B.1.B.4) Supporti informatici e cancelleria</t>
  </si>
  <si>
    <t>300200400100000</t>
  </si>
  <si>
    <t>300200400200000</t>
  </si>
  <si>
    <t>300200400300000</t>
  </si>
  <si>
    <t>300200400400000</t>
  </si>
  <si>
    <t>B.1.B.5) Materiale per la manutenzione</t>
  </si>
  <si>
    <t>300200500100000</t>
  </si>
  <si>
    <t>300200500200000</t>
  </si>
  <si>
    <t>300200500300000</t>
  </si>
  <si>
    <t>B.1.B.6) Altri beni e prodotti non sanitari</t>
  </si>
  <si>
    <t>300200600000000</t>
  </si>
  <si>
    <t>300200600100000</t>
  </si>
  <si>
    <t>B.1.B.7) Beni e prodotti non sanitari da Aziende sanitarie pubbliche della Regione</t>
  </si>
  <si>
    <t>300200700100000</t>
  </si>
  <si>
    <t>Prodotti alimentari - Az. sanitarie pubb. della Regione</t>
  </si>
  <si>
    <t>300200700200000</t>
  </si>
  <si>
    <t>Materiali di guardaroba, di pulizia e di convivenza in genere - Az. sanitarie pubb. della Regione</t>
  </si>
  <si>
    <t>300200700300000</t>
  </si>
  <si>
    <t>Combustibili, carburanti e lubrificanti - Az. sanitarie pubb. della Regione</t>
  </si>
  <si>
    <t>300200700400000</t>
  </si>
  <si>
    <t>Supporti informatici e cancelleria - Az. sanitarie pubb. della Regione</t>
  </si>
  <si>
    <t>300200700500000</t>
  </si>
  <si>
    <t>Materiale per la manutenzione - Az. sanitarie pubb. della Regione</t>
  </si>
  <si>
    <t>300200700900000</t>
  </si>
  <si>
    <t>Altri beni e prodotti non sanitari  - Az. sanitarie pubb. della Regione</t>
  </si>
  <si>
    <t>B.2) Acquisti di servizi</t>
  </si>
  <si>
    <t>B.2.A) Acquisti servizi sanitari</t>
  </si>
  <si>
    <t>B.2.A.1) Acquisti servizi sanitari per medicina di base</t>
  </si>
  <si>
    <t>305100050101005</t>
  </si>
  <si>
    <t>Quota capitaria nazionale MMG</t>
  </si>
  <si>
    <t>305100050101010</t>
  </si>
  <si>
    <t>Compensi da fondo ponderazione MMG</t>
  </si>
  <si>
    <t>305100050101015</t>
  </si>
  <si>
    <t>Compensi da fondo qualità dell'assistenza MMG</t>
  </si>
  <si>
    <t>305100050101020</t>
  </si>
  <si>
    <t>Compensi da fondo quota capitaria regionale MMG</t>
  </si>
  <si>
    <t>305100050101025</t>
  </si>
  <si>
    <t>Compensi extra derivanti da accordi nazionali MMG</t>
  </si>
  <si>
    <t>305100050101030</t>
  </si>
  <si>
    <t>Compensi da accordi regionali MMG</t>
  </si>
  <si>
    <t>305100050101035</t>
  </si>
  <si>
    <t>Compensi da accordi aziendali MMG</t>
  </si>
  <si>
    <t>305100050101040</t>
  </si>
  <si>
    <t>Premi assicurativi malattia MMG</t>
  </si>
  <si>
    <t>305100050101045</t>
  </si>
  <si>
    <t>Formazione MMG</t>
  </si>
  <si>
    <t>305100050101050</t>
  </si>
  <si>
    <t>Altre competenze MMG</t>
  </si>
  <si>
    <t>305100050101055</t>
  </si>
  <si>
    <t>Oneri sociali MMG</t>
  </si>
  <si>
    <t>305100050102005</t>
  </si>
  <si>
    <t>Quota capitaria nazionale PLS</t>
  </si>
  <si>
    <t>305100050102010</t>
  </si>
  <si>
    <t>Compensi da fondo ponderazione PLS</t>
  </si>
  <si>
    <t>305100050102015</t>
  </si>
  <si>
    <t>Compensi da fondo qualità dell'assistenza PLS</t>
  </si>
  <si>
    <t>305100050102020</t>
  </si>
  <si>
    <t>Compensi da fondo quota capitaria regionale PLS</t>
  </si>
  <si>
    <t>305100050102025</t>
  </si>
  <si>
    <t>Compensi extra derivanti da accordi nazionali PLS</t>
  </si>
  <si>
    <t>305100050102030</t>
  </si>
  <si>
    <t>Compensi da accordi regionali PLS</t>
  </si>
  <si>
    <t>305100050102035</t>
  </si>
  <si>
    <t>Compensi da accordi aziendali PLS</t>
  </si>
  <si>
    <t>305100050102040</t>
  </si>
  <si>
    <t>Premi assicurativi malattia PLS</t>
  </si>
  <si>
    <t>305100050102045</t>
  </si>
  <si>
    <t>Formazione PLS</t>
  </si>
  <si>
    <t>305100050102050</t>
  </si>
  <si>
    <t>Altre competenze PLS</t>
  </si>
  <si>
    <t>305100050102055</t>
  </si>
  <si>
    <t>Oneri sociali PLS</t>
  </si>
  <si>
    <t>305100050103005</t>
  </si>
  <si>
    <t>305100050103010</t>
  </si>
  <si>
    <t>305100050103015</t>
  </si>
  <si>
    <t>305100050103020</t>
  </si>
  <si>
    <t>305100050103025</t>
  </si>
  <si>
    <t>305100050103030</t>
  </si>
  <si>
    <t>305100050103035</t>
  </si>
  <si>
    <t>305100050103040</t>
  </si>
  <si>
    <t xml:space="preserve">Altri compensi Conv. per emergenza sanitaria territoriale </t>
  </si>
  <si>
    <t>305100050103045</t>
  </si>
  <si>
    <t>305100050103050</t>
  </si>
  <si>
    <t>305100050103055</t>
  </si>
  <si>
    <t>305100050103060</t>
  </si>
  <si>
    <t>305100050103065</t>
  </si>
  <si>
    <t>305100050103070</t>
  </si>
  <si>
    <t>305100050104005</t>
  </si>
  <si>
    <t>Compensi fissi altro personale sanitario convenzionato</t>
  </si>
  <si>
    <t>305100050104010</t>
  </si>
  <si>
    <t>Compensi da fondo ponderazione altro personale sanitario convenzionato</t>
  </si>
  <si>
    <t>305100050104015</t>
  </si>
  <si>
    <t>Compensi extra derivanti da accordi nazionali altro personale sanitario convenzionato</t>
  </si>
  <si>
    <t>305100050104020</t>
  </si>
  <si>
    <t>Compensi da accordi regionali altro personale sanitario convenzionato</t>
  </si>
  <si>
    <t>305100050104025</t>
  </si>
  <si>
    <t>Compensi da accordi aziendali altro personale sanitario convenzionato</t>
  </si>
  <si>
    <t>305100050104030</t>
  </si>
  <si>
    <t>Altre competenze altro personale sanitario convenzionato</t>
  </si>
  <si>
    <t>305100050104035</t>
  </si>
  <si>
    <t>Oneri sociali altro personale sanitario convenzionato</t>
  </si>
  <si>
    <t>305100050104040</t>
  </si>
  <si>
    <t>305100050200000</t>
  </si>
  <si>
    <t>Servizi sanitari per medicina di base da pubblico (Aziende sanitarie pubbliche della Regione) - Mobilità intraregionale</t>
  </si>
  <si>
    <t>305100050300000</t>
  </si>
  <si>
    <t>Servizi sanitari per medicina di base da pubblico (Aziende sanitarie pubbliche Extraregione) - Mobilità extraregionale</t>
  </si>
  <si>
    <t>B.2.A.2) Acquisti servizi sanitari per farmaceutica</t>
  </si>
  <si>
    <t>305100100101000</t>
  </si>
  <si>
    <t>305100100102000</t>
  </si>
  <si>
    <t>305100100200000</t>
  </si>
  <si>
    <t>Servizi sanitari per farmaceutica da pubblico (Aziende sanitarie pubbliche della Regione)- Mobilità intraregionale</t>
  </si>
  <si>
    <t>305100100300000</t>
  </si>
  <si>
    <t>Servizi sanitari per farmaceuticada pubblico (Extraregione)</t>
  </si>
  <si>
    <t>B.2.A.3) Acquisti servizi sanitari per assistenza specialistica ambulatoriale</t>
  </si>
  <si>
    <t>305100150101000</t>
  </si>
  <si>
    <t>305100150102000</t>
  </si>
  <si>
    <t>B.2.A.3.2) Prestazioni di pronto soccorso non seguite da ricovero - da pubblico (Aziende sanitarie pubbliche della Regione)</t>
  </si>
  <si>
    <t>305100150150000</t>
  </si>
  <si>
    <t>B.2.A.3.3) - da pubblico (altri soggetti pubbl. della Regione), ad eccezione delle somministrazionidi farmaci e dispositivi ad alto costoin trattamento</t>
  </si>
  <si>
    <t>305100150200000</t>
  </si>
  <si>
    <t>Servizi sanitari per assistenza specialistica ambulatoriale da pubblico (altri soggetti pubbl. della Regione)</t>
  </si>
  <si>
    <t>B.2.A.3.4) Prestazioni di pronto soccorso non seguite da ricovero - da pubblico (altri soggetti pubbl. della Regione)</t>
  </si>
  <si>
    <t>305100150250000</t>
  </si>
  <si>
    <t>305100150301000</t>
  </si>
  <si>
    <t>B.2.A.3.6) - Prestazioni di pronto soccorso non seguite da ricovero - da pubblico (Extraregione)</t>
  </si>
  <si>
    <t>305100150350000</t>
  </si>
  <si>
    <t>305100150401000</t>
  </si>
  <si>
    <t>Compensi fissi medici SUMAI</t>
  </si>
  <si>
    <t>305100150402000</t>
  </si>
  <si>
    <t>Compendi da fondo ponderazione medici SUMAI</t>
  </si>
  <si>
    <t>305100150403000</t>
  </si>
  <si>
    <t>Compensi extra derivanti da accordi nazionali medici SUMAI</t>
  </si>
  <si>
    <t>305100150404000</t>
  </si>
  <si>
    <t>Compensi da accordi regionali medici SUMAI</t>
  </si>
  <si>
    <t>305100150405000</t>
  </si>
  <si>
    <t>Compensi da accordi aziendali medici SUMAI</t>
  </si>
  <si>
    <t>305100150406000</t>
  </si>
  <si>
    <t>Altre competenze medici SUMAI</t>
  </si>
  <si>
    <t>305100150407000</t>
  </si>
  <si>
    <t>Oneri sociali medici SUMAI</t>
  </si>
  <si>
    <t>305100150501000</t>
  </si>
  <si>
    <t>B.2.A.3.8.B) Servizi sanitari per prestazioni di pronto soccorso non seguite da ricovero da IRCCS privati e Policlinici privati</t>
  </si>
  <si>
    <t>305100150501500</t>
  </si>
  <si>
    <t>Servizi sanitari per prestazioni di pronto soccorso non seguite da ricovero - da IRCCS privati e Policlinici privati</t>
  </si>
  <si>
    <t>305100150502000</t>
  </si>
  <si>
    <t>B.2.A.3.8.D) Servizi sanitari per prestazioni di pronto soccorso non seguite da ricovero da Ospedali Classificati privati</t>
  </si>
  <si>
    <t>305100150502500</t>
  </si>
  <si>
    <t>305100150503000</t>
  </si>
  <si>
    <t>B.2.A.3.8.F) Servizi sanitari per prestazioni di pronto soccorso non seguite da ricovero da Case di Cura private</t>
  </si>
  <si>
    <t>305100150503500</t>
  </si>
  <si>
    <t>305100150504000</t>
  </si>
  <si>
    <t>B.2.A.3.8.H) Servizi sanitari per prestazioni di pronto soccorso non seguite da ricovero da altri privati</t>
  </si>
  <si>
    <t>305100150504500</t>
  </si>
  <si>
    <t>305100150600000</t>
  </si>
  <si>
    <t>Servizi sanitari per ass. spec. ambulatoriale da privato per cittadini non residenti - Extraregione (mobilità attiva in compensazione)</t>
  </si>
  <si>
    <t>B.2.A.3.10) - Servizi sanitari per prestazioni di pronto soccorso non seguite da ricovero - da privato per cittadini non residenti - Extraregione (mobilità attiva in compensazione)</t>
  </si>
  <si>
    <t>305100150700000</t>
  </si>
  <si>
    <t>B.2.A.4) Acquisti servizi sanitari per assistenza riabilitativa</t>
  </si>
  <si>
    <t>305100200100000</t>
  </si>
  <si>
    <t>Servizi sanitari per assistenza riabilitativa da pubblico (Aziende sanitarie pubbliche della Regione)</t>
  </si>
  <si>
    <t>305100200200000</t>
  </si>
  <si>
    <t>Servizi sanitari per assistenza riabilitativa da pubblico (altri soggetti pubbl. della Regione)</t>
  </si>
  <si>
    <t>305100200300000</t>
  </si>
  <si>
    <t>Servizi sanitari per assistenza riabilitativada pubblico (Extraregione) non soggetti a compensazione</t>
  </si>
  <si>
    <t>305100200401000</t>
  </si>
  <si>
    <t>Assistenza riabilitativa ex art.26 L.833/78 - in regime di ricovero da privato (intraregionale)</t>
  </si>
  <si>
    <t>305100200402000</t>
  </si>
  <si>
    <t>Assistenza riabilitativa ex art.26 L.833/78 - in regime ambulatoriale da privato (intraregionale)</t>
  </si>
  <si>
    <t>305100200501000</t>
  </si>
  <si>
    <t>Assistenza riabilitativa ex art.26 L.833/78 - in regime di ricovero da privato (extraregionale)</t>
  </si>
  <si>
    <t>305100200502000</t>
  </si>
  <si>
    <t>Assistenza riabilitativa ex art.26 L.833/78 - in regime ambulatoriale da privato (extraregionale)</t>
  </si>
  <si>
    <t>B.2.A.5) Acquisti servizi sanitari per assistenza integrativa</t>
  </si>
  <si>
    <t>305100250100000</t>
  </si>
  <si>
    <t>Servizi sanitari per assistenza integrativa da pubblico (Aziende sanitarie pubbliche della Regione)</t>
  </si>
  <si>
    <t>305100250200000</t>
  </si>
  <si>
    <t>Servizi sanitari per assistenza integrativa da pubblico (altri soggetti pubbl. della Regione)</t>
  </si>
  <si>
    <t>305100250300000</t>
  </si>
  <si>
    <t>Servizi sanitari per assistenza integrativa da pubblico (Extraregione)</t>
  </si>
  <si>
    <t>305100250401000</t>
  </si>
  <si>
    <t>305100250402000</t>
  </si>
  <si>
    <t>305100250409000</t>
  </si>
  <si>
    <t>B.2.A.6) Acquisti servizi sanitari per assistenza protesica</t>
  </si>
  <si>
    <t>305100300100000</t>
  </si>
  <si>
    <t>Servizi sanitari per assistenza protesica da pubblico (Aziende sanitarie pubbliche della Regione)</t>
  </si>
  <si>
    <t>305100300200000</t>
  </si>
  <si>
    <t>Servizi sanitari per assistenza protesica da pubblico (altri soggetti pubbl. della Regione)</t>
  </si>
  <si>
    <t>305100300300000</t>
  </si>
  <si>
    <t>Servizi sanitari per assistenza protesica da pubblico (Extraregione)</t>
  </si>
  <si>
    <t>305100300401000</t>
  </si>
  <si>
    <t>305100300402000</t>
  </si>
  <si>
    <t>B.2.A.7) Acquisti servizi sanitari per assistenza ospedaliera</t>
  </si>
  <si>
    <t>305100350101000</t>
  </si>
  <si>
    <t>305100350102000</t>
  </si>
  <si>
    <t>305100350200000</t>
  </si>
  <si>
    <t>Acquisto di prestazioni in regime di ricovero (DRG) da pubblico (altri soggetti pubbl. della Regione)</t>
  </si>
  <si>
    <t>305100350300000</t>
  </si>
  <si>
    <t>305100350401000</t>
  </si>
  <si>
    <t>305100350402000</t>
  </si>
  <si>
    <t>305100350403000</t>
  </si>
  <si>
    <t>305100350404000</t>
  </si>
  <si>
    <t>305100350500000</t>
  </si>
  <si>
    <t>Servizi sanitari per ass. osped. da privato per cittadini non residenti - Extraregione (mobilità attiva in compensazione)</t>
  </si>
  <si>
    <t>B.2.A.8) Acquisto prestazioni di psichiatria residenziale e semiresidenziale</t>
  </si>
  <si>
    <t>305100400100000</t>
  </si>
  <si>
    <t>Prestazioni di psichiatria resid. e semiresid. da pubblico (Aziende sanitarie pubbliche della Regione)</t>
  </si>
  <si>
    <t>305100400200000</t>
  </si>
  <si>
    <t>Prestazioni di psichiatria resid. e semiresid. da pubblico (altri soggetti pubbl. della Regione)</t>
  </si>
  <si>
    <t>305100400300000</t>
  </si>
  <si>
    <t>Prestazioni di psichiatria resid. e semiresid. da pubblico (Extraregione) - non soggette a compensazione</t>
  </si>
  <si>
    <t>305100400400000</t>
  </si>
  <si>
    <t>Prestazioni di psichiatria resid. e semiresid. da privato (intraregionale)</t>
  </si>
  <si>
    <t>305100400500000</t>
  </si>
  <si>
    <t>Prestazioni di psichiatria resid. e semiresid.  da privato (extraregionale)</t>
  </si>
  <si>
    <t>B.2.A.9) Acquisto prestazioni di distribuzione farmaci File F</t>
  </si>
  <si>
    <t>305100450101000</t>
  </si>
  <si>
    <t>305100450102000</t>
  </si>
  <si>
    <t>305100450200000</t>
  </si>
  <si>
    <t>Prestazioni di distribuzione farmaci File F da pubblico (altri soggetti pubbl. della Regione)</t>
  </si>
  <si>
    <t>305100450300000</t>
  </si>
  <si>
    <t>Prestazioni di distribuzione farmaci File F da pubblico (Extraregione)</t>
  </si>
  <si>
    <t>305100450401000</t>
  </si>
  <si>
    <t>305100450409000</t>
  </si>
  <si>
    <t>Alte prestazioni di distribuzione farmaci da privato</t>
  </si>
  <si>
    <t>305100450500000</t>
  </si>
  <si>
    <t>Prestazioni di distribuzione farmaci File F da privato (extraregionale)</t>
  </si>
  <si>
    <t>305100450600000</t>
  </si>
  <si>
    <t>Prestazioni di distribuzione farmaci File F da privato per cittadini non residenti - Extraregione (mobilità attiva in compensazione)</t>
  </si>
  <si>
    <t>B.2.A.10) Acquisto prestazioni termali in convenzione</t>
  </si>
  <si>
    <t>305100500100000</t>
  </si>
  <si>
    <t>Prestazioni termali in convenzione da pubblico (Aziende sanitarie pubbliche della Regione) - Mobilità intraregionale</t>
  </si>
  <si>
    <t>305100500200000</t>
  </si>
  <si>
    <t>Prestazioni termali in convenzione da pubblico (altri soggetti pubbl. della Regione)</t>
  </si>
  <si>
    <t>305100500300000</t>
  </si>
  <si>
    <t>Prestazioni termali in convenzione da pubblico (Extraregione)</t>
  </si>
  <si>
    <t>305100500400000</t>
  </si>
  <si>
    <t>Prestazioni termali in convenzione da privato</t>
  </si>
  <si>
    <t>305100500500000</t>
  </si>
  <si>
    <t>Prestazioni termali in convenzione da privato per cittadini non residenti - Extraregione (mobilità attiva in compensazione)</t>
  </si>
  <si>
    <t>B.2.A.11) Acquisto prestazioni di trasporto sanitario</t>
  </si>
  <si>
    <t>305100550100000</t>
  </si>
  <si>
    <t>Prestazioni di trasporto sanitario da pubblico (Aziende sanitarie pubbliche della Regione) - Mobilità intraregionale</t>
  </si>
  <si>
    <t>305100550200000</t>
  </si>
  <si>
    <t>Prestazioni di trasporto sanitario da pubblico (altri soggetti pubbl. della Regione)</t>
  </si>
  <si>
    <t>305100550300000</t>
  </si>
  <si>
    <t>Prestazioni di trasporto sanitario da pubblico (Extraregione)</t>
  </si>
  <si>
    <t>305100550401000</t>
  </si>
  <si>
    <t>305100550402000</t>
  </si>
  <si>
    <t>305100550403000</t>
  </si>
  <si>
    <t>305100550404000</t>
  </si>
  <si>
    <t>B.2.A.12) Acquisto prestazioni Socio-Sanitarie a rilevanza sanitaria</t>
  </si>
  <si>
    <t>B.2.A.12.1.A) Assistenza domiciliare integrata</t>
  </si>
  <si>
    <t>305100600101000</t>
  </si>
  <si>
    <t>305100600102000</t>
  </si>
  <si>
    <t>Altre prestazioni socio-sanitarie a rilevanza sanitaria</t>
  </si>
  <si>
    <t>305100600201000</t>
  </si>
  <si>
    <t>RSA esterne (altri soggetti pubblici della Regione)</t>
  </si>
  <si>
    <t>305100600202000</t>
  </si>
  <si>
    <t>Rimborso per ass. san. in strutture resid. e semi resid. per anziani (altri soggetti pubblici della Regione)</t>
  </si>
  <si>
    <t>305100600203000</t>
  </si>
  <si>
    <t>Abbattimento rette anziani non autosufficienti (altri soggetti pubblici della Regione)</t>
  </si>
  <si>
    <t>305100600209000</t>
  </si>
  <si>
    <t>305100600250000</t>
  </si>
  <si>
    <t>Acquisto di Altre prestazioni sociosanitarie a rilevanza sanitaria erogate a soggetti pubblici Extraregione  - da pubblico  (Extraregione)</t>
  </si>
  <si>
    <t>305100600300000</t>
  </si>
  <si>
    <t>Acquisto di Altre prestazioni sociosanitarie a rilevanza sanitaria erogate a soggetti pubblici (Extraregione) non soggette a compensazione</t>
  </si>
  <si>
    <t>305100600301000</t>
  </si>
  <si>
    <t>305100600302000</t>
  </si>
  <si>
    <t>305100600401000</t>
  </si>
  <si>
    <t>305100600402000</t>
  </si>
  <si>
    <t>305100600403000</t>
  </si>
  <si>
    <t>305100600404000</t>
  </si>
  <si>
    <t>305100600405000</t>
  </si>
  <si>
    <t>305100600406000</t>
  </si>
  <si>
    <t>Assist. riabilitativa residenziale e integrativa territoriale per tossicodipendenti da privato (intraregionale)</t>
  </si>
  <si>
    <t>305100600407000</t>
  </si>
  <si>
    <t>305100600409000</t>
  </si>
  <si>
    <t>305100600501000</t>
  </si>
  <si>
    <t>Assist. riabilitativa residenziale e integrativa territoriale per tossicodipendenti da privato (extraregionale)</t>
  </si>
  <si>
    <t>305100600509000</t>
  </si>
  <si>
    <t>B.2.A.13) Compartecipazione al personale per att. libero-prof. (intramoenia)</t>
  </si>
  <si>
    <t>B.2.A.13.1) Compartecipazione al personale per att. libero professionale intramoenia - Area ospedaliera</t>
  </si>
  <si>
    <t>305100650100000</t>
  </si>
  <si>
    <t>B.2.A.13.2) Compartecipazione al personale per att. libero professionale intramoenia- Area specialistica</t>
  </si>
  <si>
    <t>305100650200000</t>
  </si>
  <si>
    <t>B.2.A.13.3) Compartecipazione al personale per att. libero professionale intramoenia - Area sanità pubblica</t>
  </si>
  <si>
    <t>305100650300000</t>
  </si>
  <si>
    <t>B.2.A.13.4) Compartecipazione al personale per att. libero professionale intramoenia - Consulenze (ex art. 55 c.1 lett. c), d) ed ex Art. 57-58)</t>
  </si>
  <si>
    <t>305100650401000</t>
  </si>
  <si>
    <t>305100650402000</t>
  </si>
  <si>
    <t>305100650403000</t>
  </si>
  <si>
    <t>305100650409000</t>
  </si>
  <si>
    <t>Oneri su compartecipazione al  personale Dirigenza  med-vet-san. e delle prof. sanitarie per att. libero  professionale intramoenia - Altro</t>
  </si>
  <si>
    <t>B.2.A.13.5) Compartecipazione al personale per att. libero professionale intramoenia - Consulenze (ex art. 55 c.1 lett. c), d) ed ex Art. 57-58) (Aziende sanitarie pubbliche della Regione)</t>
  </si>
  <si>
    <t>305100650501000</t>
  </si>
  <si>
    <t>Consulenze a favore di terzi, rimborsate Dirigenza medica e veterinaria (Aziende sanitarie pubbliche della Regione)</t>
  </si>
  <si>
    <t>305100650502000</t>
  </si>
  <si>
    <t>Consulenze a favore di terzi, rimborsate Dirigenza sanitaria e delle professioni sanitarie (Aziende sanitarie pubbliche della Regione)</t>
  </si>
  <si>
    <t>305100650503000</t>
  </si>
  <si>
    <t>Consulenze a favore di terzi, rimborsate Dirigenza medica universitaria (Aziende sanitarie pubbliche della Regione)</t>
  </si>
  <si>
    <t>305100650509000</t>
  </si>
  <si>
    <t>Oneri su compart. al  personale Dirigenza  med-vet-san. e delle prof. sani. per att. libero  professionale intramoenia - Altro (Aziende sanitarie pubbliche della Regione)</t>
  </si>
  <si>
    <t>B.2.A.13.6) Compartecipazione al personale per att. libero professionale intramoenia - Altro</t>
  </si>
  <si>
    <t>305100650600500</t>
  </si>
  <si>
    <t>305100650601000</t>
  </si>
  <si>
    <t>Consulenze a favore di terzi, rimborsate Dirigenza ruolo tecnico</t>
  </si>
  <si>
    <t>305100650601500</t>
  </si>
  <si>
    <t>Consulenze a favore di terzi, rimborsate Dirigenza ruolo amministrativo</t>
  </si>
  <si>
    <t>305100650602000</t>
  </si>
  <si>
    <t>305100650602500</t>
  </si>
  <si>
    <t>305100650603000</t>
  </si>
  <si>
    <t>305100650603500</t>
  </si>
  <si>
    <t>Consulenze a favore di terzi, rimborsate Comparto ruolo amministrativo</t>
  </si>
  <si>
    <t>305100650604000</t>
  </si>
  <si>
    <t>305100650604500</t>
  </si>
  <si>
    <t>305100650605000</t>
  </si>
  <si>
    <t>Compartecipazione al personale Dirigenza ruolo professionale per att. libero professionale intramoenia - Altro</t>
  </si>
  <si>
    <t>305100650609000</t>
  </si>
  <si>
    <t>Oneri su compartecipazione al  personale ruolo profess-tec-amm. per att. libero  professionale intramoenia - Altro</t>
  </si>
  <si>
    <t>B.2.A.13.7) Compartecipazione al personale per att. libero professionale intramoenia - Altro (Aziende sanitarie pubbliche della Regione)</t>
  </si>
  <si>
    <t>305100650700500</t>
  </si>
  <si>
    <t>Consulenze a favore di terzi, rimborsate Dirigenza ruolo professionale  (Aziende sanitarie pubbliche della Regione)</t>
  </si>
  <si>
    <t>305100650701000</t>
  </si>
  <si>
    <t>Consulenze a favore di terzi, rimborsate Dirigenza ruolo tecnico  (Aziende sanitarie pubbliche della Regione)</t>
  </si>
  <si>
    <t>305100650701500</t>
  </si>
  <si>
    <t>Consulenze a favore di terzi, rimborsate Dirigenza ruolo amministrativo  (Aziende sanitarie pubbliche della Regione)</t>
  </si>
  <si>
    <t>305100650702000</t>
  </si>
  <si>
    <t>Consulenze a favore di terzi, rimborsate Comparto ruolo sanitario (Aziende sanitarie pubbliche della Regione)</t>
  </si>
  <si>
    <t>305100650702500</t>
  </si>
  <si>
    <t>Consulenze a favore di terzi, rimborsate Comparto ruolo professionale (Aziende sanitarie pubbliche della Regione)</t>
  </si>
  <si>
    <t>305100650703000</t>
  </si>
  <si>
    <t>Consulenze a favore di terzi, rimborsate Comparto ruolo tecnico (Aziende sanitarie pubbliche della Regione)</t>
  </si>
  <si>
    <t>305100650703500</t>
  </si>
  <si>
    <t>Consulenze a favore di terzi, rimborsate Comparto ruolo amministrativo (Aziende sanitarie pubbliche della Regione)</t>
  </si>
  <si>
    <t>305100650704000</t>
  </si>
  <si>
    <t>Compartecipazione al personale ruolo profess-tec-amm. per att. libero professionale intramoenia - Altro  (Aziende sanitarie pubbliche della Regione)</t>
  </si>
  <si>
    <t>305100650709000</t>
  </si>
  <si>
    <t>Oneri su compartecipazione al  personale ruolo profess-tec-amm. per att. libero  professionale intramoenia - Altro (Aziende sanitarie pubbliche della Regione)</t>
  </si>
  <si>
    <t>B.2.A.14) Rimborsi, assegni e contributi sanitari</t>
  </si>
  <si>
    <t>B.2.A.14.1) Contributi ad associazioni di volontariato</t>
  </si>
  <si>
    <t>305100700100000</t>
  </si>
  <si>
    <t>B.2.A.14.2) Rimborsi per cure all'estero</t>
  </si>
  <si>
    <t>305100700200000</t>
  </si>
  <si>
    <t>B.2.A.14.3) Contributi a società partecipate e/o enti dipendenti della Regione</t>
  </si>
  <si>
    <t>305100700300000</t>
  </si>
  <si>
    <t>B.2.A.14.4) Contributo Legge 210/92</t>
  </si>
  <si>
    <t>305100700400000</t>
  </si>
  <si>
    <t>B.2.A.14.5) Altri rimborsi, assegni e contributi</t>
  </si>
  <si>
    <t>305100700500500</t>
  </si>
  <si>
    <t>305100700501000</t>
  </si>
  <si>
    <t>305100700501500</t>
  </si>
  <si>
    <t>305100700502000</t>
  </si>
  <si>
    <t>305100700502500</t>
  </si>
  <si>
    <t>305100700503000</t>
  </si>
  <si>
    <t>305100700503500</t>
  </si>
  <si>
    <t>305100700504000</t>
  </si>
  <si>
    <t>305100700504500</t>
  </si>
  <si>
    <t>305100700509000</t>
  </si>
  <si>
    <t>B.2.A.14.6) Rimborsi, assegni e contributi v/Aziende sanitarie pubbliche della Regione</t>
  </si>
  <si>
    <t>305100700601000</t>
  </si>
  <si>
    <t>305100700609000</t>
  </si>
  <si>
    <t>305100700700000</t>
  </si>
  <si>
    <t>B.2.A.15) Consulenze, Collaborazioni, Interinale e altre prestazioni di lavoro sanitarie e sociosanitarie</t>
  </si>
  <si>
    <t>B.2.A.15.1) Consulenze sanitarie e sociosan. da Aziende sanitarie pubbliche della Regione</t>
  </si>
  <si>
    <t>305100750100000</t>
  </si>
  <si>
    <t>B.2.A.15.2) Consulenze sanitarie e sociosanit. da terzi - Altri soggetti pubblici</t>
  </si>
  <si>
    <t>305100750200000</t>
  </si>
  <si>
    <t>B.2.A.15.3) Consulenze, Collaborazioni, Interinale e altre prestazioni di lavoro sanitarie e socios. da privato</t>
  </si>
  <si>
    <t>305100750301000</t>
  </si>
  <si>
    <t>305100750302005</t>
  </si>
  <si>
    <t>305100750302010</t>
  </si>
  <si>
    <t>305100750302015</t>
  </si>
  <si>
    <t>B.2.A.15.3.C) Collaborazioni coordinate e continuative sanitarie e socios. da privato</t>
  </si>
  <si>
    <t>305100750303005</t>
  </si>
  <si>
    <t>305100750303010</t>
  </si>
  <si>
    <t>305100750303015</t>
  </si>
  <si>
    <t>305100750303020</t>
  </si>
  <si>
    <t>B.2.A.15.3.D) Indennità a personale universitario - area sanitaria</t>
  </si>
  <si>
    <t>305100750304005</t>
  </si>
  <si>
    <t xml:space="preserve">Indennità personale sanitario universitario </t>
  </si>
  <si>
    <t>305100750304010</t>
  </si>
  <si>
    <t>305100750304015</t>
  </si>
  <si>
    <t xml:space="preserve">Retribuzione di risultato personale sanitario universitario </t>
  </si>
  <si>
    <t>305100750304020</t>
  </si>
  <si>
    <t xml:space="preserve">Condizioni di lavoro personale personale sanitario universitario </t>
  </si>
  <si>
    <t>305100750304025</t>
  </si>
  <si>
    <t>Altri compensi personale sanitario universitario</t>
  </si>
  <si>
    <t>305100750304030</t>
  </si>
  <si>
    <t xml:space="preserve">Oneri sociali personale sanitario universitario </t>
  </si>
  <si>
    <t>B.2.A.15.3.E) Lavoro interinale - area sanitaria</t>
  </si>
  <si>
    <t>305100750305000</t>
  </si>
  <si>
    <t>Lavoro interinale - area sanitaria</t>
  </si>
  <si>
    <t>B.2.A.15.3.F) Altre collaborazioni e prestazioni di lavoro - area sanitaria</t>
  </si>
  <si>
    <t>305100750306005</t>
  </si>
  <si>
    <t>305100750306010</t>
  </si>
  <si>
    <t>305100750306015</t>
  </si>
  <si>
    <t>305100750306020</t>
  </si>
  <si>
    <t>305100750306025</t>
  </si>
  <si>
    <t>305100750306030</t>
  </si>
  <si>
    <t>305100750306035</t>
  </si>
  <si>
    <t>305100750306040</t>
  </si>
  <si>
    <t>305100750306090</t>
  </si>
  <si>
    <t>Oneri sociali su altre collaborazioni e prestazioni di lavoro - area sanitaria</t>
  </si>
  <si>
    <t>305100750401000</t>
  </si>
  <si>
    <t>305100750402000</t>
  </si>
  <si>
    <t>305100750403000</t>
  </si>
  <si>
    <t>B.2.A.16.1) Altri servizi sanitari e sociosanitari a rilevanza sanitaria da pubblico - Aziende sanitarie pubbliche della Regione</t>
  </si>
  <si>
    <t>305100800100000</t>
  </si>
  <si>
    <t>B.2.A.16.2) Altri servizi sanitari e sociosanitari a rilevanza sanitaria da pubblico - Altri soggetti pubblici della Regione</t>
  </si>
  <si>
    <t>305100800200000</t>
  </si>
  <si>
    <t>305100800300000</t>
  </si>
  <si>
    <t>B.2.A.16.4) Altri servizi sanitari da privato</t>
  </si>
  <si>
    <t>305100800401000</t>
  </si>
  <si>
    <t>305100800402000</t>
  </si>
  <si>
    <t>305100800409000</t>
  </si>
  <si>
    <t>B.2.A.16.5) Costi per servizi sanitari - Mobilità internazionale passiva</t>
  </si>
  <si>
    <t>305100800500000</t>
  </si>
  <si>
    <t>305100800600000</t>
  </si>
  <si>
    <t>B.2.A.16.7)   Costi per prestazioni sanitarie erogate da aziende sanitarie estere (fatturate direttamente)</t>
  </si>
  <si>
    <t>305100800700000</t>
  </si>
  <si>
    <t>305100850000000</t>
  </si>
  <si>
    <t>B.2.B.1) Servizi non sanitari</t>
  </si>
  <si>
    <t>B.2.B.1.1) Lavanderia</t>
  </si>
  <si>
    <t>305200100500000</t>
  </si>
  <si>
    <t>B.2.B.1.2) Pulizia</t>
  </si>
  <si>
    <t>305200100100000</t>
  </si>
  <si>
    <t>B.2.B.1.3) Mensa</t>
  </si>
  <si>
    <t>305200100151000</t>
  </si>
  <si>
    <t>305200100152000</t>
  </si>
  <si>
    <t>B.2.B.1.4) Riscaldamento</t>
  </si>
  <si>
    <t>305200100200000</t>
  </si>
  <si>
    <t>B.2.B.1.5) Servizi di assistenza informatica</t>
  </si>
  <si>
    <t>305200100251000</t>
  </si>
  <si>
    <t>305200100252000</t>
  </si>
  <si>
    <t>305200100259000</t>
  </si>
  <si>
    <t>B.2.B.1.6) Servizi trasporti (non sanitari)</t>
  </si>
  <si>
    <t>305200100300000</t>
  </si>
  <si>
    <t>B.2.B.1.7) Smaltimento rifiuti</t>
  </si>
  <si>
    <t>305200100350000</t>
  </si>
  <si>
    <t>B.2.B.1.8) Utenze telefoniche</t>
  </si>
  <si>
    <t>305200100401000</t>
  </si>
  <si>
    <t>305200100402000</t>
  </si>
  <si>
    <t>B.2.B.1.9) Utenze elettricità</t>
  </si>
  <si>
    <t>305200100450000</t>
  </si>
  <si>
    <t>B.2.B.1.10) Altre utenze</t>
  </si>
  <si>
    <t>305200100501000</t>
  </si>
  <si>
    <t>305200100502000</t>
  </si>
  <si>
    <t>305200100503000</t>
  </si>
  <si>
    <t>305200100504000</t>
  </si>
  <si>
    <t>305200100505000</t>
  </si>
  <si>
    <t>B.2.B.1.11) Premi di assicurazione</t>
  </si>
  <si>
    <t>B.2.B.1.11.A) Premi di assicurazione - R.C. Professionale</t>
  </si>
  <si>
    <t>305200100551000</t>
  </si>
  <si>
    <t>Premi di assicurazione - R.C. Professionale</t>
  </si>
  <si>
    <t>B.2.B.1.11.B) Premi di assicurazione - Altri premi assicurativi</t>
  </si>
  <si>
    <t>305200100552000</t>
  </si>
  <si>
    <t>305200100601000</t>
  </si>
  <si>
    <t>305200100602005</t>
  </si>
  <si>
    <t>305200100602010</t>
  </si>
  <si>
    <t>305200100603005</t>
  </si>
  <si>
    <t>305200100603010</t>
  </si>
  <si>
    <t>305200100603015</t>
  </si>
  <si>
    <t>305200100603020</t>
  </si>
  <si>
    <t>305200100603025</t>
  </si>
  <si>
    <t>305200100603030</t>
  </si>
  <si>
    <t>305200100603035</t>
  </si>
  <si>
    <t>305200100603040</t>
  </si>
  <si>
    <t>305200100603045</t>
  </si>
  <si>
    <t>305200100603050</t>
  </si>
  <si>
    <t>305200100603055</t>
  </si>
  <si>
    <t>305200100603060</t>
  </si>
  <si>
    <t>305200100603065</t>
  </si>
  <si>
    <t>305200100603080</t>
  </si>
  <si>
    <t>305200100603090</t>
  </si>
  <si>
    <t>B.2.B.2) Consulenze, Collaborazioni, Interinale e altre prestazioni di lavoro non sanitarie</t>
  </si>
  <si>
    <t>305200200100000</t>
  </si>
  <si>
    <t>305200200200000</t>
  </si>
  <si>
    <t>305200200301005</t>
  </si>
  <si>
    <t>305200200301010</t>
  </si>
  <si>
    <t>305200200301015</t>
  </si>
  <si>
    <t>305200200301020</t>
  </si>
  <si>
    <t>305200200301090</t>
  </si>
  <si>
    <t>305200200302000</t>
  </si>
  <si>
    <t>B.2.B.2.3.C) Indennità a personale universitario - area non sanitaria</t>
  </si>
  <si>
    <t>305200200303000</t>
  </si>
  <si>
    <t>Indennità a personale universitario - area non sanitaria</t>
  </si>
  <si>
    <t>B.2.B.2.3.D) Lavoro interinale - area non sanitaria</t>
  </si>
  <si>
    <t>305200200304000</t>
  </si>
  <si>
    <t>Lavoro interinale - area non sanitaria</t>
  </si>
  <si>
    <t>B.2.B.2.3.E) Altre collaborazioni e prestazioni di lavoro - area non sanitaria</t>
  </si>
  <si>
    <t>305200200305010</t>
  </si>
  <si>
    <t>305200200305020</t>
  </si>
  <si>
    <t>305200200305030</t>
  </si>
  <si>
    <t>305200200305040</t>
  </si>
  <si>
    <t>305200200305090</t>
  </si>
  <si>
    <t>Altre collaborazioni e prestazioni di lavoro - area non sanitaria</t>
  </si>
  <si>
    <t>B.2.B.2.3.F) Altre Consulenze non sanitarie da privato - in attuazione dell'art.79, comma 1 sexies lettera c), del D.L. 112/2008, convertito con legge 133/2008 e della legge 23 dicembre 2009 n. 191.</t>
  </si>
  <si>
    <t>305200200306000</t>
  </si>
  <si>
    <t>Altre Consulenze non sanitarie da privato - in attuazione dell'art.79, comma 1 sexies lettera c), del D.L. 112/2008, convertito con legge 133/2008 e della legge 23 dicembre 2009 n. 191.</t>
  </si>
  <si>
    <t>305200200401000</t>
  </si>
  <si>
    <t>305200200402000</t>
  </si>
  <si>
    <t>305200200403000</t>
  </si>
  <si>
    <t>305200300100000</t>
  </si>
  <si>
    <t>305200300200000</t>
  </si>
  <si>
    <t>B.3) Manutenzione e riparazione (ordinaria esternalizzata)</t>
  </si>
  <si>
    <t>B.3.A) Manutenzione e riparazione ai fabbricati e loro pertinenze</t>
  </si>
  <si>
    <t>310100000000000</t>
  </si>
  <si>
    <t>B.3.B) Manutenzione e riparazione agli impianti e macchinari</t>
  </si>
  <si>
    <t>310200100000000</t>
  </si>
  <si>
    <t>310200200000000</t>
  </si>
  <si>
    <t>310200300000000</t>
  </si>
  <si>
    <t>B.3.C) Manutenzione e riparazione alle attrezzature sanitarie e scientifiche</t>
  </si>
  <si>
    <t>310300000000000</t>
  </si>
  <si>
    <t>B.3.D) Manutenzione e riparazione ai mobili e arredi</t>
  </si>
  <si>
    <t>310400000000000</t>
  </si>
  <si>
    <t>B.3.E) Manutenzione e riparazione agli automezzi</t>
  </si>
  <si>
    <t>310500000000000</t>
  </si>
  <si>
    <t>B.3.F) Altre manutenzioni e riparazioni</t>
  </si>
  <si>
    <t>310600100000000</t>
  </si>
  <si>
    <t>310600200000000</t>
  </si>
  <si>
    <t>310600300000000</t>
  </si>
  <si>
    <t>B.3.G) Manutenzioni e riparazioni da Aziende sanitarie pubbliche della Regione</t>
  </si>
  <si>
    <t>310700000000000</t>
  </si>
  <si>
    <t>B.4) Godimento di beni di terzi</t>
  </si>
  <si>
    <t>B.4.A) Fitti passivi</t>
  </si>
  <si>
    <t>315100100000000</t>
  </si>
  <si>
    <t>315100200000000</t>
  </si>
  <si>
    <t>B.4.B) Canoni di noleggio</t>
  </si>
  <si>
    <t>315200100000000</t>
  </si>
  <si>
    <t>315200200100000</t>
  </si>
  <si>
    <t>315200200200000</t>
  </si>
  <si>
    <t>315200200300000</t>
  </si>
  <si>
    <t>315200200900000</t>
  </si>
  <si>
    <t>B.4.C) Canoni di leasing</t>
  </si>
  <si>
    <t>315300100100000</t>
  </si>
  <si>
    <t>Canoni di leasing operativo  - area sanitaria</t>
  </si>
  <si>
    <t>315300100200000</t>
  </si>
  <si>
    <t>Canoni di leasing finanziario  - area sanitaria</t>
  </si>
  <si>
    <t>315300200100000</t>
  </si>
  <si>
    <t>Canoni di leasing operativo - area non sanitaria</t>
  </si>
  <si>
    <t>315300200200000</t>
  </si>
  <si>
    <t>Canoni di leasing finanziario - area non sanitaria</t>
  </si>
  <si>
    <t>315350000000000</t>
  </si>
  <si>
    <t>315400000000000</t>
  </si>
  <si>
    <t>B.5) Personale del ruolo sanitario</t>
  </si>
  <si>
    <t>320100100101000</t>
  </si>
  <si>
    <t>Voci di costo a carattere stipendiale - personale dirigente medico tempo indeterm.</t>
  </si>
  <si>
    <t>320100100102000</t>
  </si>
  <si>
    <t>Retribuzione di posizione - personale dirigente medico tempo indeterm.</t>
  </si>
  <si>
    <t>320100100103000</t>
  </si>
  <si>
    <t>Retribuzione di risultato - personale dirigente medico tempo indeterm.</t>
  </si>
  <si>
    <t>320100100104000</t>
  </si>
  <si>
    <t>Condizioni di lavoro - personale dirigente medico tempo indeterm.</t>
  </si>
  <si>
    <t>320100100105000</t>
  </si>
  <si>
    <t>Accantonamento al fondo per TFR dipendenti - personale dirigente medico tempo indeterm.</t>
  </si>
  <si>
    <t>320100100106000</t>
  </si>
  <si>
    <t>Accantonamento ai fondi integrativi pensione - personale dirigente medico tempo indeterm.</t>
  </si>
  <si>
    <t>320100100107000</t>
  </si>
  <si>
    <t>Altre competenze personale dirigente medico tempo indeterm.</t>
  </si>
  <si>
    <t>320100100109000</t>
  </si>
  <si>
    <t>Oneri sociali su retribuzione - personale dirigente medico tempo indeterm.</t>
  </si>
  <si>
    <t>B.5.A.1.2) Costo del personale dirigente medico - tempo determ.</t>
  </si>
  <si>
    <t>320100100201000</t>
  </si>
  <si>
    <t>Voci di costo a carattere stipendiale - personale dirigente medico tempo determ.</t>
  </si>
  <si>
    <t>320100100202000</t>
  </si>
  <si>
    <t>Retribuzione di posizione - personale dirigente medico tempo determ.</t>
  </si>
  <si>
    <t>320100100203000</t>
  </si>
  <si>
    <t>Retribuzione di risultato - personale dirigente medico tempo determ.</t>
  </si>
  <si>
    <t>320100100204000</t>
  </si>
  <si>
    <t>Condizioni di lavoro - personale dirigente medico tempo determ.</t>
  </si>
  <si>
    <t>320100100205000</t>
  </si>
  <si>
    <t>Accantonamento al fondo per TFR dipendenti - dirigente medico tempo determ.</t>
  </si>
  <si>
    <t>320100100206000</t>
  </si>
  <si>
    <t>Accantonamento ai fondi integrativi pensione - dirigente medico tempo determ.</t>
  </si>
  <si>
    <t>320100100207000</t>
  </si>
  <si>
    <t>Altre competenze personale dirigente medico tempo determ.</t>
  </si>
  <si>
    <t>320100100209000</t>
  </si>
  <si>
    <t>Oneri sociali su retribuzione - personale dirigente medico tempo determ.</t>
  </si>
  <si>
    <t>320100100300000</t>
  </si>
  <si>
    <t>B.5.A.2.1) Costo del personale dirigente non medico - tempo indeterm.</t>
  </si>
  <si>
    <t>320100200101000</t>
  </si>
  <si>
    <t>Voci di costo a carattere stipendiale - personale dirigente non medico tempo indeterm.</t>
  </si>
  <si>
    <t>320100200102000</t>
  </si>
  <si>
    <t>Retribuzione di posizione - personale dirigente non medico tempo indeterm.</t>
  </si>
  <si>
    <t>320100200103000</t>
  </si>
  <si>
    <t>Retribuzione di risultato - personale dirigente non medico tempo indeterm.</t>
  </si>
  <si>
    <t>320100200104000</t>
  </si>
  <si>
    <t>Condizioni di lavoro - personale dirigente non medico tempo indeterm.</t>
  </si>
  <si>
    <t>320100200105000</t>
  </si>
  <si>
    <t>Accantonamento al fondo per TFR dipendenti - personale dirigente non medico tempo indeterm.</t>
  </si>
  <si>
    <t>320100200106000</t>
  </si>
  <si>
    <t>Accantonamento ai fondi integrativi pensione - personale dirigente non medico tempo indeterm.</t>
  </si>
  <si>
    <t>320100200107000</t>
  </si>
  <si>
    <t>Altre competenze personale dirigente non medico - personale dirigente non medico tempo indeterm.</t>
  </si>
  <si>
    <t>320100200109000</t>
  </si>
  <si>
    <t>Oneri sociali su retribuzione - personale dirigente non medico tempo indeterm.</t>
  </si>
  <si>
    <t>B.5.A.2.2) Costo del personale dirigente non medico - tempo determ.</t>
  </si>
  <si>
    <t>320100200201000</t>
  </si>
  <si>
    <t>Voci di costo a carattere stipendiale - personale dirigente non medico tempo determ.</t>
  </si>
  <si>
    <t>320100200202000</t>
  </si>
  <si>
    <t>Retribuzione di posizione - personale dirigente non medico tempo determ.</t>
  </si>
  <si>
    <t>320100200203000</t>
  </si>
  <si>
    <t>Retribuzione di risultato - personale dirigente non medico tempo determ.</t>
  </si>
  <si>
    <t>320100200204000</t>
  </si>
  <si>
    <t>Condizioni di lavoro - personale dirigente non medico tempo determ.</t>
  </si>
  <si>
    <t>320100200205000</t>
  </si>
  <si>
    <t>Accantonamento al fondo per TFR dipendenti - personale dirigente non medico tempo determ.</t>
  </si>
  <si>
    <t>320100200206000</t>
  </si>
  <si>
    <t>Accantonamento ai fondi integrativi pensione - personale dirigente non medico tempo determ.</t>
  </si>
  <si>
    <t>320100200207000</t>
  </si>
  <si>
    <t>Altre competenze personale dirigente non medico - personale dirigente non medico tempo determ.</t>
  </si>
  <si>
    <t>320100200209000</t>
  </si>
  <si>
    <t>Oneri sociali su retribuzione - personale dirigente non medico tempo determ.</t>
  </si>
  <si>
    <t>320100200300000</t>
  </si>
  <si>
    <t>Costo del personale dirigente non medico - altro</t>
  </si>
  <si>
    <t>B.5.B.1) Costo del personale comparto ruolo sanitario - tempo indeterm.</t>
  </si>
  <si>
    <t>320200100100000</t>
  </si>
  <si>
    <t>Voci di costo a carattere stipendiale - personale comparto ruolo sanitario tempo indeterm.</t>
  </si>
  <si>
    <t>3202001002000</t>
  </si>
  <si>
    <t>Premialità e condizioni di lavoro personale comparto ruolo sanitario tempo indeterm.</t>
  </si>
  <si>
    <t>320200100201000</t>
  </si>
  <si>
    <t>Straordinario - personale comparto ruolo sanitario tempo indeterm.</t>
  </si>
  <si>
    <t>320200100202000</t>
  </si>
  <si>
    <t>Condizioni di lavoro - personale comparto ruolo sanitario tempo indeterm.</t>
  </si>
  <si>
    <t>320200100203000</t>
  </si>
  <si>
    <t>Premialità - personale comparto ruolo sanitario tempo indeterm.</t>
  </si>
  <si>
    <t>3202001003000</t>
  </si>
  <si>
    <t>Incarichi, progressioni economiche ed indennità professionali comparto ruolo sanitario tempo indeterm.</t>
  </si>
  <si>
    <t>320200100301000</t>
  </si>
  <si>
    <t>Incarichi - personale comparto ruolo sanitario tempo indeterm.</t>
  </si>
  <si>
    <t>320200100302000</t>
  </si>
  <si>
    <t>Progressioni economiche - personale comparto ruolo sanitario tempo indeterm.</t>
  </si>
  <si>
    <t>320200100303000</t>
  </si>
  <si>
    <t>Indennità professionali - personale comparto ruolo sanitario tempo indeterm.</t>
  </si>
  <si>
    <t>320200100400000</t>
  </si>
  <si>
    <t>Accantonamento al fondo per TFR dipendenti - personale comparto ruolo sanitario tempo indeterm.</t>
  </si>
  <si>
    <t>320200100500000</t>
  </si>
  <si>
    <t>Accantonamento ai fondi integrativi pensione - personale comparto ruolo sanitario tempo indeterm.</t>
  </si>
  <si>
    <t>320200100600000</t>
  </si>
  <si>
    <t>Altri oneri per il personale comparto ruolo sanitario tempo indeterm.</t>
  </si>
  <si>
    <t>320200100900000</t>
  </si>
  <si>
    <t>Oneri sociali su retribuzione - personale comparto ruolo sanitario tempo indeterm.</t>
  </si>
  <si>
    <t>B.5.B.2) Costo del personale comparto ruolo sanitario - tempo determ.</t>
  </si>
  <si>
    <t>3202002000000</t>
  </si>
  <si>
    <t>B.5.B.2) a) Costo del personale comparto ruolo sanitario - tempo determ.</t>
  </si>
  <si>
    <t>320200200100000</t>
  </si>
  <si>
    <t>Voci di costo a carattere stipendiale - personale comparto ruolo sanitario tempo determ.</t>
  </si>
  <si>
    <t>3202002002000</t>
  </si>
  <si>
    <t>Premialità e condizioni di lavoro personale comparto ruolo sanitario tempo determ.</t>
  </si>
  <si>
    <t>320200200201000</t>
  </si>
  <si>
    <t>Straordinario - personale comparto ruolo sanitario tempo determ.</t>
  </si>
  <si>
    <t>320200200202000</t>
  </si>
  <si>
    <t>Condizioni di lavoro - personale comparto ruolo sanitario tempo determ.</t>
  </si>
  <si>
    <t>320200200203000</t>
  </si>
  <si>
    <t>Premialità - personale comparto ruolo sanitario tempo determ.</t>
  </si>
  <si>
    <t>3202002003000</t>
  </si>
  <si>
    <t>Incarichi, progressioni economiche ed indennità professionali comparto ruolo sanitario tempo determ.</t>
  </si>
  <si>
    <t>320200200301000</t>
  </si>
  <si>
    <t>Incarichi - personale comparto ruolo sanitario tempo determ.</t>
  </si>
  <si>
    <t>320200200302000</t>
  </si>
  <si>
    <t>Progressioni economiche - personale comparto ruolo sanitario tempo determ.</t>
  </si>
  <si>
    <t>320200200303000</t>
  </si>
  <si>
    <t>Indennità professionali - personale comparto ruolo sanitario tempo determ.</t>
  </si>
  <si>
    <t>320200200400000</t>
  </si>
  <si>
    <t>Accantonamento al fondo per TFR dipendenti - personale comparto ruolo sanitario tempo determ.</t>
  </si>
  <si>
    <t>320200200500000</t>
  </si>
  <si>
    <t>Accantonamento ai fondi integrativi pensione - personale comparto ruolo sanitario tempo determ.</t>
  </si>
  <si>
    <t>320200200600000</t>
  </si>
  <si>
    <t>Altri oneri per il personale comparto ruolo sanitario tempo determ.</t>
  </si>
  <si>
    <t>320200200900000</t>
  </si>
  <si>
    <t>Oneri sociali su retribuzione - personale comparto ruolo sanitario tempo determ.</t>
  </si>
  <si>
    <t>3202002010000</t>
  </si>
  <si>
    <t>B.5.B.2) b) Costo del personale comparto ruolo ricercatori piramide - tempo determ.</t>
  </si>
  <si>
    <t>320200201100000</t>
  </si>
  <si>
    <t>Voci di costo a carattere stipendiale - personale comparto ruolo ricercatori piramide tempo determ.</t>
  </si>
  <si>
    <t>3202002012000</t>
  </si>
  <si>
    <t>Premialità e condizioni di lavoro personale ruolo ricercatori piramide - tempo determ.</t>
  </si>
  <si>
    <t>320200201201000</t>
  </si>
  <si>
    <t>Straordinario - personale comparto ruolo ricercatori  piramide tempo determ.</t>
  </si>
  <si>
    <t>320200201202000</t>
  </si>
  <si>
    <t>Condizioni di lavoro - ruolo ricercatori piramide tempo determ.</t>
  </si>
  <si>
    <t>320200201203000</t>
  </si>
  <si>
    <t>Premialità - ruolo ricercatori piramide tempo determ.</t>
  </si>
  <si>
    <t>3202002013000</t>
  </si>
  <si>
    <t>Incarichi, progressioni economiche ed indennità professionali comparto ruolo ricercatori piramide tempo determ.</t>
  </si>
  <si>
    <t>320200201301000</t>
  </si>
  <si>
    <t>Incarichi - personale ruolo ricercatori piramide tempo determ.</t>
  </si>
  <si>
    <t>320200201302000</t>
  </si>
  <si>
    <t>Progressioni economiche - personale ruolo ricercatori piramide tempo determ.</t>
  </si>
  <si>
    <t>320200201303000</t>
  </si>
  <si>
    <t>Indennità professionali - personale ruolo ricercatori piramide tempo determ.</t>
  </si>
  <si>
    <t>320200201400000</t>
  </si>
  <si>
    <t>Accantonamento al fondo per TFR dipendenti - personale comparto ruolo ricercatori piramide  tempo determ.</t>
  </si>
  <si>
    <t>320200201500000</t>
  </si>
  <si>
    <t>Accantonamento ai fondi integrativi pensione - personale comparto ruolo ricercatori piramide  tempo determ.</t>
  </si>
  <si>
    <t>320200201600000</t>
  </si>
  <si>
    <t>Altri oneri per il personale comparto ruolo ricercatori piramide  tempo determ.</t>
  </si>
  <si>
    <t>320200201900000</t>
  </si>
  <si>
    <t>Oneri sociali su retribuzione - personale comparto ruolo ricercatori piramide  tempo determ.</t>
  </si>
  <si>
    <t>3202002020000</t>
  </si>
  <si>
    <t>B.5.B.2) c) Costo del personale comparto ruolo collaboratori piramide - tempo determ.</t>
  </si>
  <si>
    <t>320200202100000</t>
  </si>
  <si>
    <t>Voci di costo a carattere stipendiale - personale comparto ruolo collaboratori piramide tempo determ.</t>
  </si>
  <si>
    <t>3202002022000</t>
  </si>
  <si>
    <t>Premialità e condizioni di lavoro personale ruolo collaboratori piramide - tempo determ.</t>
  </si>
  <si>
    <t>320200202201000</t>
  </si>
  <si>
    <t>Straordinario - personale comparto ruolo collaboratori  piramide tempo determ.</t>
  </si>
  <si>
    <t>320200202202000</t>
  </si>
  <si>
    <t>Condizioni di lavoro - ruolo collaboratori piramide tempo determ.</t>
  </si>
  <si>
    <t>320200202203000</t>
  </si>
  <si>
    <t>Premialità - ruolo collaboratori piramide tempo determ.</t>
  </si>
  <si>
    <t>3202002023000</t>
  </si>
  <si>
    <t>Incarichi, progressioni economiche ed indennità professionali comparto ruolo collaboratori piramide tempo determ.</t>
  </si>
  <si>
    <t>320200202301000</t>
  </si>
  <si>
    <t>Incarichi - personale ruolo collaboratori piramide tempo determ.</t>
  </si>
  <si>
    <t>320200202302000</t>
  </si>
  <si>
    <t>Progressioni economiche - personale ruolo collaboratori piramide tempo determ.</t>
  </si>
  <si>
    <t>320200202303000</t>
  </si>
  <si>
    <t>Indennità professionali - personale ruolo collaboratori piramide tempo determ.</t>
  </si>
  <si>
    <t>320200202400000</t>
  </si>
  <si>
    <t>Accantonamento al fondo per TFR dipendenti - personale comparto ruolo collaboratori piramide  tempo determ.</t>
  </si>
  <si>
    <t>320200202500000</t>
  </si>
  <si>
    <t>Accantonamento ai fondi integrativi pensione - personale comparto ruolo collaboratori piramide  tempo determ.</t>
  </si>
  <si>
    <t>320200202600000</t>
  </si>
  <si>
    <t>Altri oneri per il personale comparto ruolo collaboratori piramide  tempo determ.</t>
  </si>
  <si>
    <t>320200202900000</t>
  </si>
  <si>
    <t>Oneri sociali su retribuzione - personale comparto ruolo collaboratori piramide  tempo determ.</t>
  </si>
  <si>
    <t>320200300000000</t>
  </si>
  <si>
    <t>B.6) Personale del ruolo professionale</t>
  </si>
  <si>
    <t>B.6.A.1) Costo del personale dirigente ruolo professionale - tempo indeterm.</t>
  </si>
  <si>
    <t>325100100100000</t>
  </si>
  <si>
    <t>Voci di costo a carattere stipendiale - personale dirigente ruolo professionale tempo indeterm.</t>
  </si>
  <si>
    <t>325100100200000</t>
  </si>
  <si>
    <t>Retribuzione di posizione - personale dirigente ruolo professionale tempo indeterm.</t>
  </si>
  <si>
    <t>325100100300000</t>
  </si>
  <si>
    <t>Retribuzione di risultato - personale dirigente ruolo professionale tempo indeterm.</t>
  </si>
  <si>
    <t>325100100400000</t>
  </si>
  <si>
    <t>Trattamento accessorio - personale dirigente ruolo professionale tempo indeterm.</t>
  </si>
  <si>
    <t>325100100500000</t>
  </si>
  <si>
    <t>Accantonamento al fondo per TFR dipendenti - personale dirigente ruolo professionale tempo indeterm.</t>
  </si>
  <si>
    <t>325100100600000</t>
  </si>
  <si>
    <t>Accantonamento ai fondi integrativi pensione - personale dirigente ruolo professionale tempo indeterm.</t>
  </si>
  <si>
    <t>325100100700000</t>
  </si>
  <si>
    <t>Altre competenze personale dirigente ruolo professionale - personale dirigente ruolo professionale tempo indeterm.</t>
  </si>
  <si>
    <t>325100100900000</t>
  </si>
  <si>
    <t>Oneri sociali su retribuzione - personale dirigente ruolo professionale tempo indeterm.</t>
  </si>
  <si>
    <t>B.6.A.2) Costo del personale dirigente ruolo professionale - tempo determ.</t>
  </si>
  <si>
    <t>325100200100000</t>
  </si>
  <si>
    <t>Voci di costo a carattere stipendiale - personale dirigente ruolo professionale tempo determ.</t>
  </si>
  <si>
    <t>325100200200000</t>
  </si>
  <si>
    <t>Retribuzione di posizione - personale dirigente ruolo professionale tempo determ.</t>
  </si>
  <si>
    <t>325100200300000</t>
  </si>
  <si>
    <t>Retribuzione di risultato - personale dirigente ruolo professionale tempo determ.</t>
  </si>
  <si>
    <t>325100200400000</t>
  </si>
  <si>
    <t>Trattamento accessorio - personale dirigente ruolo professionale tempo determ.</t>
  </si>
  <si>
    <t>325100200500000</t>
  </si>
  <si>
    <t>Accantonamento al fondo per TFR dipendenti - personale dirigente ruolo professionale tempo determ.</t>
  </si>
  <si>
    <t>325100200600000</t>
  </si>
  <si>
    <t>Accantonamento ai fondi integrativi pensione - personale dirigente ruolo professionale tempo determ.</t>
  </si>
  <si>
    <t>325100200700000</t>
  </si>
  <si>
    <t>Altre competenze personale dirigente ruolo professionale - personale dirigente ruolo professionale tempo determ.</t>
  </si>
  <si>
    <t>325100200900000</t>
  </si>
  <si>
    <t>Oneri sociali su retribuzione - personale dirigente ruolo professionale tempo determ.</t>
  </si>
  <si>
    <t>325100300000000</t>
  </si>
  <si>
    <t>B.6.B.1) Costo del personale comparto ruolo professionale - tempo indeterm.</t>
  </si>
  <si>
    <t>325200100100000</t>
  </si>
  <si>
    <t>Voci di costo a carattere stipendiale - personale comparto ruolo professionale tempo indeterm.</t>
  </si>
  <si>
    <t>3252001002000</t>
  </si>
  <si>
    <t>Premialità e condizioni di lavoro personale comparto ruolo professionale - tempo indeterm.</t>
  </si>
  <si>
    <t>325200100201000</t>
  </si>
  <si>
    <t>Straordinario - personale comparto ruolo professionale tempo indeterm.</t>
  </si>
  <si>
    <t>325200100202000</t>
  </si>
  <si>
    <t>Condizioni di lavoro - comparto ruolo professionale tempo indeterm.</t>
  </si>
  <si>
    <t>325200100203000</t>
  </si>
  <si>
    <t>Premialità - comparto ruolo professionale tempo indeterm.</t>
  </si>
  <si>
    <t>3252001003000</t>
  </si>
  <si>
    <t>325200100301000</t>
  </si>
  <si>
    <t>Incarichi - personale comparto ruolo professionale tempo indeterm.</t>
  </si>
  <si>
    <t>325200100302000</t>
  </si>
  <si>
    <t>Progressioni economiche - personale comparto ruolo professionale tempo indeterm.</t>
  </si>
  <si>
    <t>325200100303000</t>
  </si>
  <si>
    <t>Indennità professionali - personale comparto ruolo professionale tempo indeterm.</t>
  </si>
  <si>
    <t>325200100400000</t>
  </si>
  <si>
    <t>Accantonamento al fondo per TFR dipendenti - personale comparto ruolo professionale tempo indeterm.</t>
  </si>
  <si>
    <t>325200100500000</t>
  </si>
  <si>
    <t>Accantonamento ai fondi integrativi pensione - personale comparto ruolo professionale tempo indeterm.</t>
  </si>
  <si>
    <t>325200100600000</t>
  </si>
  <si>
    <t>Altri oneri per il personale comparto ruolo professionale tempo indeterm.</t>
  </si>
  <si>
    <t>325200100900000</t>
  </si>
  <si>
    <t>Oneri sociali su retribuzione - personale comparto ruolo professionale tempo indeterm.</t>
  </si>
  <si>
    <t>B.6.B.2) Costo del personale comparto ruolo professionale - tempo determ.</t>
  </si>
  <si>
    <t>325200200100000</t>
  </si>
  <si>
    <t>Voci di costo a carattere stipendiale - personale comparto ruolo professionale tempo determ.</t>
  </si>
  <si>
    <t>3252002002000</t>
  </si>
  <si>
    <t>Premialità e condizioni di lavoro personale comparto ruolo professionale - tempo determ.</t>
  </si>
  <si>
    <t>325200200201000</t>
  </si>
  <si>
    <t>Straordinario - personale comparto ruolo professionale tempo determ.</t>
  </si>
  <si>
    <t>325200200202000</t>
  </si>
  <si>
    <t>Condizioni di lavoro - comparto ruolo professionale tempo determ.</t>
  </si>
  <si>
    <t>325200200203000</t>
  </si>
  <si>
    <t>Premialità - comparto ruolo professionale tempo determ.</t>
  </si>
  <si>
    <t>3252002003000</t>
  </si>
  <si>
    <t>325200200301000</t>
  </si>
  <si>
    <t>Incarichi - personale comparto ruolo professionale tempo determ.</t>
  </si>
  <si>
    <t>325200200302000</t>
  </si>
  <si>
    <t>Progressioni economiche - personale comparto ruolo professionale tempo determ.</t>
  </si>
  <si>
    <t>325200200303000</t>
  </si>
  <si>
    <t>Indennità professionali - personale comparto ruolo professionale tempo determ.</t>
  </si>
  <si>
    <t>325200200400000</t>
  </si>
  <si>
    <t>Accantonamento al fondo per TFR dipendenti - personale comparto ruolo professionale tempo determ.</t>
  </si>
  <si>
    <t>325200200500000</t>
  </si>
  <si>
    <t>Accantonamento ai fondi integrativi pensione - personale comparto ruolo professionale tempo determ.</t>
  </si>
  <si>
    <t>325200200600000</t>
  </si>
  <si>
    <t>Altri oneri per il personale comparto ruolo professionale tempo determ.</t>
  </si>
  <si>
    <t>325200200900000</t>
  </si>
  <si>
    <t>Oneri sociali su retribuzione - personale comparto ruolo professionale tempo determ.</t>
  </si>
  <si>
    <t>325200300000000</t>
  </si>
  <si>
    <t>B.7) Personale del ruolo tecnico</t>
  </si>
  <si>
    <t>330100100100000</t>
  </si>
  <si>
    <t>Voci di costo a carattere stipendiale - personale dirigente ruolo tecnico tempo indeterm.</t>
  </si>
  <si>
    <t>330100100200000</t>
  </si>
  <si>
    <t>Retribuzione di posizione - personale dirigente ruolo tecnico tempo indeterm.</t>
  </si>
  <si>
    <t>330100100300000</t>
  </si>
  <si>
    <t>Retribuzione di risultato - personale dirigente ruolo tecnico tempo indeterm.</t>
  </si>
  <si>
    <t>330100100400000</t>
  </si>
  <si>
    <t>Trattamento accessorio - personale dirigente ruolo tecnico tempo indeterm.</t>
  </si>
  <si>
    <t>330100100500000</t>
  </si>
  <si>
    <t>Accantonamento al fondo per TFR dipendenti - personale dirigente ruolo tecnico tempo indeterm.</t>
  </si>
  <si>
    <t>330100100600000</t>
  </si>
  <si>
    <t>Accantonamento ai fondi integrativi pensione - personale dirigente ruolo tecnico tempo indeterm.</t>
  </si>
  <si>
    <t>330100100700000</t>
  </si>
  <si>
    <t>Altre competenze personale dirigente ruolo tecnico - personale dirigente ruolo tecnico tempo indeterm.</t>
  </si>
  <si>
    <t>330100100900000</t>
  </si>
  <si>
    <t>Oneri sociali su retribuzione - personale dirigente ruolo tecnico tempo indeterm.</t>
  </si>
  <si>
    <t>330100200100000</t>
  </si>
  <si>
    <t>Voci di costo a carattere stipendiale - personale dirigente ruolo tecnico tempo determ.</t>
  </si>
  <si>
    <t>330100200200000</t>
  </si>
  <si>
    <t>Retribuzione di posizione - personale dirigente ruolo tecnico tempo determ.</t>
  </si>
  <si>
    <t>330100200300000</t>
  </si>
  <si>
    <t>Retribuzione di risultato - personale dirigente ruolo tecnico tempo determ.</t>
  </si>
  <si>
    <t>330100200400000</t>
  </si>
  <si>
    <t>Trattamento accessorio -  personale dirigente ruolo tecnico tempo determ.</t>
  </si>
  <si>
    <t>330100200500000</t>
  </si>
  <si>
    <t>Accantonamento al fondo per TFR dipendenti - personale dirigente ruolo tecnico tempo determ.</t>
  </si>
  <si>
    <t>330100200600000</t>
  </si>
  <si>
    <t>Accantonamento ai fondi integrativi pensione - personale dirigente ruolo tecnico tempo determ.</t>
  </si>
  <si>
    <t>330100200700000</t>
  </si>
  <si>
    <t>Altre competenze personale dirigente ruolo tecnico - personale dirigente ruolo tecnico tempo determ.</t>
  </si>
  <si>
    <t>330100200900000</t>
  </si>
  <si>
    <t>Oneri sociali su retribuzione - personale dirigente ruolo tecnico tempo determ.</t>
  </si>
  <si>
    <t>330100300000000</t>
  </si>
  <si>
    <t>330200100</t>
  </si>
  <si>
    <t>B.7.B.1) a) Costo del personale comparto ruolo tecnico - tempo indeterminato</t>
  </si>
  <si>
    <t>330200100100000</t>
  </si>
  <si>
    <t>Voci di costo a carattere stipendiale - personale comparto ruolo tecnico tempo indeterm.</t>
  </si>
  <si>
    <t>3302001002000</t>
  </si>
  <si>
    <t>Premialità e condizioni di lavoro personale comparto ruolo tecnico - tempo indeterm.</t>
  </si>
  <si>
    <t>330200100201000</t>
  </si>
  <si>
    <t>Straordinario - personale comparto ruolo tecnico tempo indeterm.</t>
  </si>
  <si>
    <t>330200100202000</t>
  </si>
  <si>
    <t>Condizioni di lavoro - comparto ruolo tecnico tempo indeterm.</t>
  </si>
  <si>
    <t>330200100203000</t>
  </si>
  <si>
    <t>Premialità - comparto ruolo tecnico tempo indeterm.</t>
  </si>
  <si>
    <t>3302001003000</t>
  </si>
  <si>
    <t>Incarichi, progressioni economiche ed indennità professionali comparto ruolo tecnico tempo indeterm.</t>
  </si>
  <si>
    <t>330200100301000</t>
  </si>
  <si>
    <t>Incarichi - personale comparto ruolo tecnico tempo indeterm.</t>
  </si>
  <si>
    <t>330200100302000</t>
  </si>
  <si>
    <t>Progressioni economiche - personale comparto ruolo tecnico tempo indeterm.</t>
  </si>
  <si>
    <t>330200100303000</t>
  </si>
  <si>
    <t>Indennità professionali - personale comparto ruolo tecnico tempo indeterm.</t>
  </si>
  <si>
    <t>330200100400000</t>
  </si>
  <si>
    <t>Accantonamento al fondo per TFR dipendenti - personale comparto ruolo tecnico tempo indeterm.</t>
  </si>
  <si>
    <t>330200100500000</t>
  </si>
  <si>
    <t>Accantonamento ai fondi integrativi pensione - personale comparto ruolo tecnico tempo indeterm.</t>
  </si>
  <si>
    <t>330200100600000</t>
  </si>
  <si>
    <t>Altri oneri per il personale comparto ruolo tecnico tempo indeterm.</t>
  </si>
  <si>
    <t>330200100900000</t>
  </si>
  <si>
    <t>Oneri sociali su retribuzione - personale comparto ruolo tecnico tempo indeterm.</t>
  </si>
  <si>
    <t>3302001010000</t>
  </si>
  <si>
    <t>B.7.B.1) b) Costo del personale comparto ruolo sociosanitario - tempo indeterminato</t>
  </si>
  <si>
    <t>330200101100000</t>
  </si>
  <si>
    <t>Voci di costo a carattere stipendiale - personale comparto ruolo sociosanitario tempo indeterm.</t>
  </si>
  <si>
    <t>3302001012000</t>
  </si>
  <si>
    <t>Premialità e condizioni di lavoro personale comparto ruolo sociosanitario - tempo indeterm.</t>
  </si>
  <si>
    <t>330200101201000</t>
  </si>
  <si>
    <t>Straordinario - personale comparto ruolo sociosanitario tempo indeterm.</t>
  </si>
  <si>
    <t>330200101202000</t>
  </si>
  <si>
    <t>Condizioni di lavoro - comparto ruolo sociosanitario tempo indeterm.</t>
  </si>
  <si>
    <t>330200101203000</t>
  </si>
  <si>
    <t>Premialità - comparto ruolo sociosanitario tempo indeterm.</t>
  </si>
  <si>
    <t>3302001013000</t>
  </si>
  <si>
    <t>Incarichi, progressioni economiche ed indennità professionali comparto ruolo sociosanitario tempo indeterm.</t>
  </si>
  <si>
    <t>330200101301000</t>
  </si>
  <si>
    <t>Incarichi - personale comparto ruolo sociosanitario tempo indeterm.</t>
  </si>
  <si>
    <t>330200101302000</t>
  </si>
  <si>
    <t>Progressioni economiche - personale comparto ruolo sociosanitario tempo indeterm.</t>
  </si>
  <si>
    <t>330200101303000</t>
  </si>
  <si>
    <t>Indennità professionali - personale comparto ruolo sociosanitario tempo indeterm.</t>
  </si>
  <si>
    <t>330200101400000</t>
  </si>
  <si>
    <t>Accantonamento al fondo per TFR dipendenti - personale comparto ruolo sociosanitario tempo indeterm.</t>
  </si>
  <si>
    <t>330200101500000</t>
  </si>
  <si>
    <t>Accantonamento ai fondi integrativi pensione - personale comparto ruolo sociosanitario tempo indeterm.</t>
  </si>
  <si>
    <t>330200101600000</t>
  </si>
  <si>
    <t>Altri oneri per il personale comparto ruolo sociosanitario tempo indeterm.</t>
  </si>
  <si>
    <t>330200101900000</t>
  </si>
  <si>
    <t>Oneri sociali su retribuzione - personale comparto ruolo sociosanitario tempo indeterm.</t>
  </si>
  <si>
    <t>3302002000000</t>
  </si>
  <si>
    <t>B.7.B.2) a) Costo del personale comparto ruolo tecnico - tempo determinato</t>
  </si>
  <si>
    <t>330200200100000</t>
  </si>
  <si>
    <t>Voci di costo a carattere stipendiale - personale comparto ruolo tecnico tempo determ.</t>
  </si>
  <si>
    <t>3302002002000</t>
  </si>
  <si>
    <t>Premialità e condizioni di lavoro personale comparto ruolo tecnico - tempo determ.</t>
  </si>
  <si>
    <t>330200200201000</t>
  </si>
  <si>
    <t>Straordinario - personale comparto ruolo tecnico tempo determ.</t>
  </si>
  <si>
    <t>330200200202000</t>
  </si>
  <si>
    <t>Condizioni di lavoro - comparto ruolo tecnico tempo determ.</t>
  </si>
  <si>
    <t>330200200203000</t>
  </si>
  <si>
    <t>Premialità - comparto ruolo tecnico tempo determ.</t>
  </si>
  <si>
    <t>3302002003000</t>
  </si>
  <si>
    <t>Incarichi, progressioni economiche ed indennità professionali comparto ruolo tecnico tempo determ.</t>
  </si>
  <si>
    <t>330200200301000</t>
  </si>
  <si>
    <t>Incarichi - personale comparto ruolo tecnico tempo determ.</t>
  </si>
  <si>
    <t>330200200302000</t>
  </si>
  <si>
    <t>Progressioni economiche - personale comparto ruolo tecnico tempo determ.</t>
  </si>
  <si>
    <t>330200200303000</t>
  </si>
  <si>
    <t>Indennità professionali - personale comparto ruolo tecnico tempo determ.</t>
  </si>
  <si>
    <t>330200200400000</t>
  </si>
  <si>
    <t>Accantonamento al fondo per TFR dipendenti - personale comparto ruolo tecnico tempo determ.</t>
  </si>
  <si>
    <t>330200200500000</t>
  </si>
  <si>
    <t>Accantonamento ai fondi integrativi pensione - personale comparto ruolo tecnico tempo determ.</t>
  </si>
  <si>
    <t>330200200600000</t>
  </si>
  <si>
    <t>Altri oneri per il personale comparto ruolo tecnico tempo determ.</t>
  </si>
  <si>
    <t>330200200900000</t>
  </si>
  <si>
    <t>Oneri sociali su retribuzione - personale comparto ruolo tecnico tempo determ.</t>
  </si>
  <si>
    <t>3302002010000</t>
  </si>
  <si>
    <t>B.7.B.2) b) Costo del personale comparto ruolo sociosanitario - tempo determinato</t>
  </si>
  <si>
    <t>330200201100000</t>
  </si>
  <si>
    <t>Voci di costo a carattere stipendiale - personale comparto ruolo sociosanitario tempo determ.</t>
  </si>
  <si>
    <t>3302002012000</t>
  </si>
  <si>
    <t>Premialità e condizioni di lavoro personale comparto ruolo sociosanitario - tempo determ.</t>
  </si>
  <si>
    <t>330200201201000</t>
  </si>
  <si>
    <t>Straordinario - personale comparto ruolo sociosanitario tempo determ.</t>
  </si>
  <si>
    <t>330200201202000</t>
  </si>
  <si>
    <t>Condizioni di lavoro - comparto ruolo sociosanitario tempo determ.</t>
  </si>
  <si>
    <t>330200201203000</t>
  </si>
  <si>
    <t>Premialità - comparto ruolo sociosanitario tempo determ.</t>
  </si>
  <si>
    <t>3302002013000</t>
  </si>
  <si>
    <t>Incarichi, progressioni economiche ed indennità professionali comparto ruolo sociosanitario tempo determ.</t>
  </si>
  <si>
    <t>330200201301000</t>
  </si>
  <si>
    <t>Incarichi - personale comparto ruolo sociosanitario tempo determ.</t>
  </si>
  <si>
    <t>330200201302000</t>
  </si>
  <si>
    <t>Progressioni economiche - personale comparto ruolo sociosanitario tempo determ.</t>
  </si>
  <si>
    <t>330200201303000</t>
  </si>
  <si>
    <t>Indennità professionali - personale comparto ruolo sociosanitario tempo determ.</t>
  </si>
  <si>
    <t>330200201400000</t>
  </si>
  <si>
    <t>Accantonamento al fondo per TFR dipendenti - personale comparto ruolo sociosanitario tempo determ.</t>
  </si>
  <si>
    <t>330200201500000</t>
  </si>
  <si>
    <t>Accantonamento ai fondi integrativi pensione - personale comparto ruolo sociosanitario tempo determ.</t>
  </si>
  <si>
    <t>330200201600000</t>
  </si>
  <si>
    <t>Altri oneri per il personale comparto ruolo sociosanitario tempo determ.</t>
  </si>
  <si>
    <t>330200201900000</t>
  </si>
  <si>
    <t>Oneri sociali su retribuzione - personale comparto ruolo sociosanitario tempo determ.</t>
  </si>
  <si>
    <t>330200300000000</t>
  </si>
  <si>
    <t>B.8) Personale del ruolo amministrativo</t>
  </si>
  <si>
    <t>335100100100000</t>
  </si>
  <si>
    <t>Voci di costo a carattere stipendiale - personale dirigente ruolo amministrativo tempo indeterm.</t>
  </si>
  <si>
    <t>335100100200000</t>
  </si>
  <si>
    <t>Retribuzione di posizione - personale dirigente ruolo amministrativo tempo indeterm.</t>
  </si>
  <si>
    <t>335100100300000</t>
  </si>
  <si>
    <t>Retribuzione di risultato - personale dirigente ruolo amministrativo tempo indeterm.</t>
  </si>
  <si>
    <t>335100100400000</t>
  </si>
  <si>
    <t>Trattamento accessorio - personale dirigente ruolo amministrativo tempo indeterm.</t>
  </si>
  <si>
    <t>335100100500000</t>
  </si>
  <si>
    <t>Accantonamento al fondo per TFR dipendenti - personale dirigente ruolo amministrativo tempo indeterm.</t>
  </si>
  <si>
    <t>335100100600000</t>
  </si>
  <si>
    <t>Accantonamento ai fondi integrativi pensione - personale dirigente ruolo amministrativo tempo indeterm.</t>
  </si>
  <si>
    <t>335100100700000</t>
  </si>
  <si>
    <t>Altre competenze personale dirigente ruolo amministrativo - personale dirigente ruolo amministrativo tempo indeterm.</t>
  </si>
  <si>
    <t>335100100900000</t>
  </si>
  <si>
    <t>Oneri sociali su retribuzione - personale dirigente ruolo amministrativo tempo indeterm.</t>
  </si>
  <si>
    <t>335100200100000</t>
  </si>
  <si>
    <t>Voci di costo a carattere stipendiale - personale dirigente ruolo amministrativo tempo determ.</t>
  </si>
  <si>
    <t>335100200200000</t>
  </si>
  <si>
    <t>Retribuzione di posizione - personale dirigente ruolo amministrativo tempo determ.</t>
  </si>
  <si>
    <t>335100200300000</t>
  </si>
  <si>
    <t>Retribuzione di risultato -  personale dirigente ruolo amministrativo tempo determ.</t>
  </si>
  <si>
    <t>335100200400000</t>
  </si>
  <si>
    <t>Trattamento accessorio - personale dirigente ruolo amministrativo tempo determ.</t>
  </si>
  <si>
    <t>335100200500000</t>
  </si>
  <si>
    <t>Accantonamento al fondo per TFR dipendenti - personale dirigente ruolo amministrativo tempo determ.</t>
  </si>
  <si>
    <t>335100200600000</t>
  </si>
  <si>
    <t>Accantonamento ai fondi integrativi pensione - personale dirigente ruolo amministrativo tempo determ.</t>
  </si>
  <si>
    <t>335100200700000</t>
  </si>
  <si>
    <t>Altre competenze personale dirigente ruolo amministrativo - personale dirigente ruolo amministrativo tempo determ.</t>
  </si>
  <si>
    <t>335100200900000</t>
  </si>
  <si>
    <t>Oneri sociali su retribuzione - personale dirigente ruolo amministrativo tempo determ.</t>
  </si>
  <si>
    <t>335100300000000</t>
  </si>
  <si>
    <t>335200100100000</t>
  </si>
  <si>
    <t>Voci di costo a carattere stipendiale - personale comparto ruolo amministrativo tempo indeterm.</t>
  </si>
  <si>
    <t>3352001002000</t>
  </si>
  <si>
    <t>Premialità e condizioni di lavoro personale comparto ruolo amministrativo - tempo indeterm.</t>
  </si>
  <si>
    <t>335200100201000</t>
  </si>
  <si>
    <t>Straordinario - personale comparto ruolo amministrativo tempo indeterm.</t>
  </si>
  <si>
    <t>335200100202000</t>
  </si>
  <si>
    <t>Condizioni di lavoro - comparto ruolo amministrativo tempo indeterm.</t>
  </si>
  <si>
    <t>335200100203000</t>
  </si>
  <si>
    <t>Premialità - comparto ruolo amministrativo tempo indeterm.</t>
  </si>
  <si>
    <t>3352001003000</t>
  </si>
  <si>
    <t>Incarichi, progressioni economiche ed indennità professionali comparto ruolo amministrativo tempo indeterm.</t>
  </si>
  <si>
    <t>335200100301000</t>
  </si>
  <si>
    <t>Incarichi - personale comparto ruolo amministrativo tempo indeterm.</t>
  </si>
  <si>
    <t>335200100302000</t>
  </si>
  <si>
    <t>Progressioni economiche - personale comparto amministrativo tecnico tempo indeterm.</t>
  </si>
  <si>
    <t>335200100303000</t>
  </si>
  <si>
    <t>Indennità professionali - personale comparto ruolo amministrativo tempo indeterm.</t>
  </si>
  <si>
    <t>335200100400000</t>
  </si>
  <si>
    <t>Accantonamento al fondo per TFR dipendenti - personale comparto ruolo amministrativo tempo indeterm.</t>
  </si>
  <si>
    <t>335200100500000</t>
  </si>
  <si>
    <t>Accantonamento ai fondi integrativi pensione - personale comparto ruolo amministrativo tempo indeterm.</t>
  </si>
  <si>
    <t>335200100600000</t>
  </si>
  <si>
    <t>Altri oneri per il personale comparto ruolo amministrativo tempo indeterm.</t>
  </si>
  <si>
    <t>335200100900000</t>
  </si>
  <si>
    <t>Oneri sociali su retribuzione - personale comparto ruolo amministrativo tempo indeterm.</t>
  </si>
  <si>
    <t>335200200100000</t>
  </si>
  <si>
    <t>Voci di costo a carattere stipendiale - personale comparto ruolo amministrativo tempo determ.</t>
  </si>
  <si>
    <t>3352002002000</t>
  </si>
  <si>
    <t>Premialità e condizioni di lavoro personale comparto ruolo amministrativo - tempo determ.</t>
  </si>
  <si>
    <t>335200200201000</t>
  </si>
  <si>
    <t>Straordinario - personale comparto ruolo amministrativo tempo determ.</t>
  </si>
  <si>
    <t>335200200202000</t>
  </si>
  <si>
    <t>Condizioni di lavoro - comparto ruolo amministrativo tempo determ.</t>
  </si>
  <si>
    <t>335200200203000</t>
  </si>
  <si>
    <t>Premialità - comparto ruolo amministrativo tempo determ.</t>
  </si>
  <si>
    <t>3352002003000</t>
  </si>
  <si>
    <t>Incarichi, progressioni economiche ed indennità professionali comparto ruolo amministrativo tempo determ.</t>
  </si>
  <si>
    <t>335200200301000</t>
  </si>
  <si>
    <t>Incarichi - personale comparto ruolo amministrativo tempo determ.</t>
  </si>
  <si>
    <t>335200200302000</t>
  </si>
  <si>
    <t>Progressioni economiche - personale comparto amministrativo tecnico tempo determ.</t>
  </si>
  <si>
    <t>335200200303000</t>
  </si>
  <si>
    <t>Indennità professionali - personale comparto ruolo amministrativo tempo determ.</t>
  </si>
  <si>
    <t>335200200400000</t>
  </si>
  <si>
    <t>Accantonamento al fondo per TFR dipendenti - personale comparto ruolo amministrativo tempo determ.</t>
  </si>
  <si>
    <t>335200200500000</t>
  </si>
  <si>
    <t>Accantonamento ai fondi integrativi pensione - personale comparto ruolo amministrativo tempo determ.</t>
  </si>
  <si>
    <t>335200200600000</t>
  </si>
  <si>
    <t>Altri oneri per il personale comparto ruolo amministrativo tempo determ.</t>
  </si>
  <si>
    <t>335200200900000</t>
  </si>
  <si>
    <t>Oneri sociali su retribuzione - personale comparto ruolo amministrativo tempo determ.</t>
  </si>
  <si>
    <t>335200300000000</t>
  </si>
  <si>
    <t>B.9) Oneri diversi di gestione</t>
  </si>
  <si>
    <t>B.9.A) Imposte e tasse (escluso IRAP e IRES)</t>
  </si>
  <si>
    <t>340100100000000</t>
  </si>
  <si>
    <t>340100200000000</t>
  </si>
  <si>
    <t>340100300000000</t>
  </si>
  <si>
    <t>340100400000000</t>
  </si>
  <si>
    <t>340100500000000</t>
  </si>
  <si>
    <t>340100600000000</t>
  </si>
  <si>
    <t>340100900000000</t>
  </si>
  <si>
    <t>B.9.B) Perdite su crediti</t>
  </si>
  <si>
    <t>340200000000000</t>
  </si>
  <si>
    <t>B.9.C.1) Indennità, rimborso spese e oneri sociali per gli Organi Direttivi e Collegio Sindacale</t>
  </si>
  <si>
    <t>3403001001000</t>
  </si>
  <si>
    <t>340300100101000</t>
  </si>
  <si>
    <t>Indennità organi direttivi e di indirizzo</t>
  </si>
  <si>
    <t>340300100103000</t>
  </si>
  <si>
    <t>Oneri sociali organi direttivi e di indirizzo</t>
  </si>
  <si>
    <t>340300100109000</t>
  </si>
  <si>
    <t>3403001002000</t>
  </si>
  <si>
    <t>340300100201000</t>
  </si>
  <si>
    <t>Indennità collegio sindacale</t>
  </si>
  <si>
    <t>340300100203000</t>
  </si>
  <si>
    <t>Oneri sociali collegio sindacale</t>
  </si>
  <si>
    <t>340300100209000</t>
  </si>
  <si>
    <t>3403001003000</t>
  </si>
  <si>
    <t>340300100301000</t>
  </si>
  <si>
    <t>Indennità altri organismi</t>
  </si>
  <si>
    <t>340300100303000</t>
  </si>
  <si>
    <t>Oneri sociali altri organismi</t>
  </si>
  <si>
    <t>340300100309000</t>
  </si>
  <si>
    <t>B.9.C.2) Altri oneri diversi di gestione</t>
  </si>
  <si>
    <t>340300200100000</t>
  </si>
  <si>
    <t>340300200200000</t>
  </si>
  <si>
    <t>340300200900000</t>
  </si>
  <si>
    <t>340300300000000</t>
  </si>
  <si>
    <t>340300400000000</t>
  </si>
  <si>
    <t>345100000000000</t>
  </si>
  <si>
    <t>345200000000000</t>
  </si>
  <si>
    <t>345300000000000</t>
  </si>
  <si>
    <t>Ammortamento Diritti di brevetto e diritti di utilizzazione delle opere d'ingegno derivanti dall'attività di ricerca</t>
  </si>
  <si>
    <t>345400000000000</t>
  </si>
  <si>
    <t>345500000000000</t>
  </si>
  <si>
    <t>345600000000000</t>
  </si>
  <si>
    <t>345700000000000</t>
  </si>
  <si>
    <t>345900000000000</t>
  </si>
  <si>
    <t>350100100000000</t>
  </si>
  <si>
    <t>350100200000000</t>
  </si>
  <si>
    <t>350200100000000</t>
  </si>
  <si>
    <t>350200200000000</t>
  </si>
  <si>
    <t>350200300000000</t>
  </si>
  <si>
    <t>350200400000000</t>
  </si>
  <si>
    <t>350200500000000</t>
  </si>
  <si>
    <t>3551001000000</t>
  </si>
  <si>
    <t>355100100100000</t>
  </si>
  <si>
    <t>355100100200000</t>
  </si>
  <si>
    <t>355100100300000</t>
  </si>
  <si>
    <t>355100100400000</t>
  </si>
  <si>
    <t>3551002000000</t>
  </si>
  <si>
    <t>355100200100000</t>
  </si>
  <si>
    <t>355100200150000</t>
  </si>
  <si>
    <t>355100200200000</t>
  </si>
  <si>
    <t>355100200250000</t>
  </si>
  <si>
    <t>355100200300000</t>
  </si>
  <si>
    <t>355100200350000</t>
  </si>
  <si>
    <t>355100200400000</t>
  </si>
  <si>
    <t>355100200450000</t>
  </si>
  <si>
    <t>Svalutazione automezzi</t>
  </si>
  <si>
    <t>355100200500000</t>
  </si>
  <si>
    <t>355100200550000</t>
  </si>
  <si>
    <t>355200100000000</t>
  </si>
  <si>
    <t>355200101000000</t>
  </si>
  <si>
    <t>355200102000000</t>
  </si>
  <si>
    <t>355200103000000</t>
  </si>
  <si>
    <t>355200200000000</t>
  </si>
  <si>
    <t>355200201000000</t>
  </si>
  <si>
    <t>355200202000000</t>
  </si>
  <si>
    <t>355200203000000</t>
  </si>
  <si>
    <t>355200204000000</t>
  </si>
  <si>
    <t>355200205000000</t>
  </si>
  <si>
    <t>355200206000000</t>
  </si>
  <si>
    <t>355200207000000</t>
  </si>
  <si>
    <t>355200208000000</t>
  </si>
  <si>
    <t>355200209000000</t>
  </si>
  <si>
    <t>355200210000000</t>
  </si>
  <si>
    <t>Svalutazione Crediti v/Stato per ricerca - altre Amministrazioni centrali</t>
  </si>
  <si>
    <t>355200211000000</t>
  </si>
  <si>
    <t>355200300000000</t>
  </si>
  <si>
    <t>355200400000000</t>
  </si>
  <si>
    <t>355200401000000</t>
  </si>
  <si>
    <t>355200402000000</t>
  </si>
  <si>
    <t>355200403000000</t>
  </si>
  <si>
    <t>355200404000000</t>
  </si>
  <si>
    <t>355200405000000</t>
  </si>
  <si>
    <t>355200406000000</t>
  </si>
  <si>
    <t>355200407000000</t>
  </si>
  <si>
    <t>355200408000000</t>
  </si>
  <si>
    <t>355200409000000</t>
  </si>
  <si>
    <t>355200410000000</t>
  </si>
  <si>
    <t>355200411000000</t>
  </si>
  <si>
    <t>355200412000000</t>
  </si>
  <si>
    <t>355200413000000</t>
  </si>
  <si>
    <t>355200414000000</t>
  </si>
  <si>
    <t>355200415000000</t>
  </si>
  <si>
    <t>355200416000000</t>
  </si>
  <si>
    <t>355200500000000</t>
  </si>
  <si>
    <t>355200600000000</t>
  </si>
  <si>
    <t>355200601000000</t>
  </si>
  <si>
    <t>355200602000000</t>
  </si>
  <si>
    <t>355200603000000</t>
  </si>
  <si>
    <t>355200700000000</t>
  </si>
  <si>
    <t>355200701000000</t>
  </si>
  <si>
    <t>355200702000000</t>
  </si>
  <si>
    <t>355200900000000</t>
  </si>
  <si>
    <t>355200901000000</t>
  </si>
  <si>
    <t>355200902000000</t>
  </si>
  <si>
    <t>355200903000000</t>
  </si>
  <si>
    <t>355200990000000</t>
  </si>
  <si>
    <t>360100010000000</t>
  </si>
  <si>
    <t>Var. rim. prodotti farmaceutici ed emoderivati</t>
  </si>
  <si>
    <t>360100020000000</t>
  </si>
  <si>
    <t>Var. rim. sangue ed emocomponenti</t>
  </si>
  <si>
    <t>360100030000000</t>
  </si>
  <si>
    <t>Var. rim. dispositivi medici</t>
  </si>
  <si>
    <t>360100040000000</t>
  </si>
  <si>
    <t>Var. rim. prodotti dietetici</t>
  </si>
  <si>
    <t>360100050000000</t>
  </si>
  <si>
    <t>Var. rim. materiali per la profilassi (vaccini)</t>
  </si>
  <si>
    <t>360100060000000</t>
  </si>
  <si>
    <t>Var. rim. prodotti chimici</t>
  </si>
  <si>
    <t>360100070000000</t>
  </si>
  <si>
    <t>Var. rim. materiali e prodotti per uso veterinario</t>
  </si>
  <si>
    <t>360100080000000</t>
  </si>
  <si>
    <t xml:space="preserve">Var. rim. altri beni e prodotti sanitari </t>
  </si>
  <si>
    <t>360200010000000</t>
  </si>
  <si>
    <t>Var. rim. prodotti alimentari</t>
  </si>
  <si>
    <t>360200020000000</t>
  </si>
  <si>
    <t>Var. rim. materiali di guardaroba, di pulizia e di convivenza in genere</t>
  </si>
  <si>
    <t>360200030000000</t>
  </si>
  <si>
    <t>Var. rim. combustibili, carburanti e lubrificanti</t>
  </si>
  <si>
    <t>360200040000000</t>
  </si>
  <si>
    <t>Var. rim. supporti informatici e cancelleria</t>
  </si>
  <si>
    <t>360200050000000</t>
  </si>
  <si>
    <t>Var. rim. materiale per la manutenzione</t>
  </si>
  <si>
    <t>360200060000000</t>
  </si>
  <si>
    <t xml:space="preserve">Var. rim. altri beni e prodotti non sanitari </t>
  </si>
  <si>
    <t>B.14) Accantonamenti dell'esercizio</t>
  </si>
  <si>
    <t>365100100000000</t>
  </si>
  <si>
    <t>365100200000000</t>
  </si>
  <si>
    <t>365100300000000</t>
  </si>
  <si>
    <t>365100400000000</t>
  </si>
  <si>
    <t>365100450000000</t>
  </si>
  <si>
    <t>365100500100000</t>
  </si>
  <si>
    <t>365100500200000</t>
  </si>
  <si>
    <t>365100500900000</t>
  </si>
  <si>
    <t>B.14.A.7)  Altri accantonamenti per interessi di mora</t>
  </si>
  <si>
    <t>365100600000000</t>
  </si>
  <si>
    <t>365200100000000</t>
  </si>
  <si>
    <t>365200200000000</t>
  </si>
  <si>
    <t>B.14.C) Accantonamenti per quote inutilizzate di contributi vincolati</t>
  </si>
  <si>
    <t>365300050000000</t>
  </si>
  <si>
    <t>Accantonamenti per quote inutilizzate contributi da Regione e Prov. Aut. per quota F.S. indistinto finalizzato</t>
  </si>
  <si>
    <t>365300100000000</t>
  </si>
  <si>
    <t>365300200000000</t>
  </si>
  <si>
    <t>365300300000000</t>
  </si>
  <si>
    <t>365300400100000</t>
  </si>
  <si>
    <t>365300400200000</t>
  </si>
  <si>
    <t>365300500000000</t>
  </si>
  <si>
    <t>365400200000000</t>
  </si>
  <si>
    <t>365400300000000</t>
  </si>
  <si>
    <t>365400400000000</t>
  </si>
  <si>
    <t>365400500000000</t>
  </si>
  <si>
    <t>365400600000000</t>
  </si>
  <si>
    <t>365400610000000</t>
  </si>
  <si>
    <t>365400620000000</t>
  </si>
  <si>
    <t>B.14.D.8) Acc. per Fondi integrativi pensione</t>
  </si>
  <si>
    <t>365400630000000</t>
  </si>
  <si>
    <t>365400640000000</t>
  </si>
  <si>
    <t>365400700000000</t>
  </si>
  <si>
    <t>CA0000</t>
  </si>
  <si>
    <t>C) Proventi e oneri finanziari</t>
  </si>
  <si>
    <t>690100000000000</t>
  </si>
  <si>
    <t>690200100000000</t>
  </si>
  <si>
    <t>690200200000000</t>
  </si>
  <si>
    <t>690300100000000</t>
  </si>
  <si>
    <t>690300200000000</t>
  </si>
  <si>
    <t>Interessi moratori e legali attivi</t>
  </si>
  <si>
    <t>690300900000000</t>
  </si>
  <si>
    <t>700100000000000</t>
  </si>
  <si>
    <t>700200000000000</t>
  </si>
  <si>
    <t>700300000000000</t>
  </si>
  <si>
    <t>700400000000000</t>
  </si>
  <si>
    <t>700500000000000</t>
  </si>
  <si>
    <t>C.3) Interessi passivi</t>
  </si>
  <si>
    <t>370100000000000</t>
  </si>
  <si>
    <t>370200000000000</t>
  </si>
  <si>
    <t>370300100000000</t>
  </si>
  <si>
    <t>Interessi moratori e legali passivi</t>
  </si>
  <si>
    <t>370300900000000</t>
  </si>
  <si>
    <t>375100000000000</t>
  </si>
  <si>
    <t>375200000000000</t>
  </si>
  <si>
    <t>DA0000</t>
  </si>
  <si>
    <t>D) Rettifiche di valore di attività finanziarie</t>
  </si>
  <si>
    <t>D.1) Rivalutazioni</t>
  </si>
  <si>
    <t>710000000000000</t>
  </si>
  <si>
    <t>D.2) Svalutazioni</t>
  </si>
  <si>
    <t>380000000000000</t>
  </si>
  <si>
    <t>EA0000</t>
  </si>
  <si>
    <t>E) Proventi e oneri straordinari</t>
  </si>
  <si>
    <t>720100000000000</t>
  </si>
  <si>
    <t>720200100000000</t>
  </si>
  <si>
    <t>720200200100000</t>
  </si>
  <si>
    <t>720200200150000</t>
  </si>
  <si>
    <t>720200200201000</t>
  </si>
  <si>
    <t>720200200202000</t>
  </si>
  <si>
    <t>720200200203000</t>
  </si>
  <si>
    <t>720200200204000</t>
  </si>
  <si>
    <t>720200200205000</t>
  </si>
  <si>
    <t>720200200206000</t>
  </si>
  <si>
    <t>720200200209000</t>
  </si>
  <si>
    <t>E.1.B.3) Insussistenze attive</t>
  </si>
  <si>
    <t>720200300100000</t>
  </si>
  <si>
    <t>720200300201000</t>
  </si>
  <si>
    <t>720200300202000</t>
  </si>
  <si>
    <t>720200300203000</t>
  </si>
  <si>
    <t>720200300204000</t>
  </si>
  <si>
    <t>720200300205000</t>
  </si>
  <si>
    <t>720200300206000</t>
  </si>
  <si>
    <t>720200300209000</t>
  </si>
  <si>
    <t>720200400000000</t>
  </si>
  <si>
    <t>390100000000000</t>
  </si>
  <si>
    <t>390200100000000</t>
  </si>
  <si>
    <t>390200200000000</t>
  </si>
  <si>
    <t>390200300101000</t>
  </si>
  <si>
    <t>390200300102000</t>
  </si>
  <si>
    <t>390200300201000</t>
  </si>
  <si>
    <t>9</t>
  </si>
  <si>
    <t>390200300202005</t>
  </si>
  <si>
    <t>390200300202010</t>
  </si>
  <si>
    <t>390200300202015</t>
  </si>
  <si>
    <t>390200300203000</t>
  </si>
  <si>
    <t>390200300204000</t>
  </si>
  <si>
    <t>390200300205000</t>
  </si>
  <si>
    <t>390200300206000</t>
  </si>
  <si>
    <t>390200300209000</t>
  </si>
  <si>
    <t>390200400500000</t>
  </si>
  <si>
    <t>390200400100000</t>
  </si>
  <si>
    <t>390200400201000</t>
  </si>
  <si>
    <t>390200400202000</t>
  </si>
  <si>
    <t>390200400203000</t>
  </si>
  <si>
    <t>390200400204000</t>
  </si>
  <si>
    <t>390200400205000</t>
  </si>
  <si>
    <t>390200400206000</t>
  </si>
  <si>
    <t>390200400207000</t>
  </si>
  <si>
    <t>390200500000000</t>
  </si>
  <si>
    <t>YA0000</t>
  </si>
  <si>
    <t>Imposte e tasse</t>
  </si>
  <si>
    <t>400100000000000</t>
  </si>
  <si>
    <t>400200000000000</t>
  </si>
  <si>
    <t>400300000000000</t>
  </si>
  <si>
    <t>400400000000000</t>
  </si>
  <si>
    <t>405100000000000</t>
  </si>
  <si>
    <t>405200000000000</t>
  </si>
  <si>
    <t>410000000000000</t>
  </si>
  <si>
    <t>TOTALE COSTI</t>
  </si>
  <si>
    <t>Variazione
previsione 2024 / preconsuntivo 2023</t>
  </si>
  <si>
    <t>previsione 2024 BILANCIO SANITARIO (A+B)</t>
  </si>
  <si>
    <t>previsione 2024 bilancio sanità (A)</t>
  </si>
  <si>
    <t>previsione 2024 bilancio sanità disabilità (B)</t>
  </si>
  <si>
    <t>preventivo 2024 BILANCIO SANITARIO</t>
  </si>
  <si>
    <t>preconsuntivo 2023
BILANCIO SANITARIO</t>
  </si>
  <si>
    <t xml:space="preserve"> </t>
  </si>
  <si>
    <t>preconsuntivo 2023 BILANCIO SANITARIO</t>
  </si>
  <si>
    <t>X</t>
  </si>
  <si>
    <t>CE PREVENTIVO 2024 dei 2 presidi osp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</si>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</sst>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Tahoma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0"/>
      <color indexed="8"/>
      <name val="DecimaWE Rg"/>
    </font>
    <font>
      <sz val="10"/>
      <color indexed="8"/>
      <name val="DecimaWE Rg"/>
    </font>
    <font>
      <b/>
      <sz val="9"/>
      <color indexed="8"/>
      <name val="DecimaWE Rg"/>
    </font>
    <font>
      <b/>
      <sz val="9"/>
      <name val="DecimaWE Rg"/>
    </font>
    <font>
      <sz val="8"/>
      <color indexed="8"/>
      <name val="DecimaWE Rg"/>
    </font>
    <font>
      <sz val="10"/>
      <name val="Calibri   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0" fontId="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38" applyNumberFormat="0" applyAlignment="0" applyProtection="0"/>
    <xf numFmtId="0" fontId="20" fillId="0" borderId="39" applyNumberFormat="0" applyFill="0" applyAlignment="0" applyProtection="0"/>
    <xf numFmtId="0" fontId="21" fillId="14" borderId="40" applyNumberFormat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38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ill="0" applyBorder="0" applyAlignment="0" applyProtection="0"/>
    <xf numFmtId="4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3" fillId="6" borderId="38" applyNumberFormat="0" applyAlignment="0" applyProtection="0"/>
    <xf numFmtId="170" fontId="2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11" borderId="0" applyNumberFormat="0" applyBorder="0" applyAlignment="0" applyProtection="0"/>
    <xf numFmtId="0" fontId="6" fillId="0" borderId="0"/>
    <xf numFmtId="0" fontId="1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6" fillId="7" borderId="41" applyNumberFormat="0" applyAlignment="0" applyProtection="0"/>
    <xf numFmtId="0" fontId="28" fillId="9" borderId="42" applyNumberFormat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49" fontId="29" fillId="19" borderId="43">
      <alignment vertical="center"/>
    </xf>
    <xf numFmtId="49" fontId="6" fillId="20" borderId="43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7" applyNumberFormat="0" applyFill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173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4" fontId="56" fillId="0" borderId="0">
      <alignment horizontal="left"/>
    </xf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24" fillId="0" borderId="0" applyNumberFormat="0" applyFill="0" applyBorder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0" fontId="9" fillId="0" borderId="0" xfId="2" applyNumberFormat="1" applyFont="1" applyFill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4" xfId="0" quotePrefix="1" applyFont="1" applyBorder="1" applyAlignment="1" applyProtection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4" fillId="0" borderId="14" xfId="0" applyFont="1" applyBorder="1" applyAlignment="1" applyProtection="1">
      <alignment horizontal="left" vertical="center"/>
    </xf>
    <xf numFmtId="0" fontId="10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3" fontId="7" fillId="0" borderId="0" xfId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7" fillId="0" borderId="0" xfId="4" applyFont="1" applyFill="1" applyAlignment="1">
      <alignment horizontal="center" vertical="center"/>
    </xf>
    <xf numFmtId="0" fontId="12" fillId="0" borderId="14" xfId="0" applyFont="1" applyBorder="1" applyAlignment="1" applyProtection="1">
      <alignment horizontal="left" vertical="center" wrapText="1"/>
    </xf>
    <xf numFmtId="0" fontId="39" fillId="0" borderId="0" xfId="4" applyFont="1" applyFill="1" applyAlignment="1">
      <alignment horizontal="left" vertical="center"/>
    </xf>
    <xf numFmtId="0" fontId="40" fillId="0" borderId="0" xfId="4" applyFont="1" applyFill="1" applyAlignment="1">
      <alignment horizontal="center" vertical="center"/>
    </xf>
    <xf numFmtId="0" fontId="40" fillId="0" borderId="0" xfId="4" applyFont="1" applyFill="1" applyAlignment="1">
      <alignment vertical="center"/>
    </xf>
    <xf numFmtId="0" fontId="40" fillId="23" borderId="0" xfId="4" applyFont="1" applyFill="1" applyAlignment="1">
      <alignment vertical="center"/>
    </xf>
    <xf numFmtId="0" fontId="42" fillId="3" borderId="23" xfId="4" applyFont="1" applyFill="1" applyBorder="1" applyAlignment="1">
      <alignment horizontal="center" vertical="center"/>
    </xf>
    <xf numFmtId="0" fontId="42" fillId="3" borderId="24" xfId="4" applyFont="1" applyFill="1" applyBorder="1" applyAlignment="1">
      <alignment horizontal="center" vertical="center"/>
    </xf>
    <xf numFmtId="0" fontId="42" fillId="3" borderId="48" xfId="4" applyFont="1" applyFill="1" applyBorder="1" applyAlignment="1">
      <alignment horizontal="center" vertical="center"/>
    </xf>
    <xf numFmtId="0" fontId="43" fillId="24" borderId="0" xfId="4" applyFont="1" applyFill="1" applyAlignment="1">
      <alignment vertical="center"/>
    </xf>
    <xf numFmtId="0" fontId="42" fillId="3" borderId="49" xfId="4" applyFont="1" applyFill="1" applyBorder="1" applyAlignment="1">
      <alignment horizontal="center" vertical="center"/>
    </xf>
    <xf numFmtId="0" fontId="42" fillId="3" borderId="27" xfId="4" applyFont="1" applyFill="1" applyBorder="1" applyAlignment="1">
      <alignment horizontal="center" vertical="center"/>
    </xf>
    <xf numFmtId="0" fontId="42" fillId="3" borderId="50" xfId="4" applyFont="1" applyFill="1" applyBorder="1" applyAlignment="1">
      <alignment horizontal="center" vertical="center"/>
    </xf>
    <xf numFmtId="0" fontId="44" fillId="0" borderId="0" xfId="4" applyFont="1" applyFill="1" applyAlignment="1">
      <alignment horizontal="left" vertical="center"/>
    </xf>
    <xf numFmtId="0" fontId="42" fillId="0" borderId="0" xfId="4" applyFont="1" applyFill="1" applyAlignment="1">
      <alignment horizontal="left" vertical="center"/>
    </xf>
    <xf numFmtId="0" fontId="42" fillId="0" borderId="0" xfId="4" applyFont="1" applyFill="1" applyAlignment="1">
      <alignment horizontal="center" vertical="center" wrapText="1"/>
    </xf>
    <xf numFmtId="0" fontId="42" fillId="23" borderId="0" xfId="4" applyFont="1" applyFill="1" applyAlignment="1">
      <alignment horizontal="center" vertical="center" wrapText="1"/>
    </xf>
    <xf numFmtId="0" fontId="46" fillId="24" borderId="0" xfId="4" applyFont="1" applyFill="1" applyAlignment="1">
      <alignment vertical="center"/>
    </xf>
    <xf numFmtId="0" fontId="44" fillId="23" borderId="0" xfId="4" applyFont="1" applyFill="1" applyAlignment="1">
      <alignment vertical="center"/>
    </xf>
    <xf numFmtId="0" fontId="44" fillId="23" borderId="0" xfId="4" applyFont="1" applyFill="1" applyBorder="1" applyAlignment="1">
      <alignment horizontal="center" vertical="center"/>
    </xf>
    <xf numFmtId="0" fontId="44" fillId="0" borderId="0" xfId="4" applyFont="1" applyFill="1" applyAlignment="1">
      <alignment horizontal="center" vertical="center"/>
    </xf>
    <xf numFmtId="0" fontId="44" fillId="23" borderId="0" xfId="4" applyFont="1" applyFill="1" applyAlignment="1">
      <alignment horizontal="center" vertical="center"/>
    </xf>
    <xf numFmtId="0" fontId="39" fillId="25" borderId="30" xfId="4" applyFont="1" applyFill="1" applyBorder="1" applyAlignment="1">
      <alignment horizontal="left" vertical="center"/>
    </xf>
    <xf numFmtId="0" fontId="39" fillId="25" borderId="31" xfId="4" applyFont="1" applyFill="1" applyBorder="1" applyAlignment="1">
      <alignment horizontal="center" vertical="center"/>
    </xf>
    <xf numFmtId="0" fontId="39" fillId="3" borderId="32" xfId="4" applyFont="1" applyFill="1" applyBorder="1" applyAlignment="1">
      <alignment horizontal="center" vertical="center"/>
    </xf>
    <xf numFmtId="0" fontId="44" fillId="0" borderId="23" xfId="4" applyFont="1" applyFill="1" applyBorder="1" applyAlignment="1">
      <alignment horizontal="center" vertical="center"/>
    </xf>
    <xf numFmtId="0" fontId="44" fillId="0" borderId="24" xfId="4" applyFont="1" applyFill="1" applyBorder="1" applyAlignment="1">
      <alignment horizontal="center" vertical="center"/>
    </xf>
    <xf numFmtId="0" fontId="44" fillId="23" borderId="24" xfId="4" applyFont="1" applyFill="1" applyBorder="1" applyAlignment="1">
      <alignment horizontal="center" vertical="center"/>
    </xf>
    <xf numFmtId="0" fontId="44" fillId="23" borderId="48" xfId="4" applyFont="1" applyFill="1" applyBorder="1" applyAlignment="1">
      <alignment horizontal="center" vertical="center"/>
    </xf>
    <xf numFmtId="0" fontId="44" fillId="0" borderId="13" xfId="4" applyFont="1" applyFill="1" applyBorder="1" applyAlignment="1">
      <alignment horizontal="center" vertical="center"/>
    </xf>
    <xf numFmtId="0" fontId="44" fillId="23" borderId="34" xfId="4" applyFont="1" applyFill="1" applyBorder="1" applyAlignment="1">
      <alignment horizontal="center" vertical="center"/>
    </xf>
    <xf numFmtId="0" fontId="44" fillId="23" borderId="51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left" vertical="center"/>
    </xf>
    <xf numFmtId="0" fontId="44" fillId="0" borderId="0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right" vertical="center"/>
    </xf>
    <xf numFmtId="0" fontId="44" fillId="0" borderId="49" xfId="4" applyFont="1" applyFill="1" applyBorder="1" applyAlignment="1">
      <alignment horizontal="center" vertical="center"/>
    </xf>
    <xf numFmtId="0" fontId="44" fillId="0" borderId="27" xfId="4" applyFont="1" applyFill="1" applyBorder="1" applyAlignment="1">
      <alignment horizontal="center" vertical="center"/>
    </xf>
    <xf numFmtId="0" fontId="44" fillId="23" borderId="27" xfId="4" applyFont="1" applyFill="1" applyBorder="1" applyAlignment="1">
      <alignment horizontal="center" vertical="center"/>
    </xf>
    <xf numFmtId="0" fontId="44" fillId="23" borderId="50" xfId="4" applyFont="1" applyFill="1" applyBorder="1" applyAlignment="1">
      <alignment horizontal="center" vertical="center"/>
    </xf>
    <xf numFmtId="0" fontId="40" fillId="23" borderId="23" xfId="4" applyFont="1" applyFill="1" applyBorder="1" applyAlignment="1">
      <alignment vertical="center"/>
    </xf>
    <xf numFmtId="0" fontId="39" fillId="0" borderId="24" xfId="4" applyFont="1" applyFill="1" applyBorder="1" applyAlignment="1">
      <alignment horizontal="center" vertical="center"/>
    </xf>
    <xf numFmtId="0" fontId="39" fillId="23" borderId="24" xfId="4" applyFont="1" applyFill="1" applyBorder="1" applyAlignment="1">
      <alignment horizontal="center" vertical="center"/>
    </xf>
    <xf numFmtId="0" fontId="40" fillId="23" borderId="13" xfId="4" applyFont="1" applyFill="1" applyBorder="1" applyAlignment="1">
      <alignment vertical="center"/>
    </xf>
    <xf numFmtId="0" fontId="44" fillId="23" borderId="0" xfId="4" applyFont="1" applyFill="1" applyBorder="1" applyAlignment="1">
      <alignment vertical="center"/>
    </xf>
    <xf numFmtId="0" fontId="40" fillId="23" borderId="49" xfId="4" applyFont="1" applyFill="1" applyBorder="1" applyAlignment="1">
      <alignment vertical="center"/>
    </xf>
    <xf numFmtId="0" fontId="39" fillId="23" borderId="0" xfId="4" applyFont="1" applyFill="1" applyBorder="1" applyAlignment="1">
      <alignment horizontal="center" vertical="center" wrapText="1"/>
    </xf>
    <xf numFmtId="0" fontId="39" fillId="0" borderId="0" xfId="4" applyFont="1" applyFill="1" applyBorder="1" applyAlignment="1">
      <alignment horizontal="center" vertical="center" wrapText="1"/>
    </xf>
    <xf numFmtId="0" fontId="40" fillId="24" borderId="0" xfId="4" applyFont="1" applyFill="1" applyAlignment="1">
      <alignment vertical="center" wrapText="1"/>
    </xf>
    <xf numFmtId="0" fontId="47" fillId="0" borderId="23" xfId="5" applyFont="1" applyFill="1" applyBorder="1" applyAlignment="1" applyProtection="1">
      <alignment horizontal="center" vertical="center" wrapText="1"/>
    </xf>
    <xf numFmtId="0" fontId="47" fillId="24" borderId="0" xfId="5" applyFont="1" applyFill="1" applyBorder="1" applyAlignment="1" applyProtection="1">
      <alignment vertical="center" wrapText="1"/>
    </xf>
    <xf numFmtId="0" fontId="47" fillId="24" borderId="0" xfId="5" applyFont="1" applyFill="1" applyBorder="1" applyAlignment="1" applyProtection="1">
      <alignment vertical="center"/>
    </xf>
    <xf numFmtId="0" fontId="49" fillId="0" borderId="0" xfId="4" applyFont="1" applyFill="1" applyAlignment="1">
      <alignment vertical="center" wrapText="1"/>
    </xf>
    <xf numFmtId="0" fontId="47" fillId="0" borderId="37" xfId="5" applyFont="1" applyFill="1" applyBorder="1" applyAlignment="1" applyProtection="1">
      <alignment horizontal="center" vertical="center" wrapText="1"/>
    </xf>
    <xf numFmtId="0" fontId="47" fillId="0" borderId="37" xfId="5" applyFont="1" applyFill="1" applyBorder="1" applyAlignment="1" applyProtection="1">
      <alignment horizontal="left" vertical="center" wrapText="1"/>
    </xf>
    <xf numFmtId="164" fontId="50" fillId="0" borderId="35" xfId="115" applyFont="1" applyBorder="1" applyAlignment="1">
      <alignment horizontal="right" vertical="center" wrapText="1"/>
    </xf>
    <xf numFmtId="0" fontId="39" fillId="0" borderId="0" xfId="4" applyFont="1" applyFill="1" applyAlignment="1">
      <alignment vertical="center" wrapText="1"/>
    </xf>
    <xf numFmtId="0" fontId="52" fillId="0" borderId="37" xfId="5" applyFont="1" applyFill="1" applyBorder="1" applyAlignment="1" applyProtection="1">
      <alignment horizontal="center" vertical="center" wrapText="1"/>
    </xf>
    <xf numFmtId="0" fontId="52" fillId="0" borderId="37" xfId="5" applyFont="1" applyFill="1" applyBorder="1" applyAlignment="1" applyProtection="1">
      <alignment horizontal="left" vertical="center" wrapText="1"/>
    </xf>
    <xf numFmtId="0" fontId="51" fillId="0" borderId="37" xfId="5" applyFont="1" applyFill="1" applyBorder="1" applyAlignment="1" applyProtection="1">
      <alignment horizontal="center" vertical="center" wrapText="1"/>
    </xf>
    <xf numFmtId="0" fontId="51" fillId="0" borderId="37" xfId="5" applyFont="1" applyFill="1" applyBorder="1" applyAlignment="1" applyProtection="1">
      <alignment horizontal="left" vertical="center" wrapText="1"/>
    </xf>
    <xf numFmtId="0" fontId="44" fillId="0" borderId="37" xfId="5" applyFont="1" applyFill="1" applyBorder="1" applyAlignment="1" applyProtection="1">
      <alignment horizontal="center" vertical="center" wrapText="1"/>
    </xf>
    <xf numFmtId="0" fontId="44" fillId="0" borderId="37" xfId="5" applyFont="1" applyFill="1" applyBorder="1" applyAlignment="1" applyProtection="1">
      <alignment horizontal="left" vertical="center" wrapText="1"/>
    </xf>
    <xf numFmtId="0" fontId="44" fillId="24" borderId="37" xfId="5" applyFont="1" applyFill="1" applyBorder="1" applyAlignment="1" applyProtection="1">
      <alignment horizontal="center" vertical="center" wrapText="1"/>
    </xf>
    <xf numFmtId="0" fontId="44" fillId="24" borderId="37" xfId="5" applyFont="1" applyFill="1" applyBorder="1" applyAlignment="1" applyProtection="1">
      <alignment horizontal="left" vertical="center" wrapText="1"/>
    </xf>
    <xf numFmtId="164" fontId="50" fillId="0" borderId="35" xfId="115" applyFont="1" applyFill="1" applyBorder="1" applyAlignment="1">
      <alignment horizontal="right" vertical="center" wrapText="1"/>
    </xf>
    <xf numFmtId="0" fontId="51" fillId="24" borderId="37" xfId="5" applyFont="1" applyFill="1" applyBorder="1" applyAlignment="1" applyProtection="1">
      <alignment horizontal="center" vertical="center" wrapText="1"/>
    </xf>
    <xf numFmtId="0" fontId="51" fillId="24" borderId="37" xfId="5" applyFont="1" applyFill="1" applyBorder="1" applyAlignment="1" applyProtection="1">
      <alignment horizontal="left" vertical="center" wrapText="1"/>
    </xf>
    <xf numFmtId="0" fontId="51" fillId="24" borderId="55" xfId="5" applyFont="1" applyFill="1" applyBorder="1" applyAlignment="1" applyProtection="1">
      <alignment horizontal="left" vertical="center" wrapText="1"/>
    </xf>
    <xf numFmtId="0" fontId="44" fillId="24" borderId="0" xfId="5" applyFont="1" applyFill="1" applyAlignment="1">
      <alignment vertical="center"/>
    </xf>
    <xf numFmtId="0" fontId="44" fillId="24" borderId="0" xfId="5" applyFont="1" applyFill="1" applyBorder="1" applyAlignment="1">
      <alignment vertical="center"/>
    </xf>
    <xf numFmtId="0" fontId="44" fillId="24" borderId="0" xfId="4" applyFont="1" applyFill="1" applyBorder="1" applyAlignment="1">
      <alignment horizontal="center" vertical="center"/>
    </xf>
    <xf numFmtId="0" fontId="44" fillId="24" borderId="0" xfId="4" applyFont="1" applyFill="1" applyBorder="1" applyAlignment="1">
      <alignment vertical="center"/>
    </xf>
    <xf numFmtId="0" fontId="40" fillId="24" borderId="0" xfId="4" applyFont="1" applyFill="1" applyBorder="1" applyAlignment="1">
      <alignment vertical="center"/>
    </xf>
    <xf numFmtId="0" fontId="44" fillId="0" borderId="0" xfId="5" applyFont="1" applyFill="1" applyAlignment="1">
      <alignment horizontal="center" vertical="center"/>
    </xf>
    <xf numFmtId="0" fontId="44" fillId="0" borderId="0" xfId="5" applyFont="1" applyFill="1" applyAlignment="1">
      <alignment vertical="center"/>
    </xf>
    <xf numFmtId="0" fontId="46" fillId="24" borderId="0" xfId="5" applyFont="1" applyFill="1" applyAlignment="1">
      <alignment vertical="center"/>
    </xf>
    <xf numFmtId="0" fontId="44" fillId="24" borderId="0" xfId="4" applyFont="1" applyFill="1" applyBorder="1" applyAlignment="1">
      <alignment horizontal="right" vertical="center"/>
    </xf>
    <xf numFmtId="0" fontId="44" fillId="0" borderId="0" xfId="5" applyFont="1" applyFill="1" applyBorder="1" applyAlignment="1">
      <alignment vertical="center"/>
    </xf>
    <xf numFmtId="0" fontId="46" fillId="24" borderId="0" xfId="5" applyFont="1" applyFill="1" applyBorder="1" applyAlignment="1">
      <alignment vertical="center"/>
    </xf>
    <xf numFmtId="0" fontId="46" fillId="24" borderId="0" xfId="4" applyFont="1" applyFill="1" applyBorder="1" applyAlignment="1">
      <alignment horizontal="center" vertical="center"/>
    </xf>
    <xf numFmtId="0" fontId="44" fillId="0" borderId="0" xfId="4" applyFont="1" applyFill="1" applyBorder="1" applyAlignment="1">
      <alignment horizontal="left" vertical="center"/>
    </xf>
    <xf numFmtId="0" fontId="44" fillId="0" borderId="0" xfId="4" applyFont="1" applyFill="1" applyBorder="1" applyAlignment="1">
      <alignment vertical="center"/>
    </xf>
    <xf numFmtId="0" fontId="40" fillId="24" borderId="0" xfId="4" applyFont="1" applyFill="1" applyAlignment="1">
      <alignment vertical="center"/>
    </xf>
    <xf numFmtId="0" fontId="40" fillId="0" borderId="0" xfId="4" applyFont="1" applyFill="1" applyBorder="1" applyAlignment="1">
      <alignment vertical="center"/>
    </xf>
    <xf numFmtId="0" fontId="40" fillId="23" borderId="0" xfId="4" applyFont="1" applyFill="1" applyBorder="1" applyAlignment="1">
      <alignment vertical="center"/>
    </xf>
    <xf numFmtId="164" fontId="50" fillId="4" borderId="35" xfId="115" applyFont="1" applyFill="1" applyBorder="1" applyAlignment="1">
      <alignment horizontal="right" vertical="center" wrapText="1"/>
    </xf>
    <xf numFmtId="0" fontId="52" fillId="4" borderId="37" xfId="5" applyFont="1" applyFill="1" applyBorder="1" applyAlignment="1" applyProtection="1">
      <alignment horizontal="center" vertical="center" wrapText="1"/>
    </xf>
    <xf numFmtId="0" fontId="52" fillId="4" borderId="37" xfId="5" applyFont="1" applyFill="1" applyBorder="1" applyAlignment="1" applyProtection="1">
      <alignment horizontal="left" vertical="center" wrapText="1"/>
    </xf>
    <xf numFmtId="0" fontId="48" fillId="26" borderId="52" xfId="5" applyFont="1" applyFill="1" applyBorder="1" applyAlignment="1" applyProtection="1">
      <alignment horizontal="center" vertical="center" wrapText="1"/>
    </xf>
    <xf numFmtId="0" fontId="49" fillId="26" borderId="52" xfId="5" applyFont="1" applyFill="1" applyBorder="1" applyAlignment="1" applyProtection="1">
      <alignment vertical="center" wrapText="1"/>
    </xf>
    <xf numFmtId="164" fontId="50" fillId="26" borderId="53" xfId="115" applyFont="1" applyFill="1" applyBorder="1" applyAlignment="1">
      <alignment horizontal="right" vertical="center" wrapText="1"/>
    </xf>
    <xf numFmtId="0" fontId="47" fillId="27" borderId="37" xfId="5" applyFont="1" applyFill="1" applyBorder="1" applyAlignment="1" applyProtection="1">
      <alignment horizontal="center" vertical="center" wrapText="1"/>
    </xf>
    <xf numFmtId="0" fontId="47" fillId="27" borderId="37" xfId="5" applyFont="1" applyFill="1" applyBorder="1" applyAlignment="1" applyProtection="1">
      <alignment horizontal="left" vertical="center" wrapText="1"/>
    </xf>
    <xf numFmtId="164" fontId="50" fillId="27" borderId="35" xfId="115" applyFont="1" applyFill="1" applyBorder="1" applyAlignment="1">
      <alignment horizontal="right" vertical="center" wrapText="1"/>
    </xf>
    <xf numFmtId="0" fontId="47" fillId="28" borderId="37" xfId="5" applyFont="1" applyFill="1" applyBorder="1" applyAlignment="1" applyProtection="1">
      <alignment horizontal="center" vertical="center" wrapText="1"/>
    </xf>
    <xf numFmtId="0" fontId="47" fillId="28" borderId="37" xfId="5" applyFont="1" applyFill="1" applyBorder="1" applyAlignment="1" applyProtection="1">
      <alignment horizontal="left" vertical="center" wrapText="1"/>
    </xf>
    <xf numFmtId="164" fontId="50" fillId="28" borderId="35" xfId="115" applyFont="1" applyFill="1" applyBorder="1" applyAlignment="1">
      <alignment horizontal="right" vertical="center" wrapText="1"/>
    </xf>
    <xf numFmtId="0" fontId="51" fillId="29" borderId="37" xfId="5" applyFont="1" applyFill="1" applyBorder="1" applyAlignment="1" applyProtection="1">
      <alignment horizontal="center" vertical="center" wrapText="1"/>
    </xf>
    <xf numFmtId="0" fontId="51" fillId="29" borderId="37" xfId="5" applyFont="1" applyFill="1" applyBorder="1" applyAlignment="1" applyProtection="1">
      <alignment horizontal="left" vertical="center" wrapText="1"/>
    </xf>
    <xf numFmtId="164" fontId="50" fillId="29" borderId="35" xfId="115" applyFont="1" applyFill="1" applyBorder="1" applyAlignment="1">
      <alignment horizontal="right" vertical="center" wrapText="1"/>
    </xf>
    <xf numFmtId="0" fontId="44" fillId="30" borderId="37" xfId="5" applyFont="1" applyFill="1" applyBorder="1" applyAlignment="1" applyProtection="1">
      <alignment horizontal="center" vertical="center" wrapText="1"/>
    </xf>
    <xf numFmtId="0" fontId="44" fillId="30" borderId="37" xfId="5" applyFont="1" applyFill="1" applyBorder="1" applyAlignment="1" applyProtection="1">
      <alignment horizontal="left" vertical="center" wrapText="1"/>
    </xf>
    <xf numFmtId="164" fontId="50" fillId="30" borderId="35" xfId="115" applyFont="1" applyFill="1" applyBorder="1" applyAlignment="1">
      <alignment horizontal="right" vertical="center" wrapText="1"/>
    </xf>
    <xf numFmtId="0" fontId="51" fillId="30" borderId="37" xfId="5" applyFont="1" applyFill="1" applyBorder="1" applyAlignment="1" applyProtection="1">
      <alignment horizontal="center" vertical="center" wrapText="1"/>
    </xf>
    <xf numFmtId="0" fontId="51" fillId="30" borderId="37" xfId="5" applyFont="1" applyFill="1" applyBorder="1" applyAlignment="1" applyProtection="1">
      <alignment horizontal="left" vertical="center" wrapText="1"/>
    </xf>
    <xf numFmtId="164" fontId="55" fillId="30" borderId="35" xfId="115" applyFont="1" applyFill="1" applyBorder="1" applyAlignment="1">
      <alignment horizontal="right" vertical="center" wrapText="1"/>
    </xf>
    <xf numFmtId="164" fontId="50" fillId="31" borderId="35" xfId="115" applyFont="1" applyFill="1" applyBorder="1" applyAlignment="1">
      <alignment horizontal="right" vertical="center" wrapText="1"/>
    </xf>
    <xf numFmtId="0" fontId="44" fillId="26" borderId="37" xfId="5" applyFont="1" applyFill="1" applyBorder="1" applyAlignment="1" applyProtection="1">
      <alignment horizontal="center" vertical="center" wrapText="1"/>
    </xf>
    <xf numFmtId="0" fontId="47" fillId="26" borderId="37" xfId="5" applyFont="1" applyFill="1" applyBorder="1" applyAlignment="1" applyProtection="1">
      <alignment horizontal="left" vertical="center" wrapText="1"/>
    </xf>
    <xf numFmtId="164" fontId="50" fillId="26" borderId="35" xfId="115" applyFont="1" applyFill="1" applyBorder="1" applyAlignment="1">
      <alignment horizontal="right" vertical="center" wrapText="1"/>
    </xf>
    <xf numFmtId="0" fontId="39" fillId="26" borderId="37" xfId="5" applyFont="1" applyFill="1" applyBorder="1" applyAlignment="1" applyProtection="1">
      <alignment horizontal="left" vertical="center" wrapText="1"/>
    </xf>
    <xf numFmtId="0" fontId="52" fillId="29" borderId="37" xfId="5" applyFont="1" applyFill="1" applyBorder="1" applyAlignment="1" applyProtection="1">
      <alignment horizontal="center" vertical="center" wrapText="1"/>
    </xf>
    <xf numFmtId="0" fontId="52" fillId="29" borderId="37" xfId="5" applyFont="1" applyFill="1" applyBorder="1" applyAlignment="1" applyProtection="1">
      <alignment horizontal="left" vertical="center" wrapText="1"/>
    </xf>
    <xf numFmtId="0" fontId="54" fillId="32" borderId="37" xfId="5" applyFont="1" applyFill="1" applyBorder="1" applyAlignment="1" applyProtection="1">
      <alignment horizontal="center" vertical="center" wrapText="1"/>
    </xf>
    <xf numFmtId="0" fontId="54" fillId="32" borderId="37" xfId="5" applyFont="1" applyFill="1" applyBorder="1" applyAlignment="1" applyProtection="1">
      <alignment horizontal="left" vertical="center" wrapText="1"/>
    </xf>
    <xf numFmtId="164" fontId="50" fillId="32" borderId="35" xfId="115" applyFont="1" applyFill="1" applyBorder="1" applyAlignment="1">
      <alignment horizontal="right" vertical="center" wrapText="1"/>
    </xf>
    <xf numFmtId="0" fontId="54" fillId="31" borderId="37" xfId="5" applyFont="1" applyFill="1" applyBorder="1" applyAlignment="1" applyProtection="1">
      <alignment horizontal="center" vertical="center" wrapText="1"/>
    </xf>
    <xf numFmtId="0" fontId="54" fillId="31" borderId="37" xfId="5" applyFont="1" applyFill="1" applyBorder="1" applyAlignment="1" applyProtection="1">
      <alignment horizontal="left" vertical="center" wrapText="1"/>
    </xf>
    <xf numFmtId="0" fontId="44" fillId="33" borderId="37" xfId="5" applyFont="1" applyFill="1" applyBorder="1" applyAlignment="1" applyProtection="1">
      <alignment horizontal="center" vertical="center" wrapText="1"/>
    </xf>
    <xf numFmtId="0" fontId="44" fillId="33" borderId="37" xfId="5" applyFont="1" applyFill="1" applyBorder="1" applyAlignment="1" applyProtection="1">
      <alignment horizontal="left" vertical="center" wrapText="1"/>
    </xf>
    <xf numFmtId="164" fontId="50" fillId="33" borderId="35" xfId="115" applyFont="1" applyFill="1" applyBorder="1" applyAlignment="1">
      <alignment horizontal="right" vertical="center" wrapText="1"/>
    </xf>
    <xf numFmtId="0" fontId="47" fillId="34" borderId="18" xfId="5" applyFont="1" applyFill="1" applyBorder="1" applyAlignment="1" applyProtection="1">
      <alignment horizontal="center" vertical="center" wrapText="1"/>
    </xf>
    <xf numFmtId="0" fontId="47" fillId="34" borderId="18" xfId="5" applyFont="1" applyFill="1" applyBorder="1" applyAlignment="1" applyProtection="1">
      <alignment horizontal="left" vertical="center" wrapText="1"/>
    </xf>
    <xf numFmtId="164" fontId="50" fillId="34" borderId="36" xfId="115" applyFont="1" applyFill="1" applyBorder="1" applyAlignment="1">
      <alignment horizontal="right" vertical="center" wrapText="1"/>
    </xf>
    <xf numFmtId="10" fontId="10" fillId="4" borderId="54" xfId="3" applyNumberFormat="1" applyFont="1" applyFill="1" applyBorder="1" applyAlignment="1" applyProtection="1">
      <alignment horizontal="right" vertical="center"/>
    </xf>
    <xf numFmtId="10" fontId="10" fillId="4" borderId="32" xfId="3" applyNumberFormat="1" applyFont="1" applyFill="1" applyBorder="1" applyAlignment="1" applyProtection="1">
      <alignment horizontal="right" vertical="center"/>
    </xf>
    <xf numFmtId="10" fontId="10" fillId="4" borderId="7" xfId="3" applyNumberFormat="1" applyFont="1" applyFill="1" applyBorder="1" applyAlignment="1" applyProtection="1">
      <alignment horizontal="right" vertical="center"/>
    </xf>
    <xf numFmtId="10" fontId="10" fillId="4" borderId="57" xfId="3" applyNumberFormat="1" applyFont="1" applyFill="1" applyBorder="1" applyAlignment="1" applyProtection="1">
      <alignment horizontal="right" vertical="center"/>
    </xf>
    <xf numFmtId="0" fontId="9" fillId="0" borderId="0" xfId="4" applyFont="1" applyFill="1" applyAlignment="1">
      <alignment horizontal="center" vertical="center"/>
    </xf>
    <xf numFmtId="10" fontId="9" fillId="0" borderId="12" xfId="2" applyNumberFormat="1" applyFont="1" applyFill="1" applyBorder="1" applyAlignment="1" applyProtection="1">
      <alignment horizontal="right" vertical="center" wrapText="1"/>
    </xf>
    <xf numFmtId="10" fontId="9" fillId="0" borderId="16" xfId="2" applyNumberFormat="1" applyFont="1" applyFill="1" applyBorder="1" applyAlignment="1" applyProtection="1">
      <alignment horizontal="right" vertical="center"/>
    </xf>
    <xf numFmtId="10" fontId="12" fillId="0" borderId="51" xfId="3" applyNumberFormat="1" applyFont="1" applyFill="1" applyBorder="1" applyAlignment="1" applyProtection="1">
      <alignment horizontal="right" vertical="center"/>
    </xf>
    <xf numFmtId="10" fontId="9" fillId="0" borderId="51" xfId="3" applyNumberFormat="1" applyFont="1" applyFill="1" applyBorder="1" applyAlignment="1" applyProtection="1">
      <alignment horizontal="right" vertical="center"/>
    </xf>
    <xf numFmtId="10" fontId="10" fillId="0" borderId="51" xfId="3" applyNumberFormat="1" applyFont="1" applyFill="1" applyBorder="1" applyAlignment="1" applyProtection="1">
      <alignment horizontal="right" vertical="center"/>
    </xf>
    <xf numFmtId="10" fontId="10" fillId="0" borderId="5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 applyProtection="1">
      <alignment horizontal="right" vertical="center"/>
    </xf>
    <xf numFmtId="10" fontId="9" fillId="0" borderId="16" xfId="3" applyNumberFormat="1" applyFont="1" applyFill="1" applyBorder="1" applyAlignment="1" applyProtection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0" fillId="0" borderId="56" xfId="3" applyNumberFormat="1" applyFont="1" applyFill="1" applyBorder="1" applyAlignment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10" fillId="0" borderId="58" xfId="3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43" fontId="8" fillId="0" borderId="2" xfId="1" applyFont="1" applyFill="1" applyBorder="1" applyAlignment="1" applyProtection="1">
      <alignment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0" xfId="1" applyFont="1" applyFill="1" applyBorder="1" applyAlignment="1" applyProtection="1">
      <alignment horizontal="right" vertical="center"/>
    </xf>
    <xf numFmtId="43" fontId="9" fillId="0" borderId="10" xfId="1" applyFont="1" applyFill="1" applyBorder="1" applyAlignment="1">
      <alignment vertical="center"/>
    </xf>
    <xf numFmtId="43" fontId="9" fillId="0" borderId="11" xfId="1" applyFont="1" applyFill="1" applyBorder="1" applyAlignment="1" applyProtection="1">
      <alignment horizontal="right" vertical="center" wrapText="1"/>
    </xf>
    <xf numFmtId="43" fontId="10" fillId="0" borderId="14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0" borderId="14" xfId="1" applyFont="1" applyFill="1" applyBorder="1" applyAlignment="1" applyProtection="1">
      <alignment horizontal="left" vertical="center"/>
    </xf>
    <xf numFmtId="43" fontId="10" fillId="0" borderId="14" xfId="1" applyFont="1" applyFill="1" applyBorder="1" applyAlignment="1">
      <alignment vertical="center"/>
    </xf>
    <xf numFmtId="43" fontId="12" fillId="0" borderId="14" xfId="1" applyFont="1" applyBorder="1" applyAlignment="1" applyProtection="1">
      <alignment horizontal="right" vertical="center"/>
    </xf>
    <xf numFmtId="43" fontId="12" fillId="0" borderId="14" xfId="1" applyFont="1" applyFill="1" applyBorder="1" applyAlignment="1" applyProtection="1">
      <alignment horizontal="right" vertical="center"/>
    </xf>
    <xf numFmtId="43" fontId="9" fillId="0" borderId="14" xfId="1" applyFont="1" applyFill="1" applyBorder="1" applyAlignment="1" applyProtection="1">
      <alignment horizontal="right" vertical="center"/>
    </xf>
    <xf numFmtId="43" fontId="14" fillId="0" borderId="14" xfId="1" applyFont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right" vertical="center"/>
    </xf>
    <xf numFmtId="43" fontId="10" fillId="2" borderId="17" xfId="1" applyFont="1" applyFill="1" applyBorder="1" applyAlignment="1" applyProtection="1">
      <alignment horizontal="right" vertical="center"/>
    </xf>
    <xf numFmtId="43" fontId="10" fillId="4" borderId="17" xfId="1" applyFont="1" applyFill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horizontal="right" vertical="center"/>
    </xf>
    <xf numFmtId="43" fontId="10" fillId="0" borderId="14" xfId="1" applyFont="1" applyBorder="1" applyAlignment="1" applyProtection="1">
      <alignment horizontal="right" vertical="center"/>
    </xf>
    <xf numFmtId="43" fontId="10" fillId="0" borderId="19" xfId="1" applyFont="1" applyBorder="1" applyAlignment="1" applyProtection="1">
      <alignment horizontal="right" vertical="center"/>
    </xf>
    <xf numFmtId="43" fontId="10" fillId="0" borderId="19" xfId="1" applyFont="1" applyFill="1" applyBorder="1" applyAlignment="1" applyProtection="1">
      <alignment horizontal="right" vertical="center"/>
    </xf>
    <xf numFmtId="43" fontId="10" fillId="2" borderId="22" xfId="1" applyFont="1" applyFill="1" applyBorder="1" applyAlignment="1" applyProtection="1">
      <alignment horizontal="right" vertical="center"/>
    </xf>
    <xf numFmtId="43" fontId="10" fillId="4" borderId="22" xfId="1" applyFont="1" applyFill="1" applyBorder="1" applyAlignment="1" applyProtection="1">
      <alignment horizontal="right" vertical="center"/>
    </xf>
    <xf numFmtId="43" fontId="10" fillId="0" borderId="15" xfId="1" applyFont="1" applyBorder="1" applyAlignment="1" applyProtection="1">
      <alignment horizontal="right" vertical="center"/>
    </xf>
    <xf numFmtId="43" fontId="10" fillId="0" borderId="15" xfId="1" applyFont="1" applyFill="1" applyBorder="1" applyAlignment="1" applyProtection="1">
      <alignment horizontal="right" vertical="center"/>
    </xf>
    <xf numFmtId="43" fontId="9" fillId="0" borderId="15" xfId="1" applyFont="1" applyFill="1" applyBorder="1" applyAlignment="1">
      <alignment horizontal="right" vertical="center"/>
    </xf>
    <xf numFmtId="43" fontId="10" fillId="2" borderId="3" xfId="1" applyFont="1" applyFill="1" applyBorder="1" applyAlignment="1" applyProtection="1">
      <alignment horizontal="right" vertical="center"/>
    </xf>
    <xf numFmtId="43" fontId="10" fillId="4" borderId="3" xfId="1" applyFont="1" applyFill="1" applyBorder="1" applyAlignment="1" applyProtection="1">
      <alignment horizontal="right" vertical="center"/>
    </xf>
    <xf numFmtId="43" fontId="10" fillId="0" borderId="19" xfId="1" applyFont="1" applyBorder="1" applyAlignment="1">
      <alignment horizontal="right" vertical="center"/>
    </xf>
    <xf numFmtId="43" fontId="10" fillId="0" borderId="19" xfId="1" applyFont="1" applyFill="1" applyBorder="1" applyAlignment="1">
      <alignment horizontal="right" vertical="center"/>
    </xf>
    <xf numFmtId="43" fontId="10" fillId="2" borderId="21" xfId="1" applyFont="1" applyFill="1" applyBorder="1" applyAlignment="1" applyProtection="1">
      <alignment horizontal="right" vertical="center"/>
    </xf>
    <xf numFmtId="43" fontId="10" fillId="4" borderId="21" xfId="1" applyFont="1" applyFill="1" applyBorder="1" applyAlignment="1" applyProtection="1">
      <alignment horizontal="right" vertical="center"/>
    </xf>
    <xf numFmtId="43" fontId="9" fillId="0" borderId="15" xfId="1" applyFont="1" applyBorder="1" applyAlignment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0" fillId="0" borderId="29" xfId="1" applyFont="1" applyFill="1" applyBorder="1" applyAlignment="1">
      <alignment horizontal="right" vertical="center"/>
    </xf>
    <xf numFmtId="43" fontId="7" fillId="0" borderId="0" xfId="1" applyFont="1" applyAlignment="1">
      <alignment vertical="center"/>
    </xf>
    <xf numFmtId="0" fontId="47" fillId="0" borderId="5" xfId="5" applyFont="1" applyFill="1" applyBorder="1" applyAlignment="1" applyProtection="1">
      <alignment horizontal="center" vertical="center" wrapText="1"/>
    </xf>
    <xf numFmtId="0" fontId="48" fillId="0" borderId="5" xfId="5" applyFont="1" applyFill="1" applyBorder="1" applyAlignment="1" applyProtection="1">
      <alignment horizontal="center" vertical="center" wrapText="1"/>
    </xf>
    <xf numFmtId="0" fontId="44" fillId="0" borderId="7" xfId="5" applyFont="1" applyFill="1" applyBorder="1" applyAlignment="1" applyProtection="1">
      <alignment horizontal="center" vertical="center" wrapText="1"/>
    </xf>
    <xf numFmtId="0" fontId="51" fillId="0" borderId="7" xfId="5" applyFont="1" applyFill="1" applyBorder="1" applyAlignment="1" applyProtection="1">
      <alignment horizontal="center" vertical="center" wrapText="1"/>
    </xf>
    <xf numFmtId="0" fontId="44" fillId="24" borderId="7" xfId="5" applyFont="1" applyFill="1" applyBorder="1" applyAlignment="1" applyProtection="1">
      <alignment horizontal="center" vertical="center" wrapText="1"/>
    </xf>
    <xf numFmtId="0" fontId="47" fillId="0" borderId="7" xfId="5" applyFont="1" applyFill="1" applyBorder="1" applyAlignment="1" applyProtection="1">
      <alignment horizontal="center" vertical="center" wrapText="1"/>
    </xf>
    <xf numFmtId="0" fontId="44" fillId="0" borderId="7" xfId="5" applyFont="1" applyFill="1" applyBorder="1" applyAlignment="1">
      <alignment horizontal="center" vertical="center" wrapText="1"/>
    </xf>
    <xf numFmtId="0" fontId="53" fillId="0" borderId="7" xfId="5" applyFont="1" applyFill="1" applyBorder="1" applyAlignment="1" applyProtection="1">
      <alignment horizontal="center" vertical="center" wrapText="1"/>
    </xf>
    <xf numFmtId="0" fontId="44" fillId="24" borderId="7" xfId="5" applyFont="1" applyFill="1" applyBorder="1" applyAlignment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47" fillId="0" borderId="7" xfId="5" quotePrefix="1" applyFont="1" applyFill="1" applyBorder="1" applyAlignment="1" applyProtection="1">
      <alignment horizontal="center" vertical="center" wrapText="1"/>
    </xf>
    <xf numFmtId="0" fontId="47" fillId="24" borderId="7" xfId="5" applyFont="1" applyFill="1" applyBorder="1" applyAlignment="1" applyProtection="1">
      <alignment horizontal="center" vertical="center" wrapText="1"/>
    </xf>
    <xf numFmtId="0" fontId="44" fillId="24" borderId="59" xfId="5" applyFont="1" applyFill="1" applyBorder="1" applyAlignment="1" applyProtection="1">
      <alignment horizontal="center" vertical="center" wrapText="1"/>
    </xf>
    <xf numFmtId="0" fontId="39" fillId="3" borderId="31" xfId="4" applyFont="1" applyFill="1" applyBorder="1" applyAlignment="1">
      <alignment horizontal="center" vertical="center"/>
    </xf>
    <xf numFmtId="175" fontId="9" fillId="0" borderId="0" xfId="4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64" fontId="50" fillId="0" borderId="0" xfId="115" applyFont="1" applyFill="1" applyBorder="1" applyAlignment="1">
      <alignment horizontal="right" vertical="center" wrapText="1"/>
    </xf>
    <xf numFmtId="164" fontId="55" fillId="0" borderId="0" xfId="115" applyFont="1" applyFill="1" applyBorder="1" applyAlignment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6" fontId="9" fillId="0" borderId="3" xfId="2" quotePrefix="1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3" fontId="9" fillId="0" borderId="3" xfId="1" quotePrefix="1" applyFont="1" applyFill="1" applyBorder="1" applyAlignment="1" applyProtection="1">
      <alignment horizontal="center" vertical="center" wrapText="1"/>
    </xf>
    <xf numFmtId="43" fontId="9" fillId="0" borderId="60" xfId="1" quotePrefix="1" applyFont="1" applyFill="1" applyBorder="1" applyAlignment="1" applyProtection="1">
      <alignment horizontal="center" vertical="center" wrapText="1"/>
    </xf>
    <xf numFmtId="0" fontId="10" fillId="2" borderId="6" xfId="0" quotePrefix="1" applyFont="1" applyFill="1" applyBorder="1" applyAlignment="1" applyProtection="1">
      <alignment horizontal="left" vertical="center"/>
    </xf>
    <xf numFmtId="0" fontId="10" fillId="2" borderId="3" xfId="0" quotePrefix="1" applyFont="1" applyFill="1" applyBorder="1" applyAlignment="1" applyProtection="1">
      <alignment horizontal="left" vertical="center"/>
    </xf>
    <xf numFmtId="0" fontId="13" fillId="2" borderId="20" xfId="0" quotePrefix="1" applyFont="1" applyFill="1" applyBorder="1" applyAlignment="1" applyProtection="1">
      <alignment horizontal="left" vertical="center"/>
    </xf>
    <xf numFmtId="0" fontId="13" fillId="2" borderId="21" xfId="0" quotePrefix="1" applyFont="1" applyFill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 wrapText="1"/>
    </xf>
    <xf numFmtId="1" fontId="10" fillId="35" borderId="30" xfId="4" applyNumberFormat="1" applyFont="1" applyFill="1" applyBorder="1" applyAlignment="1">
      <alignment horizontal="center" vertical="center"/>
    </xf>
    <xf numFmtId="43" fontId="0" fillId="0" borderId="0" xfId="1" applyFont="1"/>
    <xf numFmtId="0" fontId="8" fillId="0" borderId="1" xfId="0" applyFont="1" applyFill="1" applyBorder="1" applyAlignment="1" applyProtection="1">
      <alignment horizontal="left" vertical="center"/>
    </xf>
    <xf numFmtId="0" fontId="0" fillId="0" borderId="0" xfId="0" applyFill="1"/>
    <xf numFmtId="0" fontId="59" fillId="0" borderId="0" xfId="0" applyFont="1"/>
    <xf numFmtId="164" fontId="47" fillId="24" borderId="33" xfId="115" applyFont="1" applyFill="1" applyBorder="1" applyAlignment="1" applyProtection="1">
      <alignment horizontal="center" vertical="center" wrapText="1"/>
    </xf>
    <xf numFmtId="164" fontId="47" fillId="0" borderId="0" xfId="115" applyFont="1" applyFill="1" applyBorder="1" applyAlignment="1" applyProtection="1">
      <alignment horizontal="center" vertical="center" wrapText="1"/>
    </xf>
    <xf numFmtId="0" fontId="6" fillId="0" borderId="0" xfId="0" applyFont="1"/>
    <xf numFmtId="0" fontId="44" fillId="24" borderId="0" xfId="4" applyFont="1" applyFill="1" applyAlignment="1">
      <alignment vertical="center" wrapText="1"/>
    </xf>
    <xf numFmtId="0" fontId="6" fillId="0" borderId="0" xfId="79" applyAlignment="1">
      <alignment vertical="center"/>
    </xf>
    <xf numFmtId="49" fontId="63" fillId="36" borderId="70" xfId="79" applyNumberFormat="1" applyFont="1" applyFill="1" applyBorder="1" applyAlignment="1">
      <alignment horizontal="center" vertical="center" wrapText="1"/>
    </xf>
    <xf numFmtId="49" fontId="58" fillId="0" borderId="73" xfId="79" applyNumberFormat="1" applyFont="1" applyFill="1" applyBorder="1" applyAlignment="1">
      <alignment vertical="center" wrapText="1"/>
    </xf>
    <xf numFmtId="0" fontId="58" fillId="0" borderId="66" xfId="79" applyFont="1" applyFill="1" applyBorder="1" applyAlignment="1">
      <alignment horizontal="left" vertical="center" wrapText="1"/>
    </xf>
    <xf numFmtId="49" fontId="58" fillId="0" borderId="66" xfId="79" applyNumberFormat="1" applyFont="1" applyFill="1" applyBorder="1" applyAlignment="1">
      <alignment horizontal="left" vertical="center" wrapText="1"/>
    </xf>
    <xf numFmtId="49" fontId="58" fillId="0" borderId="66" xfId="79" applyNumberFormat="1" applyFont="1" applyFill="1" applyBorder="1" applyAlignment="1">
      <alignment vertical="center" wrapText="1"/>
    </xf>
    <xf numFmtId="49" fontId="58" fillId="24" borderId="66" xfId="79" applyNumberFormat="1" applyFont="1" applyFill="1" applyBorder="1" applyAlignment="1">
      <alignment vertical="center" wrapText="1"/>
    </xf>
    <xf numFmtId="49" fontId="58" fillId="24" borderId="74" xfId="79" applyNumberFormat="1" applyFont="1" applyFill="1" applyBorder="1" applyAlignment="1">
      <alignment horizontal="left" vertical="center" wrapText="1"/>
    </xf>
    <xf numFmtId="49" fontId="64" fillId="4" borderId="76" xfId="79" applyNumberFormat="1" applyFont="1" applyFill="1" applyBorder="1" applyAlignment="1">
      <alignment horizontal="left" vertical="center" wrapText="1"/>
    </xf>
    <xf numFmtId="49" fontId="57" fillId="24" borderId="78" xfId="79" applyNumberFormat="1" applyFont="1" applyFill="1" applyBorder="1" applyAlignment="1">
      <alignment horizontal="left" vertical="center" wrapText="1"/>
    </xf>
    <xf numFmtId="49" fontId="57" fillId="24" borderId="79" xfId="79" applyNumberFormat="1" applyFont="1" applyFill="1" applyBorder="1" applyAlignment="1">
      <alignment horizontal="left" vertical="center" wrapText="1"/>
    </xf>
    <xf numFmtId="49" fontId="57" fillId="24" borderId="80" xfId="79" applyNumberFormat="1" applyFont="1" applyFill="1" applyBorder="1" applyAlignment="1">
      <alignment horizontal="left" vertical="center" wrapText="1"/>
    </xf>
    <xf numFmtId="49" fontId="57" fillId="24" borderId="63" xfId="79" applyNumberFormat="1" applyFont="1" applyFill="1" applyBorder="1" applyAlignment="1">
      <alignment horizontal="left" vertical="center" wrapText="1"/>
    </xf>
    <xf numFmtId="0" fontId="58" fillId="0" borderId="73" xfId="79" applyFont="1" applyFill="1" applyBorder="1" applyAlignment="1">
      <alignment vertical="center"/>
    </xf>
    <xf numFmtId="0" fontId="6" fillId="0" borderId="66" xfId="79" applyFont="1" applyFill="1" applyBorder="1" applyAlignment="1">
      <alignment vertical="center"/>
    </xf>
    <xf numFmtId="0" fontId="59" fillId="0" borderId="67" xfId="79" quotePrefix="1" applyFont="1" applyFill="1" applyBorder="1" applyAlignment="1">
      <alignment horizontal="center" vertical="center"/>
    </xf>
    <xf numFmtId="0" fontId="6" fillId="24" borderId="66" xfId="79" applyFont="1" applyFill="1" applyBorder="1" applyAlignment="1">
      <alignment vertical="center"/>
    </xf>
    <xf numFmtId="0" fontId="58" fillId="0" borderId="66" xfId="79" applyFont="1" applyFill="1" applyBorder="1" applyAlignment="1">
      <alignment vertical="center"/>
    </xf>
    <xf numFmtId="49" fontId="59" fillId="0" borderId="66" xfId="79" applyNumberFormat="1" applyFont="1" applyFill="1" applyBorder="1" applyAlignment="1">
      <alignment horizontal="left" vertical="center"/>
    </xf>
    <xf numFmtId="0" fontId="59" fillId="0" borderId="67" xfId="79" applyFont="1" applyFill="1" applyBorder="1" applyAlignment="1">
      <alignment horizontal="center" vertical="center"/>
    </xf>
    <xf numFmtId="49" fontId="58" fillId="0" borderId="66" xfId="79" applyNumberFormat="1" applyFont="1" applyFill="1" applyBorder="1" applyAlignment="1">
      <alignment vertical="center"/>
    </xf>
    <xf numFmtId="0" fontId="59" fillId="0" borderId="66" xfId="79" applyFont="1" applyFill="1" applyBorder="1" applyAlignment="1">
      <alignment horizontal="left" vertical="center"/>
    </xf>
    <xf numFmtId="0" fontId="59" fillId="24" borderId="66" xfId="79" applyFont="1" applyFill="1" applyBorder="1" applyAlignment="1">
      <alignment horizontal="left" vertical="center"/>
    </xf>
    <xf numFmtId="0" fontId="58" fillId="0" borderId="66" xfId="79" applyFont="1" applyFill="1" applyBorder="1" applyAlignment="1">
      <alignment horizontal="left" vertical="center"/>
    </xf>
    <xf numFmtId="49" fontId="58" fillId="0" borderId="66" xfId="79" applyNumberFormat="1" applyFont="1" applyFill="1" applyBorder="1" applyAlignment="1">
      <alignment horizontal="left" vertical="center"/>
    </xf>
    <xf numFmtId="49" fontId="58" fillId="24" borderId="66" xfId="79" applyNumberFormat="1" applyFont="1" applyFill="1" applyBorder="1" applyAlignment="1">
      <alignment vertical="center"/>
    </xf>
    <xf numFmtId="49" fontId="58" fillId="24" borderId="74" xfId="79" applyNumberFormat="1" applyFont="1" applyFill="1" applyBorder="1" applyAlignment="1">
      <alignment vertical="center"/>
    </xf>
    <xf numFmtId="0" fontId="64" fillId="4" borderId="76" xfId="79" applyFont="1" applyFill="1" applyBorder="1" applyAlignment="1">
      <alignment horizontal="left" vertical="center" wrapText="1"/>
    </xf>
    <xf numFmtId="0" fontId="64" fillId="37" borderId="81" xfId="79" applyFont="1" applyFill="1" applyBorder="1" applyAlignment="1">
      <alignment horizontal="left" vertical="center" wrapText="1"/>
    </xf>
    <xf numFmtId="0" fontId="6" fillId="37" borderId="82" xfId="79" applyFill="1" applyBorder="1" applyAlignment="1">
      <alignment vertical="center"/>
    </xf>
    <xf numFmtId="49" fontId="6" fillId="0" borderId="83" xfId="5" applyNumberFormat="1" applyFont="1" applyFill="1" applyBorder="1" applyAlignment="1" applyProtection="1">
      <alignment horizontal="center" vertical="center" wrapText="1"/>
    </xf>
    <xf numFmtId="49" fontId="6" fillId="0" borderId="84" xfId="5" applyNumberFormat="1" applyFont="1" applyFill="1" applyBorder="1" applyAlignment="1" applyProtection="1">
      <alignment horizontal="center" vertical="center" wrapText="1"/>
    </xf>
    <xf numFmtId="43" fontId="6" fillId="24" borderId="84" xfId="125" applyFont="1" applyFill="1" applyBorder="1" applyAlignment="1" applyProtection="1">
      <alignment horizontal="center" vertical="center" wrapText="1"/>
    </xf>
    <xf numFmtId="49" fontId="6" fillId="24" borderId="84" xfId="5" applyNumberFormat="1" applyFont="1" applyFill="1" applyBorder="1" applyAlignment="1" applyProtection="1">
      <alignment horizontal="center" vertical="center" wrapText="1"/>
    </xf>
    <xf numFmtId="49" fontId="6" fillId="24" borderId="85" xfId="5" applyNumberFormat="1" applyFont="1" applyFill="1" applyBorder="1" applyAlignment="1" applyProtection="1">
      <alignment horizontal="center" vertical="center" wrapText="1"/>
    </xf>
    <xf numFmtId="49" fontId="58" fillId="4" borderId="86" xfId="79" applyNumberFormat="1" applyFont="1" applyFill="1" applyBorder="1" applyAlignment="1">
      <alignment horizontal="left" vertical="center" wrapText="1"/>
    </xf>
    <xf numFmtId="0" fontId="0" fillId="0" borderId="3" xfId="0" applyBorder="1"/>
    <xf numFmtId="0" fontId="6" fillId="24" borderId="83" xfId="79" applyFont="1" applyFill="1" applyBorder="1" applyAlignment="1">
      <alignment horizontal="center" vertical="center"/>
    </xf>
    <xf numFmtId="49" fontId="6" fillId="0" borderId="84" xfId="79" applyNumberFormat="1" applyFont="1" applyFill="1" applyBorder="1" applyAlignment="1">
      <alignment horizontal="center" vertical="center" wrapText="1"/>
    </xf>
    <xf numFmtId="49" fontId="6" fillId="0" borderId="84" xfId="79" applyNumberFormat="1" applyFont="1" applyFill="1" applyBorder="1" applyAlignment="1">
      <alignment horizontal="center" vertical="center"/>
    </xf>
    <xf numFmtId="49" fontId="6" fillId="24" borderId="84" xfId="79" applyNumberFormat="1" applyFont="1" applyFill="1" applyBorder="1" applyAlignment="1">
      <alignment horizontal="center" vertical="center"/>
    </xf>
    <xf numFmtId="3" fontId="6" fillId="0" borderId="84" xfId="79" applyNumberFormat="1" applyFont="1" applyFill="1" applyBorder="1" applyAlignment="1">
      <alignment horizontal="center" vertical="center" wrapText="1"/>
    </xf>
    <xf numFmtId="0" fontId="6" fillId="0" borderId="84" xfId="79" applyFont="1" applyFill="1" applyBorder="1" applyAlignment="1">
      <alignment horizontal="center" vertical="center"/>
    </xf>
    <xf numFmtId="0" fontId="6" fillId="24" borderId="84" xfId="79" applyFont="1" applyFill="1" applyBorder="1" applyAlignment="1">
      <alignment horizontal="center" vertical="center" wrapText="1"/>
    </xf>
    <xf numFmtId="0" fontId="6" fillId="0" borderId="84" xfId="79" quotePrefix="1" applyFont="1" applyFill="1" applyBorder="1" applyAlignment="1">
      <alignment horizontal="center" vertical="center"/>
    </xf>
    <xf numFmtId="0" fontId="6" fillId="0" borderId="84" xfId="79" quotePrefix="1" applyFont="1" applyFill="1" applyBorder="1" applyAlignment="1">
      <alignment horizontal="center" vertical="center" wrapText="1"/>
    </xf>
    <xf numFmtId="0" fontId="6" fillId="24" borderId="85" xfId="79" quotePrefix="1" applyFont="1" applyFill="1" applyBorder="1" applyAlignment="1">
      <alignment horizontal="center" vertical="center" wrapText="1"/>
    </xf>
    <xf numFmtId="49" fontId="57" fillId="4" borderId="86" xfId="79" applyNumberFormat="1" applyFont="1" applyFill="1" applyBorder="1" applyAlignment="1">
      <alignment horizontal="left" vertical="center" wrapText="1"/>
    </xf>
    <xf numFmtId="0" fontId="65" fillId="36" borderId="64" xfId="79" applyFont="1" applyFill="1" applyBorder="1" applyAlignment="1">
      <alignment horizontal="center" vertical="center"/>
    </xf>
    <xf numFmtId="0" fontId="65" fillId="36" borderId="67" xfId="79" applyFont="1" applyFill="1" applyBorder="1" applyAlignment="1">
      <alignment horizontal="center" vertical="center"/>
    </xf>
    <xf numFmtId="0" fontId="65" fillId="36" borderId="71" xfId="79" applyFont="1" applyFill="1" applyBorder="1" applyAlignment="1">
      <alignment horizontal="center" vertical="center"/>
    </xf>
    <xf numFmtId="2" fontId="65" fillId="0" borderId="69" xfId="5" applyNumberFormat="1" applyFont="1" applyFill="1" applyBorder="1" applyAlignment="1" applyProtection="1">
      <alignment horizontal="center" vertical="center" wrapText="1"/>
    </xf>
    <xf numFmtId="1" fontId="65" fillId="0" borderId="67" xfId="5" applyNumberFormat="1" applyFont="1" applyFill="1" applyBorder="1" applyAlignment="1" applyProtection="1">
      <alignment horizontal="center" vertical="center" wrapText="1"/>
    </xf>
    <xf numFmtId="1" fontId="65" fillId="0" borderId="75" xfId="5" applyNumberFormat="1" applyFont="1" applyFill="1" applyBorder="1" applyAlignment="1" applyProtection="1">
      <alignment horizontal="center" vertical="center" wrapText="1"/>
    </xf>
    <xf numFmtId="49" fontId="66" fillId="4" borderId="77" xfId="79" applyNumberFormat="1" applyFont="1" applyFill="1" applyBorder="1" applyAlignment="1">
      <alignment horizontal="center" vertical="center" wrapText="1"/>
    </xf>
    <xf numFmtId="49" fontId="65" fillId="24" borderId="79" xfId="79" applyNumberFormat="1" applyFont="1" applyFill="1" applyBorder="1" applyAlignment="1">
      <alignment horizontal="left" vertical="center" wrapText="1"/>
    </xf>
    <xf numFmtId="49" fontId="65" fillId="24" borderId="63" xfId="79" applyNumberFormat="1" applyFont="1" applyFill="1" applyBorder="1" applyAlignment="1">
      <alignment horizontal="left" vertical="center" wrapText="1"/>
    </xf>
    <xf numFmtId="49" fontId="65" fillId="36" borderId="71" xfId="79" applyNumberFormat="1" applyFont="1" applyFill="1" applyBorder="1" applyAlignment="1">
      <alignment horizontal="center" vertical="center" wrapText="1"/>
    </xf>
    <xf numFmtId="49" fontId="65" fillId="0" borderId="69" xfId="79" applyNumberFormat="1" applyFont="1" applyFill="1" applyBorder="1" applyAlignment="1">
      <alignment horizontal="center" vertical="center" wrapText="1"/>
    </xf>
    <xf numFmtId="0" fontId="65" fillId="0" borderId="67" xfId="79" quotePrefix="1" applyFont="1" applyFill="1" applyBorder="1" applyAlignment="1">
      <alignment horizontal="center" vertical="center"/>
    </xf>
    <xf numFmtId="0" fontId="65" fillId="0" borderId="67" xfId="79" quotePrefix="1" applyFont="1" applyFill="1" applyBorder="1" applyAlignment="1">
      <alignment horizontal="center" vertical="center" wrapText="1"/>
    </xf>
    <xf numFmtId="0" fontId="65" fillId="0" borderId="75" xfId="79" quotePrefix="1" applyFont="1" applyFill="1" applyBorder="1" applyAlignment="1">
      <alignment horizontal="center" vertical="center"/>
    </xf>
    <xf numFmtId="0" fontId="65" fillId="4" borderId="77" xfId="79" applyFont="1" applyFill="1" applyBorder="1" applyAlignment="1">
      <alignment horizontal="center" vertical="center" wrapText="1"/>
    </xf>
    <xf numFmtId="0" fontId="65" fillId="0" borderId="0" xfId="79" applyFont="1" applyAlignment="1">
      <alignment vertical="center"/>
    </xf>
    <xf numFmtId="0" fontId="65" fillId="37" borderId="82" xfId="79" applyFont="1" applyFill="1" applyBorder="1" applyAlignment="1">
      <alignment horizontal="center" vertical="center" wrapText="1"/>
    </xf>
    <xf numFmtId="0" fontId="47" fillId="0" borderId="30" xfId="5" applyFont="1" applyFill="1" applyBorder="1" applyAlignment="1" applyProtection="1">
      <alignment horizontal="center" vertical="center" wrapText="1"/>
    </xf>
    <xf numFmtId="166" fontId="9" fillId="0" borderId="3" xfId="2" quotePrefix="1" applyNumberFormat="1" applyFont="1" applyFill="1" applyBorder="1" applyAlignment="1" applyProtection="1">
      <alignment horizontal="right" vertical="center"/>
    </xf>
    <xf numFmtId="10" fontId="10" fillId="0" borderId="51" xfId="3" applyNumberFormat="1" applyFont="1" applyFill="1" applyBorder="1" applyAlignment="1">
      <alignment horizontal="right" vertical="center"/>
    </xf>
    <xf numFmtId="10" fontId="7" fillId="0" borderId="0" xfId="0" applyNumberFormat="1" applyFont="1" applyFill="1" applyAlignment="1">
      <alignment horizontal="right" vertical="center" wrapText="1"/>
    </xf>
    <xf numFmtId="10" fontId="7" fillId="0" borderId="0" xfId="2" applyNumberFormat="1" applyFont="1" applyFill="1" applyAlignment="1">
      <alignment horizontal="right" vertical="center" wrapText="1"/>
    </xf>
    <xf numFmtId="166" fontId="7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51" xfId="3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41" fillId="23" borderId="0" xfId="1" applyFont="1" applyFill="1" applyAlignment="1">
      <alignment vertical="center"/>
    </xf>
    <xf numFmtId="43" fontId="45" fillId="23" borderId="0" xfId="1" applyFont="1" applyFill="1" applyAlignment="1">
      <alignment horizontal="center" vertical="center" wrapText="1"/>
    </xf>
    <xf numFmtId="43" fontId="41" fillId="23" borderId="0" xfId="1" applyFont="1" applyFill="1" applyAlignment="1">
      <alignment horizontal="center" vertical="center"/>
    </xf>
    <xf numFmtId="43" fontId="45" fillId="3" borderId="31" xfId="1" applyFont="1" applyFill="1" applyBorder="1" applyAlignment="1">
      <alignment horizontal="center" vertical="center"/>
    </xf>
    <xf numFmtId="0" fontId="39" fillId="3" borderId="30" xfId="4" applyFont="1" applyFill="1" applyBorder="1" applyAlignment="1">
      <alignment horizontal="left" vertical="center"/>
    </xf>
    <xf numFmtId="43" fontId="41" fillId="23" borderId="24" xfId="1" applyFont="1" applyFill="1" applyBorder="1" applyAlignment="1">
      <alignment horizontal="center" vertical="center"/>
    </xf>
    <xf numFmtId="0" fontId="44" fillId="23" borderId="23" xfId="4" applyFont="1" applyFill="1" applyBorder="1" applyAlignment="1">
      <alignment horizontal="center" vertical="center"/>
    </xf>
    <xf numFmtId="0" fontId="44" fillId="23" borderId="13" xfId="4" applyFont="1" applyFill="1" applyBorder="1" applyAlignment="1">
      <alignment horizontal="left" vertical="center"/>
    </xf>
    <xf numFmtId="43" fontId="41" fillId="23" borderId="0" xfId="1" applyFont="1" applyFill="1" applyBorder="1" applyAlignment="1">
      <alignment horizontal="center" vertical="center"/>
    </xf>
    <xf numFmtId="0" fontId="44" fillId="23" borderId="13" xfId="4" applyFont="1" applyFill="1" applyBorder="1" applyAlignment="1">
      <alignment horizontal="center" vertical="center"/>
    </xf>
    <xf numFmtId="43" fontId="41" fillId="23" borderId="27" xfId="1" applyFont="1" applyFill="1" applyBorder="1" applyAlignment="1">
      <alignment horizontal="center" vertical="center"/>
    </xf>
    <xf numFmtId="0" fontId="44" fillId="23" borderId="49" xfId="4" applyFont="1" applyFill="1" applyBorder="1" applyAlignment="1">
      <alignment horizontal="center" vertical="center"/>
    </xf>
    <xf numFmtId="0" fontId="39" fillId="23" borderId="48" xfId="4" applyFont="1" applyFill="1" applyBorder="1" applyAlignment="1">
      <alignment horizontal="center" vertical="center"/>
    </xf>
    <xf numFmtId="0" fontId="44" fillId="24" borderId="34" xfId="4" applyFont="1" applyFill="1" applyBorder="1" applyAlignment="1">
      <alignment horizontal="center" vertical="center"/>
    </xf>
    <xf numFmtId="164" fontId="41" fillId="24" borderId="34" xfId="115" applyFont="1" applyFill="1" applyBorder="1" applyAlignment="1">
      <alignment horizontal="center" vertical="center"/>
    </xf>
    <xf numFmtId="166" fontId="67" fillId="0" borderId="3" xfId="2" quotePrefix="1" applyNumberFormat="1" applyFont="1" applyFill="1" applyBorder="1" applyAlignment="1" applyProtection="1">
      <alignment horizontal="center" vertical="center" wrapText="1"/>
    </xf>
    <xf numFmtId="10" fontId="67" fillId="0" borderId="7" xfId="2" quotePrefix="1" applyNumberFormat="1" applyFont="1" applyFill="1" applyBorder="1" applyAlignment="1" applyProtection="1">
      <alignment horizontal="center" vertical="center" wrapText="1"/>
    </xf>
    <xf numFmtId="0" fontId="60" fillId="0" borderId="0" xfId="0" applyFont="1" applyAlignment="1"/>
    <xf numFmtId="0" fontId="46" fillId="24" borderId="0" xfId="4" applyFont="1" applyFill="1" applyAlignment="1">
      <alignment horizontal="center" vertical="center"/>
    </xf>
    <xf numFmtId="0" fontId="46" fillId="0" borderId="0" xfId="4" applyFont="1" applyFill="1" applyAlignment="1">
      <alignment vertical="center"/>
    </xf>
    <xf numFmtId="164" fontId="41" fillId="24" borderId="0" xfId="115" applyFont="1" applyFill="1" applyBorder="1" applyAlignment="1">
      <alignment horizontal="center" vertical="center"/>
    </xf>
    <xf numFmtId="0" fontId="5" fillId="35" borderId="33" xfId="5" applyFont="1" applyFill="1" applyBorder="1" applyAlignment="1" applyProtection="1">
      <alignment horizontal="center" vertical="center" wrapText="1"/>
    </xf>
    <xf numFmtId="43" fontId="5" fillId="35" borderId="33" xfId="1" applyFont="1" applyFill="1" applyBorder="1" applyAlignment="1" applyProtection="1">
      <alignment horizontal="center" vertical="center" wrapText="1"/>
    </xf>
    <xf numFmtId="0" fontId="69" fillId="39" borderId="3" xfId="79" applyFont="1" applyFill="1" applyBorder="1" applyAlignment="1">
      <alignment horizontal="left" vertical="center" wrapText="1"/>
    </xf>
    <xf numFmtId="0" fontId="7" fillId="39" borderId="3" xfId="79" applyFont="1" applyFill="1" applyBorder="1" applyAlignment="1">
      <alignment horizontal="left" vertical="center" wrapText="1"/>
    </xf>
    <xf numFmtId="0" fontId="69" fillId="39" borderId="3" xfId="79" applyFont="1" applyFill="1" applyBorder="1" applyAlignment="1">
      <alignment horizontal="center" vertical="center" wrapText="1"/>
    </xf>
    <xf numFmtId="0" fontId="71" fillId="0" borderId="3" xfId="79" applyFont="1" applyBorder="1" applyAlignment="1">
      <alignment horizontal="left" vertical="center" wrapText="1"/>
    </xf>
    <xf numFmtId="0" fontId="71" fillId="0" borderId="3" xfId="5" applyFont="1" applyBorder="1" applyAlignment="1">
      <alignment horizontal="left" vertical="center" wrapText="1"/>
    </xf>
    <xf numFmtId="0" fontId="71" fillId="0" borderId="3" xfId="5" applyFont="1" applyBorder="1" applyAlignment="1">
      <alignment horizontal="center" vertical="center" wrapText="1"/>
    </xf>
    <xf numFmtId="0" fontId="71" fillId="0" borderId="3" xfId="79" quotePrefix="1" applyFont="1" applyBorder="1" applyAlignment="1">
      <alignment horizontal="left" vertical="center" wrapText="1"/>
    </xf>
    <xf numFmtId="0" fontId="71" fillId="4" borderId="3" xfId="79" applyFont="1" applyFill="1" applyBorder="1" applyAlignment="1">
      <alignment horizontal="left" vertical="center" wrapText="1"/>
    </xf>
    <xf numFmtId="0" fontId="71" fillId="4" borderId="3" xfId="5" applyFont="1" applyFill="1" applyBorder="1" applyAlignment="1">
      <alignment horizontal="left" vertical="center" wrapText="1"/>
    </xf>
    <xf numFmtId="0" fontId="71" fillId="4" borderId="3" xfId="5" applyFont="1" applyFill="1" applyBorder="1" applyAlignment="1">
      <alignment horizontal="center" vertical="center" wrapText="1"/>
    </xf>
    <xf numFmtId="43" fontId="69" fillId="39" borderId="3" xfId="1" applyFont="1" applyFill="1" applyBorder="1" applyAlignment="1">
      <alignment horizontal="left" vertical="center" wrapText="1"/>
    </xf>
    <xf numFmtId="0" fontId="7" fillId="39" borderId="3" xfId="79" applyFont="1" applyFill="1" applyBorder="1" applyAlignment="1">
      <alignment horizontal="center" vertical="center" wrapText="1"/>
    </xf>
    <xf numFmtId="0" fontId="71" fillId="0" borderId="3" xfId="79" applyFont="1" applyBorder="1" applyAlignment="1">
      <alignment horizontal="center" vertical="center"/>
    </xf>
    <xf numFmtId="0" fontId="71" fillId="0" borderId="3" xfId="79" applyFont="1" applyFill="1" applyBorder="1" applyAlignment="1">
      <alignment horizontal="left" vertical="center" wrapText="1"/>
    </xf>
    <xf numFmtId="0" fontId="71" fillId="0" borderId="3" xfId="79" quotePrefix="1" applyFont="1" applyFill="1" applyBorder="1" applyAlignment="1">
      <alignment horizontal="left" vertical="center" wrapText="1"/>
    </xf>
    <xf numFmtId="0" fontId="71" fillId="0" borderId="3" xfId="5" applyFont="1" applyFill="1" applyBorder="1" applyAlignment="1">
      <alignment horizontal="left" vertical="center" wrapText="1"/>
    </xf>
    <xf numFmtId="0" fontId="71" fillId="0" borderId="3" xfId="79" applyFont="1" applyFill="1" applyBorder="1" applyAlignment="1">
      <alignment horizontal="center" vertical="center"/>
    </xf>
    <xf numFmtId="0" fontId="7" fillId="4" borderId="3" xfId="79" applyFont="1" applyFill="1" applyBorder="1" applyAlignment="1">
      <alignment horizontal="center" vertical="center"/>
    </xf>
    <xf numFmtId="0" fontId="7" fillId="4" borderId="3" xfId="79" applyFont="1" applyFill="1" applyBorder="1" applyAlignment="1">
      <alignment horizontal="center" vertical="center" wrapText="1"/>
    </xf>
    <xf numFmtId="0" fontId="71" fillId="4" borderId="3" xfId="79" applyFont="1" applyFill="1" applyBorder="1" applyAlignment="1">
      <alignment horizontal="center" vertical="center"/>
    </xf>
    <xf numFmtId="43" fontId="6" fillId="0" borderId="0" xfId="1" applyFont="1"/>
    <xf numFmtId="43" fontId="7" fillId="39" borderId="3" xfId="1" applyFont="1" applyFill="1" applyBorder="1" applyAlignment="1">
      <alignment horizontal="center" vertical="center" wrapText="1"/>
    </xf>
    <xf numFmtId="43" fontId="69" fillId="39" borderId="3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Fill="1"/>
    <xf numFmtId="43" fontId="7" fillId="4" borderId="3" xfId="1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 wrapText="1"/>
    </xf>
    <xf numFmtId="43" fontId="7" fillId="39" borderId="3" xfId="1" applyFont="1" applyFill="1" applyBorder="1" applyAlignment="1">
      <alignment horizontal="left" vertical="center" wrapText="1"/>
    </xf>
    <xf numFmtId="0" fontId="7" fillId="39" borderId="34" xfId="79" applyFont="1" applyFill="1" applyBorder="1" applyAlignment="1">
      <alignment horizontal="left" vertical="center" wrapText="1"/>
    </xf>
    <xf numFmtId="0" fontId="7" fillId="39" borderId="34" xfId="79" applyFont="1" applyFill="1" applyBorder="1" applyAlignment="1">
      <alignment horizontal="center" vertical="center" wrapText="1"/>
    </xf>
    <xf numFmtId="43" fontId="7" fillId="39" borderId="34" xfId="1" applyFont="1" applyFill="1" applyBorder="1" applyAlignment="1">
      <alignment horizontal="center" vertical="center" wrapText="1"/>
    </xf>
    <xf numFmtId="43" fontId="58" fillId="0" borderId="0" xfId="1" applyFont="1"/>
    <xf numFmtId="0" fontId="58" fillId="0" borderId="0" xfId="0" applyFont="1"/>
    <xf numFmtId="0" fontId="44" fillId="23" borderId="91" xfId="4" applyFont="1" applyFill="1" applyBorder="1" applyAlignment="1">
      <alignment horizontal="center" vertical="center"/>
    </xf>
    <xf numFmtId="164" fontId="47" fillId="24" borderId="33" xfId="115" quotePrefix="1" applyFont="1" applyFill="1" applyBorder="1" applyAlignment="1" applyProtection="1">
      <alignment horizontal="center" vertical="center" wrapText="1"/>
    </xf>
    <xf numFmtId="43" fontId="5" fillId="4" borderId="33" xfId="1" applyFont="1" applyFill="1" applyBorder="1" applyAlignment="1" applyProtection="1">
      <alignment horizontal="center" vertical="center" wrapText="1"/>
    </xf>
    <xf numFmtId="43" fontId="7" fillId="0" borderId="54" xfId="1" applyFont="1" applyFill="1" applyBorder="1" applyAlignment="1" applyProtection="1">
      <alignment horizontal="right" vertical="center"/>
    </xf>
    <xf numFmtId="43" fontId="7" fillId="0" borderId="54" xfId="1" applyFont="1" applyFill="1" applyBorder="1" applyAlignment="1" applyProtection="1">
      <alignment horizontal="right" vertical="center" wrapText="1"/>
    </xf>
    <xf numFmtId="43" fontId="73" fillId="0" borderId="54" xfId="1" applyFont="1" applyFill="1" applyBorder="1" applyAlignment="1" applyProtection="1">
      <alignment horizontal="right" vertical="center"/>
    </xf>
    <xf numFmtId="43" fontId="7" fillId="0" borderId="92" xfId="1" applyFont="1" applyFill="1" applyBorder="1" applyAlignment="1" applyProtection="1">
      <alignment horizontal="right" vertical="center"/>
    </xf>
    <xf numFmtId="43" fontId="7" fillId="0" borderId="54" xfId="1" applyNumberFormat="1" applyFont="1" applyFill="1" applyBorder="1" applyAlignment="1" applyProtection="1">
      <alignment horizontal="right" vertical="center"/>
    </xf>
    <xf numFmtId="43" fontId="7" fillId="0" borderId="56" xfId="1" applyFont="1" applyFill="1" applyBorder="1" applyAlignment="1" applyProtection="1">
      <alignment horizontal="right" vertical="center"/>
    </xf>
    <xf numFmtId="43" fontId="7" fillId="0" borderId="3" xfId="1" applyFont="1" applyFill="1" applyBorder="1" applyAlignment="1" applyProtection="1">
      <alignment horizontal="right" vertical="center" wrapText="1"/>
    </xf>
    <xf numFmtId="43" fontId="7" fillId="0" borderId="3" xfId="1" applyFont="1" applyBorder="1" applyAlignment="1">
      <alignment horizontal="center" vertical="center"/>
    </xf>
    <xf numFmtId="43" fontId="7" fillId="0" borderId="3" xfId="1" applyFont="1" applyFill="1" applyBorder="1" applyAlignment="1" applyProtection="1">
      <alignment horizontal="right" vertical="center"/>
    </xf>
    <xf numFmtId="43" fontId="7" fillId="0" borderId="3" xfId="1" applyFont="1" applyFill="1" applyBorder="1" applyAlignment="1">
      <alignment horizontal="center" vertical="center"/>
    </xf>
    <xf numFmtId="43" fontId="7" fillId="0" borderId="3" xfId="1" applyFont="1" applyBorder="1" applyAlignment="1">
      <alignment horizontal="left" vertical="center" wrapText="1"/>
    </xf>
    <xf numFmtId="43" fontId="7" fillId="0" borderId="3" xfId="1" applyFont="1" applyFill="1" applyBorder="1" applyAlignment="1">
      <alignment horizontal="left" vertical="center" wrapText="1"/>
    </xf>
    <xf numFmtId="43" fontId="7" fillId="4" borderId="3" xfId="1" applyFont="1" applyFill="1" applyBorder="1" applyAlignment="1">
      <alignment horizontal="left" vertical="center" wrapText="1"/>
    </xf>
    <xf numFmtId="43" fontId="7" fillId="0" borderId="3" xfId="1" applyFont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right" vertical="center" wrapText="1"/>
    </xf>
    <xf numFmtId="43" fontId="5" fillId="0" borderId="3" xfId="1" applyFont="1" applyBorder="1" applyAlignment="1">
      <alignment horizontal="center" vertical="center"/>
    </xf>
    <xf numFmtId="43" fontId="5" fillId="39" borderId="3" xfId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0" fontId="71" fillId="39" borderId="93" xfId="79" applyFont="1" applyFill="1" applyBorder="1" applyAlignment="1">
      <alignment horizontal="left" vertical="center" wrapText="1"/>
    </xf>
    <xf numFmtId="43" fontId="7" fillId="39" borderId="91" xfId="1" applyFont="1" applyFill="1" applyBorder="1" applyAlignment="1">
      <alignment horizontal="center" vertical="center" wrapText="1"/>
    </xf>
    <xf numFmtId="0" fontId="11" fillId="39" borderId="6" xfId="79" applyFont="1" applyFill="1" applyBorder="1" applyAlignment="1">
      <alignment horizontal="left" vertical="center" wrapText="1"/>
    </xf>
    <xf numFmtId="43" fontId="7" fillId="39" borderId="7" xfId="1" applyFont="1" applyFill="1" applyBorder="1" applyAlignment="1">
      <alignment horizontal="center" vertical="center" wrapText="1"/>
    </xf>
    <xf numFmtId="0" fontId="71" fillId="0" borderId="6" xfId="79" applyFont="1" applyBorder="1" applyAlignment="1">
      <alignment horizontal="left" vertical="center" wrapText="1"/>
    </xf>
    <xf numFmtId="43" fontId="7" fillId="0" borderId="7" xfId="1" applyFont="1" applyFill="1" applyBorder="1" applyAlignment="1" applyProtection="1">
      <alignment horizontal="right" vertical="center" wrapText="1"/>
    </xf>
    <xf numFmtId="43" fontId="7" fillId="0" borderId="7" xfId="1" applyFont="1" applyBorder="1" applyAlignment="1">
      <alignment horizontal="center" vertical="center"/>
    </xf>
    <xf numFmtId="43" fontId="7" fillId="0" borderId="91" xfId="1" applyFont="1" applyFill="1" applyBorder="1" applyAlignment="1" applyProtection="1">
      <alignment horizontal="right" vertical="center" wrapText="1"/>
    </xf>
    <xf numFmtId="43" fontId="7" fillId="0" borderId="7" xfId="1" applyFont="1" applyFill="1" applyBorder="1" applyAlignment="1" applyProtection="1">
      <alignment horizontal="right" vertical="center"/>
    </xf>
    <xf numFmtId="0" fontId="71" fillId="0" borderId="6" xfId="79" applyFont="1" applyFill="1" applyBorder="1" applyAlignment="1">
      <alignment horizontal="left" vertical="center" wrapText="1"/>
    </xf>
    <xf numFmtId="43" fontId="7" fillId="0" borderId="7" xfId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right" vertical="center"/>
    </xf>
    <xf numFmtId="0" fontId="71" fillId="4" borderId="6" xfId="79" applyFont="1" applyFill="1" applyBorder="1" applyAlignment="1">
      <alignment horizontal="left" vertical="center" wrapText="1"/>
    </xf>
    <xf numFmtId="43" fontId="7" fillId="4" borderId="7" xfId="1" applyFont="1" applyFill="1" applyBorder="1" applyAlignment="1">
      <alignment horizontal="center" vertical="center"/>
    </xf>
    <xf numFmtId="43" fontId="7" fillId="4" borderId="7" xfId="1" applyFont="1" applyFill="1" applyBorder="1" applyAlignment="1">
      <alignment horizontal="center" vertical="center" wrapText="1"/>
    </xf>
    <xf numFmtId="0" fontId="11" fillId="4" borderId="6" xfId="79" applyFont="1" applyFill="1" applyBorder="1" applyAlignment="1">
      <alignment horizontal="left" vertical="center" wrapText="1"/>
    </xf>
    <xf numFmtId="0" fontId="71" fillId="39" borderId="6" xfId="79" applyFont="1" applyFill="1" applyBorder="1" applyAlignment="1">
      <alignment horizontal="left" vertical="center" wrapText="1"/>
    </xf>
    <xf numFmtId="43" fontId="7" fillId="39" borderId="7" xfId="1" applyFont="1" applyFill="1" applyBorder="1" applyAlignment="1">
      <alignment horizontal="left" vertical="center" wrapText="1"/>
    </xf>
    <xf numFmtId="0" fontId="68" fillId="39" borderId="6" xfId="79" applyFont="1" applyFill="1" applyBorder="1" applyAlignment="1">
      <alignment horizontal="left" vertical="center" wrapText="1"/>
    </xf>
    <xf numFmtId="43" fontId="69" fillId="39" borderId="7" xfId="1" applyFont="1" applyFill="1" applyBorder="1" applyAlignment="1">
      <alignment horizontal="center" vertical="center" wrapText="1"/>
    </xf>
    <xf numFmtId="0" fontId="71" fillId="0" borderId="95" xfId="79" applyFont="1" applyBorder="1" applyAlignment="1">
      <alignment horizontal="left" vertical="center" wrapText="1"/>
    </xf>
    <xf numFmtId="0" fontId="71" fillId="0" borderId="95" xfId="5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43" fontId="5" fillId="39" borderId="3" xfId="1" applyFont="1" applyFill="1" applyBorder="1" applyAlignment="1">
      <alignment horizontal="left" vertical="center" wrapText="1"/>
    </xf>
    <xf numFmtId="43" fontId="5" fillId="4" borderId="3" xfId="1" applyFont="1" applyFill="1" applyBorder="1" applyAlignment="1">
      <alignment horizontal="left" vertical="center" wrapText="1"/>
    </xf>
    <xf numFmtId="43" fontId="5" fillId="0" borderId="3" xfId="1" applyFont="1" applyBorder="1" applyAlignment="1">
      <alignment horizontal="center" vertical="center" wrapText="1"/>
    </xf>
    <xf numFmtId="0" fontId="71" fillId="0" borderId="11" xfId="79" applyFont="1" applyBorder="1" applyAlignment="1">
      <alignment horizontal="left" vertical="center" wrapText="1"/>
    </xf>
    <xf numFmtId="0" fontId="71" fillId="0" borderId="11" xfId="5" applyFont="1" applyBorder="1" applyAlignment="1">
      <alignment horizontal="left" vertical="center" wrapText="1"/>
    </xf>
    <xf numFmtId="0" fontId="70" fillId="0" borderId="96" xfId="79" applyFont="1" applyBorder="1" applyAlignment="1">
      <alignment horizontal="left" vertical="center" wrapText="1"/>
    </xf>
    <xf numFmtId="0" fontId="71" fillId="0" borderId="4" xfId="79" applyFont="1" applyBorder="1" applyAlignment="1">
      <alignment horizontal="left" vertical="center" wrapText="1"/>
    </xf>
    <xf numFmtId="0" fontId="71" fillId="0" borderId="4" xfId="5" applyFont="1" applyBorder="1" applyAlignment="1">
      <alignment horizontal="left" vertical="center" wrapText="1"/>
    </xf>
    <xf numFmtId="0" fontId="71" fillId="0" borderId="4" xfId="5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71" fillId="0" borderId="5" xfId="1" applyFont="1" applyBorder="1" applyAlignment="1">
      <alignment horizontal="center" vertical="center" wrapText="1"/>
    </xf>
    <xf numFmtId="0" fontId="70" fillId="0" borderId="6" xfId="79" applyFont="1" applyBorder="1" applyAlignment="1">
      <alignment horizontal="left" vertical="center" wrapText="1"/>
    </xf>
    <xf numFmtId="43" fontId="71" fillId="0" borderId="7" xfId="1" applyFont="1" applyBorder="1" applyAlignment="1">
      <alignment horizontal="center" vertical="center" wrapText="1"/>
    </xf>
    <xf numFmtId="0" fontId="70" fillId="0" borderId="94" xfId="79" applyFont="1" applyBorder="1" applyAlignment="1">
      <alignment horizontal="left" vertical="center" wrapText="1"/>
    </xf>
    <xf numFmtId="0" fontId="71" fillId="0" borderId="95" xfId="5" applyFont="1" applyBorder="1" applyAlignment="1">
      <alignment horizontal="center" vertical="center" wrapText="1"/>
    </xf>
    <xf numFmtId="43" fontId="5" fillId="0" borderId="95" xfId="1" applyFont="1" applyBorder="1" applyAlignment="1">
      <alignment horizontal="center" vertical="center" wrapText="1"/>
    </xf>
    <xf numFmtId="43" fontId="71" fillId="0" borderId="59" xfId="1" applyFont="1" applyBorder="1" applyAlignment="1">
      <alignment horizontal="center" vertical="center" wrapText="1"/>
    </xf>
    <xf numFmtId="0" fontId="68" fillId="38" borderId="96" xfId="79" applyFont="1" applyFill="1" applyBorder="1" applyAlignment="1">
      <alignment horizontal="left" vertical="center" wrapText="1"/>
    </xf>
    <xf numFmtId="0" fontId="5" fillId="38" borderId="4" xfId="79" applyFont="1" applyFill="1" applyBorder="1" applyAlignment="1">
      <alignment horizontal="left" vertical="center" wrapText="1"/>
    </xf>
    <xf numFmtId="0" fontId="5" fillId="38" borderId="4" xfId="5" applyFont="1" applyFill="1" applyBorder="1" applyAlignment="1">
      <alignment horizontal="left" vertical="center" wrapText="1"/>
    </xf>
    <xf numFmtId="0" fontId="5" fillId="38" borderId="4" xfId="5" applyFont="1" applyFill="1" applyBorder="1" applyAlignment="1">
      <alignment horizontal="center" vertical="center" wrapText="1"/>
    </xf>
    <xf numFmtId="43" fontId="5" fillId="38" borderId="4" xfId="1" applyFont="1" applyFill="1" applyBorder="1" applyAlignment="1">
      <alignment horizontal="left" vertical="center" wrapText="1"/>
    </xf>
    <xf numFmtId="43" fontId="5" fillId="38" borderId="5" xfId="1" applyFont="1" applyFill="1" applyBorder="1" applyAlignment="1">
      <alignment horizontal="left" vertical="center" wrapText="1"/>
    </xf>
    <xf numFmtId="0" fontId="69" fillId="39" borderId="6" xfId="79" applyFont="1" applyFill="1" applyBorder="1" applyAlignment="1">
      <alignment horizontal="left" vertical="center" wrapText="1"/>
    </xf>
    <xf numFmtId="43" fontId="69" fillId="39" borderId="7" xfId="1" applyFont="1" applyFill="1" applyBorder="1" applyAlignment="1">
      <alignment horizontal="left" vertical="center" wrapText="1"/>
    </xf>
    <xf numFmtId="43" fontId="69" fillId="39" borderId="54" xfId="1" applyFont="1" applyFill="1" applyBorder="1" applyAlignment="1">
      <alignment horizontal="left" vertical="center" wrapText="1"/>
    </xf>
    <xf numFmtId="43" fontId="71" fillId="0" borderId="54" xfId="1" applyFont="1" applyBorder="1" applyAlignment="1">
      <alignment horizontal="left" vertical="center" wrapText="1"/>
    </xf>
    <xf numFmtId="0" fontId="72" fillId="4" borderId="6" xfId="79" applyFont="1" applyFill="1" applyBorder="1" applyAlignment="1">
      <alignment horizontal="left" vertical="center" wrapText="1"/>
    </xf>
    <xf numFmtId="43" fontId="71" fillId="4" borderId="54" xfId="1" applyFont="1" applyFill="1" applyBorder="1" applyAlignment="1">
      <alignment horizontal="left" vertical="center" wrapText="1"/>
    </xf>
    <xf numFmtId="43" fontId="11" fillId="0" borderId="54" xfId="1" applyFont="1" applyBorder="1" applyAlignment="1">
      <alignment horizontal="left" vertical="center" wrapText="1"/>
    </xf>
    <xf numFmtId="43" fontId="7" fillId="39" borderId="54" xfId="1" applyFont="1" applyFill="1" applyBorder="1" applyAlignment="1">
      <alignment horizontal="center" vertical="center" wrapText="1"/>
    </xf>
    <xf numFmtId="43" fontId="69" fillId="39" borderId="54" xfId="1" applyFont="1" applyFill="1" applyBorder="1" applyAlignment="1">
      <alignment horizontal="center" vertical="center" wrapText="1"/>
    </xf>
    <xf numFmtId="43" fontId="71" fillId="0" borderId="54" xfId="1" applyFont="1" applyBorder="1" applyAlignment="1">
      <alignment horizontal="center" vertical="center" wrapText="1"/>
    </xf>
    <xf numFmtId="43" fontId="11" fillId="0" borderId="54" xfId="1" applyFont="1" applyBorder="1" applyAlignment="1">
      <alignment horizontal="center" vertical="center" wrapText="1"/>
    </xf>
    <xf numFmtId="43" fontId="5" fillId="0" borderId="95" xfId="1" applyFont="1" applyBorder="1" applyAlignment="1">
      <alignment horizontal="left" vertical="center" wrapText="1"/>
    </xf>
    <xf numFmtId="43" fontId="7" fillId="0" borderId="95" xfId="1" applyFont="1" applyBorder="1" applyAlignment="1">
      <alignment horizontal="left" vertical="center" wrapText="1"/>
    </xf>
    <xf numFmtId="0" fontId="71" fillId="0" borderId="97" xfId="79" applyFont="1" applyBorder="1" applyAlignment="1">
      <alignment horizontal="left" vertical="center" wrapText="1"/>
    </xf>
    <xf numFmtId="0" fontId="71" fillId="0" borderId="11" xfId="79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3" fontId="7" fillId="0" borderId="11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0" fontId="71" fillId="0" borderId="20" xfId="79" applyFont="1" applyBorder="1" applyAlignment="1">
      <alignment horizontal="left" vertical="center" wrapText="1"/>
    </xf>
    <xf numFmtId="0" fontId="71" fillId="0" borderId="21" xfId="79" applyFont="1" applyBorder="1" applyAlignment="1">
      <alignment horizontal="left" vertical="center" wrapText="1"/>
    </xf>
    <xf numFmtId="0" fontId="71" fillId="0" borderId="21" xfId="5" applyFont="1" applyBorder="1" applyAlignment="1">
      <alignment horizontal="left" vertical="center" wrapText="1"/>
    </xf>
    <xf numFmtId="0" fontId="71" fillId="0" borderId="21" xfId="79" applyFont="1" applyBorder="1" applyAlignment="1">
      <alignment horizontal="center" vertical="center"/>
    </xf>
    <xf numFmtId="43" fontId="5" fillId="0" borderId="21" xfId="1" applyFont="1" applyBorder="1" applyAlignment="1">
      <alignment horizontal="center" vertical="center"/>
    </xf>
    <xf numFmtId="43" fontId="71" fillId="0" borderId="21" xfId="1" applyFont="1" applyBorder="1" applyAlignment="1">
      <alignment horizontal="center" vertical="center"/>
    </xf>
    <xf numFmtId="43" fontId="71" fillId="0" borderId="57" xfId="1" applyFont="1" applyBorder="1" applyAlignment="1">
      <alignment horizontal="center" vertical="center"/>
    </xf>
    <xf numFmtId="43" fontId="11" fillId="0" borderId="3" xfId="1" applyFont="1" applyBorder="1" applyAlignment="1">
      <alignment horizontal="left" vertical="center" wrapText="1"/>
    </xf>
    <xf numFmtId="43" fontId="11" fillId="4" borderId="3" xfId="1" applyFont="1" applyFill="1" applyBorder="1" applyAlignment="1">
      <alignment horizontal="left" vertical="center" wrapText="1"/>
    </xf>
    <xf numFmtId="43" fontId="11" fillId="0" borderId="3" xfId="1" applyFont="1" applyBorder="1" applyAlignment="1">
      <alignment horizontal="center" vertical="center" wrapText="1"/>
    </xf>
    <xf numFmtId="43" fontId="11" fillId="0" borderId="95" xfId="1" applyFont="1" applyBorder="1" applyAlignment="1">
      <alignment horizontal="left" vertical="center" wrapText="1"/>
    </xf>
    <xf numFmtId="43" fontId="11" fillId="0" borderId="3" xfId="1" applyFont="1" applyBorder="1" applyAlignment="1">
      <alignment horizontal="center" vertical="center"/>
    </xf>
    <xf numFmtId="43" fontId="11" fillId="4" borderId="3" xfId="1" applyFont="1" applyFill="1" applyBorder="1" applyAlignment="1">
      <alignment horizontal="center" vertical="center"/>
    </xf>
    <xf numFmtId="43" fontId="11" fillId="0" borderId="11" xfId="1" applyFont="1" applyBorder="1" applyAlignment="1">
      <alignment horizontal="center" vertical="center"/>
    </xf>
    <xf numFmtId="0" fontId="11" fillId="0" borderId="52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horizontal="center" vertical="center" wrapText="1"/>
    </xf>
    <xf numFmtId="0" fontId="11" fillId="0" borderId="61" xfId="0" applyFont="1" applyFill="1" applyBorder="1" applyAlignment="1" applyProtection="1">
      <alignment horizontal="center" vertical="center" wrapText="1"/>
    </xf>
    <xf numFmtId="166" fontId="67" fillId="0" borderId="4" xfId="2" quotePrefix="1" applyNumberFormat="1" applyFont="1" applyFill="1" applyBorder="1" applyAlignment="1" applyProtection="1">
      <alignment horizontal="center" vertical="center" wrapText="1"/>
    </xf>
    <xf numFmtId="166" fontId="67" fillId="0" borderId="5" xfId="2" quotePrefix="1" applyNumberFormat="1" applyFont="1" applyFill="1" applyBorder="1" applyAlignment="1" applyProtection="1">
      <alignment horizontal="center" vertical="center" wrapText="1"/>
    </xf>
    <xf numFmtId="0" fontId="39" fillId="25" borderId="23" xfId="4" applyFont="1" applyFill="1" applyBorder="1" applyAlignment="1">
      <alignment horizontal="center" vertical="center"/>
    </xf>
    <xf numFmtId="0" fontId="39" fillId="25" borderId="24" xfId="4" applyFont="1" applyFill="1" applyBorder="1" applyAlignment="1">
      <alignment horizontal="center" vertical="center"/>
    </xf>
    <xf numFmtId="0" fontId="39" fillId="25" borderId="48" xfId="4" applyFont="1" applyFill="1" applyBorder="1" applyAlignment="1">
      <alignment horizontal="center" vertical="center"/>
    </xf>
    <xf numFmtId="0" fontId="62" fillId="0" borderId="0" xfId="79" applyFont="1" applyBorder="1" applyAlignment="1">
      <alignment horizontal="center" vertical="center" wrapText="1"/>
    </xf>
    <xf numFmtId="43" fontId="5" fillId="35" borderId="3" xfId="1" applyFont="1" applyFill="1" applyBorder="1" applyAlignment="1" applyProtection="1">
      <alignment horizontal="center" vertical="center" wrapText="1"/>
    </xf>
    <xf numFmtId="0" fontId="58" fillId="35" borderId="3" xfId="0" applyFont="1" applyFill="1" applyBorder="1" applyAlignment="1">
      <alignment horizontal="center"/>
    </xf>
    <xf numFmtId="43" fontId="5" fillId="35" borderId="3" xfId="1" applyNumberFormat="1" applyFont="1" applyFill="1" applyBorder="1" applyAlignment="1" applyProtection="1">
      <alignment horizontal="center" vertical="center" wrapText="1"/>
    </xf>
    <xf numFmtId="0" fontId="63" fillId="36" borderId="90" xfId="79" applyFont="1" applyFill="1" applyBorder="1" applyAlignment="1">
      <alignment horizontal="center" vertical="center"/>
    </xf>
    <xf numFmtId="0" fontId="63" fillId="36" borderId="73" xfId="79" applyFont="1" applyFill="1" applyBorder="1" applyAlignment="1">
      <alignment horizontal="center" vertical="center"/>
    </xf>
    <xf numFmtId="49" fontId="63" fillId="36" borderId="87" xfId="79" applyNumberFormat="1" applyFont="1" applyFill="1" applyBorder="1" applyAlignment="1">
      <alignment horizontal="center" vertical="center" wrapText="1"/>
    </xf>
    <xf numFmtId="49" fontId="63" fillId="36" borderId="88" xfId="79" applyNumberFormat="1" applyFont="1" applyFill="1" applyBorder="1" applyAlignment="1">
      <alignment horizontal="center" vertical="center" wrapText="1"/>
    </xf>
    <xf numFmtId="49" fontId="63" fillId="36" borderId="89" xfId="79" applyNumberFormat="1" applyFont="1" applyFill="1" applyBorder="1" applyAlignment="1">
      <alignment horizontal="center" vertical="center" wrapText="1"/>
    </xf>
    <xf numFmtId="49" fontId="63" fillId="36" borderId="65" xfId="79" applyNumberFormat="1" applyFont="1" applyFill="1" applyBorder="1" applyAlignment="1">
      <alignment horizontal="center" vertical="center" wrapText="1"/>
    </xf>
    <xf numFmtId="49" fontId="63" fillId="36" borderId="68" xfId="79" applyNumberFormat="1" applyFont="1" applyFill="1" applyBorder="1" applyAlignment="1">
      <alignment horizontal="center" vertical="center" wrapText="1"/>
    </xf>
    <xf numFmtId="49" fontId="63" fillId="36" borderId="72" xfId="79" applyNumberFormat="1" applyFont="1" applyFill="1" applyBorder="1" applyAlignment="1">
      <alignment horizontal="center" vertical="center" wrapText="1"/>
    </xf>
  </cellXfs>
  <cellStyles count="128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legamento ipertestual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Comma [0]_all7_pdc" xfId="34"/>
    <cellStyle name="Comma 2" xfId="35"/>
    <cellStyle name="Comma 2 2" xfId="36"/>
    <cellStyle name="Comma_all7_pdc" xfId="37"/>
    <cellStyle name="Currency [0]_all7_pdc" xfId="38"/>
    <cellStyle name="Currency_all7_pdc" xfId="39"/>
    <cellStyle name="Euro" xfId="40"/>
    <cellStyle name="Euro 2" xfId="41"/>
    <cellStyle name="Euro 3" xfId="42"/>
    <cellStyle name="Euro 4" xfId="43"/>
    <cellStyle name="Euro 5" xfId="44"/>
    <cellStyle name="Euro 6" xfId="45"/>
    <cellStyle name="Euro 7" xfId="46"/>
    <cellStyle name="Euro 8" xfId="47"/>
    <cellStyle name="Euro_allegato tabelle I report 2012" xfId="48"/>
    <cellStyle name="Input 2" xfId="49"/>
    <cellStyle name="Migliaia" xfId="1" builtinId="3"/>
    <cellStyle name="Migliaia (0)_% Attrezzature ed Edilizia" xfId="50"/>
    <cellStyle name="Migliaia [0]" xfId="2" builtinId="6"/>
    <cellStyle name="Migliaia [0] 2" xfId="51"/>
    <cellStyle name="Migliaia [0] 2 2" xfId="52"/>
    <cellStyle name="Migliaia [0] 3" xfId="53"/>
    <cellStyle name="Migliaia [0] 3 2" xfId="54"/>
    <cellStyle name="Migliaia [0] 4" xfId="55"/>
    <cellStyle name="Migliaia [0] 5" xfId="56"/>
    <cellStyle name="Migliaia [0] 6" xfId="57"/>
    <cellStyle name="Migliaia [0] 7" xfId="126"/>
    <cellStyle name="Migliaia [0] 8 2" xfId="58"/>
    <cellStyle name="Migliaia 10" xfId="125"/>
    <cellStyle name="Migliaia 11" xfId="59"/>
    <cellStyle name="Migliaia 2" xfId="60"/>
    <cellStyle name="Migliaia 2 2" xfId="61"/>
    <cellStyle name="Migliaia 2 3" xfId="62"/>
    <cellStyle name="Migliaia 2 4" xfId="63"/>
    <cellStyle name="Migliaia 2_AOTS_Organizzazione_31-12-2011" xfId="64"/>
    <cellStyle name="Migliaia 3" xfId="65"/>
    <cellStyle name="Migliaia 3 2" xfId="66"/>
    <cellStyle name="Migliaia 3_AOTS_Organizzazione_31-12-2011" xfId="67"/>
    <cellStyle name="Migliaia 4" xfId="68"/>
    <cellStyle name="Migliaia 4 2" xfId="69"/>
    <cellStyle name="Migliaia 5" xfId="70"/>
    <cellStyle name="Migliaia 6" xfId="71"/>
    <cellStyle name="Migliaia 6 2" xfId="118"/>
    <cellStyle name="Migliaia 7" xfId="72"/>
    <cellStyle name="Migliaia 8" xfId="73"/>
    <cellStyle name="Migliaia 9" xfId="115"/>
    <cellStyle name="Migliaia 9 2" xfId="74"/>
    <cellStyle name="Neutrale 2" xfId="75"/>
    <cellStyle name="Normal 12" xfId="116"/>
    <cellStyle name="Normal 2" xfId="76"/>
    <cellStyle name="Normal_all7_pdc" xfId="77"/>
    <cellStyle name="Normal_Sheet1 2" xfId="5"/>
    <cellStyle name="Normale" xfId="0" builtinId="0"/>
    <cellStyle name="Normale 10" xfId="120"/>
    <cellStyle name="Normale 11" xfId="122"/>
    <cellStyle name="Normale 12" xfId="124"/>
    <cellStyle name="Normale 19 2" xfId="123"/>
    <cellStyle name="Normale 2" xfId="78"/>
    <cellStyle name="Normale 2 2" xfId="79"/>
    <cellStyle name="Normale 2_1 BILANCIO AOU" xfId="80"/>
    <cellStyle name="Normale 20" xfId="121"/>
    <cellStyle name="Normale 3" xfId="81"/>
    <cellStyle name="Normale 3 2" xfId="82"/>
    <cellStyle name="Normale 3 3" xfId="83"/>
    <cellStyle name="Normale 4" xfId="84"/>
    <cellStyle name="Normale 5" xfId="85"/>
    <cellStyle name="Normale 6" xfId="86"/>
    <cellStyle name="Normale 6 2" xfId="87"/>
    <cellStyle name="Normale 7" xfId="88"/>
    <cellStyle name="Normale 7 2" xfId="89"/>
    <cellStyle name="Normale 7 3" xfId="119"/>
    <cellStyle name="Normale 7_Allegati 1-2def" xfId="90"/>
    <cellStyle name="Normale 8" xfId="91"/>
    <cellStyle name="Normale 9" xfId="92"/>
    <cellStyle name="Normale_Mattone CE_Budget 2008 (v. 0.5 del 12.02.2008) 2" xfId="4"/>
    <cellStyle name="Nota 2" xfId="93"/>
    <cellStyle name="Output 2" xfId="94"/>
    <cellStyle name="Percent 2" xfId="95"/>
    <cellStyle name="Percent 3" xfId="96"/>
    <cellStyle name="Percentuale" xfId="3" builtinId="5"/>
    <cellStyle name="Percentuale 2" xfId="97"/>
    <cellStyle name="Percentuale 2 2" xfId="98"/>
    <cellStyle name="Percentuale 2 3" xfId="99"/>
    <cellStyle name="Percentuale 3" xfId="127"/>
    <cellStyle name="Percentuale 4" xfId="100"/>
    <cellStyle name="SAS FM Row drillable header" xfId="101"/>
    <cellStyle name="SAS FM Row header" xfId="102"/>
    <cellStyle name="Testo avviso 2" xfId="103"/>
    <cellStyle name="Testo descrittivo 2" xfId="104"/>
    <cellStyle name="Titolo 1 2" xfId="105"/>
    <cellStyle name="Titolo 2 2" xfId="106"/>
    <cellStyle name="Titolo 3 2" xfId="107"/>
    <cellStyle name="Titolo 4 2" xfId="108"/>
    <cellStyle name="Titolo 5" xfId="109"/>
    <cellStyle name="Titolo 6" xfId="117"/>
    <cellStyle name="Totale 2" xfId="110"/>
    <cellStyle name="Valore non valido 2" xfId="111"/>
    <cellStyle name="Valore valido 2" xfId="112"/>
    <cellStyle name="Valuta (0)_% Attrezzature ed Edilizia" xfId="113"/>
    <cellStyle name="Valuta 2" xfId="114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CCECFF"/>
      <color rgb="FF66FF33"/>
      <color rgb="FFFF99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workbookViewId="0"/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329" customWidth="1"/>
    <col min="8" max="8" width="13.28515625" bestFit="1" customWidth="1"/>
  </cols>
  <sheetData>
    <row r="1" spans="1:10" ht="20.25">
      <c r="A1" s="251" t="s">
        <v>0</v>
      </c>
      <c r="B1" s="238"/>
      <c r="C1" s="238"/>
      <c r="D1" s="185"/>
      <c r="E1" s="185"/>
      <c r="F1" s="239" t="s">
        <v>1</v>
      </c>
      <c r="G1" s="324"/>
    </row>
    <row r="2" spans="1:10" ht="13.5" thickBot="1">
      <c r="A2" s="1"/>
      <c r="B2" s="1"/>
      <c r="C2" s="2"/>
      <c r="D2" s="186"/>
      <c r="E2" s="186"/>
      <c r="F2" s="187"/>
      <c r="G2" s="3"/>
    </row>
    <row r="3" spans="1:10" ht="33" customHeight="1">
      <c r="A3" s="488" t="s">
        <v>1826</v>
      </c>
      <c r="B3" s="489"/>
      <c r="C3" s="490"/>
      <c r="D3" s="243" t="s">
        <v>3638</v>
      </c>
      <c r="E3" s="243" t="s">
        <v>3639</v>
      </c>
      <c r="F3" s="491" t="s">
        <v>3634</v>
      </c>
      <c r="G3" s="492"/>
    </row>
    <row r="4" spans="1:10">
      <c r="A4" s="240"/>
      <c r="B4" s="241"/>
      <c r="C4" s="241"/>
      <c r="D4" s="242"/>
      <c r="E4" s="242"/>
      <c r="F4" s="348" t="s">
        <v>2</v>
      </c>
      <c r="G4" s="349" t="s">
        <v>3</v>
      </c>
    </row>
    <row r="5" spans="1:10">
      <c r="A5" s="4"/>
      <c r="B5" s="5"/>
      <c r="C5" s="6"/>
      <c r="D5" s="188"/>
      <c r="E5" s="188"/>
      <c r="F5" s="189"/>
      <c r="G5" s="172"/>
    </row>
    <row r="6" spans="1:10">
      <c r="A6" s="7" t="s">
        <v>4</v>
      </c>
      <c r="B6" s="8"/>
      <c r="C6" s="9" t="s">
        <v>5</v>
      </c>
      <c r="D6" s="190"/>
      <c r="E6" s="190"/>
      <c r="F6" s="191"/>
      <c r="G6" s="173"/>
    </row>
    <row r="7" spans="1:10">
      <c r="A7" s="7"/>
      <c r="B7" s="8"/>
      <c r="C7" s="10"/>
      <c r="D7" s="192"/>
      <c r="E7" s="192"/>
      <c r="F7" s="191"/>
      <c r="G7" s="173"/>
    </row>
    <row r="8" spans="1:10">
      <c r="A8" s="7">
        <v>1</v>
      </c>
      <c r="B8" s="9" t="s">
        <v>6</v>
      </c>
      <c r="C8" s="9"/>
      <c r="D8" s="193">
        <f t="shared" ref="D8:E8" si="0">D9+D10+D17+D22</f>
        <v>851623113</v>
      </c>
      <c r="E8" s="193">
        <f t="shared" si="0"/>
        <v>854172431</v>
      </c>
      <c r="F8" s="193">
        <f>+D8-E8</f>
        <v>-2549318</v>
      </c>
      <c r="G8" s="330">
        <f>+F8/E8</f>
        <v>-2.9845472734532684E-3</v>
      </c>
      <c r="I8" s="184"/>
      <c r="J8" s="235"/>
    </row>
    <row r="9" spans="1:10">
      <c r="A9" s="11"/>
      <c r="B9" s="12" t="s">
        <v>7</v>
      </c>
      <c r="C9" s="12"/>
      <c r="D9" s="194">
        <f>+ROUND('CE Min'!D26,0)</f>
        <v>827139974</v>
      </c>
      <c r="E9" s="194">
        <f>+ROUND('CE Min'!E26,0)</f>
        <v>830241632</v>
      </c>
      <c r="F9" s="195">
        <f t="shared" ref="F9:F72" si="1">+D9-E9</f>
        <v>-3101658</v>
      </c>
      <c r="G9" s="174">
        <f t="shared" ref="G9:G72" si="2">+F9/E9</f>
        <v>-3.7358497580135801E-3</v>
      </c>
      <c r="I9" s="219"/>
      <c r="J9" s="235"/>
    </row>
    <row r="10" spans="1:10">
      <c r="A10" s="7"/>
      <c r="B10" s="12" t="s">
        <v>8</v>
      </c>
      <c r="C10" s="12"/>
      <c r="D10" s="194">
        <f t="shared" ref="D10:E10" si="3">SUM(D11:D16)</f>
        <v>24450139</v>
      </c>
      <c r="E10" s="194">
        <f t="shared" si="3"/>
        <v>23547603</v>
      </c>
      <c r="F10" s="195">
        <f t="shared" si="1"/>
        <v>902536</v>
      </c>
      <c r="G10" s="174">
        <f t="shared" si="2"/>
        <v>3.8328147455178346E-2</v>
      </c>
      <c r="I10" s="219"/>
      <c r="J10" s="235"/>
    </row>
    <row r="11" spans="1:10">
      <c r="A11" s="7"/>
      <c r="B11" s="13"/>
      <c r="C11" s="44" t="s">
        <v>9</v>
      </c>
      <c r="D11" s="194">
        <f>+ROUND('CE Min'!D37,0)</f>
        <v>21766139</v>
      </c>
      <c r="E11" s="194">
        <f>+ROUND('CE Min'!E37,0)</f>
        <v>19724562</v>
      </c>
      <c r="F11" s="196">
        <f t="shared" si="1"/>
        <v>2041577</v>
      </c>
      <c r="G11" s="175">
        <f t="shared" si="2"/>
        <v>0.10350430088130727</v>
      </c>
      <c r="I11" s="219"/>
      <c r="J11" s="235"/>
    </row>
    <row r="12" spans="1:10" ht="22.5">
      <c r="A12" s="11"/>
      <c r="B12" s="13"/>
      <c r="C12" s="44" t="s">
        <v>10</v>
      </c>
      <c r="D12" s="194">
        <f>+ROUND('CE Min'!D38,0)</f>
        <v>0</v>
      </c>
      <c r="E12" s="194">
        <f>+ROUND('CE Min'!E38,0)</f>
        <v>0</v>
      </c>
      <c r="F12" s="196">
        <f t="shared" si="1"/>
        <v>0</v>
      </c>
      <c r="G12" s="175" t="e">
        <f t="shared" si="2"/>
        <v>#DIV/0!</v>
      </c>
      <c r="I12" s="219"/>
      <c r="J12" s="235"/>
    </row>
    <row r="13" spans="1:10" ht="22.5">
      <c r="A13" s="7"/>
      <c r="B13" s="13"/>
      <c r="C13" s="44" t="s">
        <v>11</v>
      </c>
      <c r="D13" s="194">
        <f>+ROUND('CE Min'!D39,0)</f>
        <v>0</v>
      </c>
      <c r="E13" s="194">
        <f>+ROUND('CE Min'!E39,0)</f>
        <v>0</v>
      </c>
      <c r="F13" s="196">
        <f t="shared" si="1"/>
        <v>0</v>
      </c>
      <c r="G13" s="175" t="e">
        <f t="shared" si="2"/>
        <v>#DIV/0!</v>
      </c>
      <c r="I13" s="219"/>
      <c r="J13" s="235"/>
    </row>
    <row r="14" spans="1:10">
      <c r="A14" s="11"/>
      <c r="B14" s="13"/>
      <c r="C14" s="44" t="s">
        <v>12</v>
      </c>
      <c r="D14" s="194">
        <f>+ROUND('CE Min'!D40,0)</f>
        <v>838000</v>
      </c>
      <c r="E14" s="194">
        <f>+ROUND('CE Min'!E40,0)</f>
        <v>1062578</v>
      </c>
      <c r="F14" s="196">
        <f t="shared" si="1"/>
        <v>-224578</v>
      </c>
      <c r="G14" s="175">
        <f t="shared" si="2"/>
        <v>-0.21135201368746576</v>
      </c>
      <c r="I14" s="219"/>
      <c r="J14" s="235"/>
    </row>
    <row r="15" spans="1:10">
      <c r="A15" s="11"/>
      <c r="B15" s="13"/>
      <c r="C15" s="44" t="s">
        <v>13</v>
      </c>
      <c r="D15" s="194">
        <f>+ROUND('CE Min'!D41,0)</f>
        <v>0</v>
      </c>
      <c r="E15" s="194">
        <f>+ROUND('CE Min'!E41,0)</f>
        <v>0</v>
      </c>
      <c r="F15" s="196">
        <f t="shared" si="1"/>
        <v>0</v>
      </c>
      <c r="G15" s="175" t="e">
        <f t="shared" si="2"/>
        <v>#DIV/0!</v>
      </c>
      <c r="I15" s="219"/>
      <c r="J15" s="235"/>
    </row>
    <row r="16" spans="1:10">
      <c r="A16" s="7"/>
      <c r="B16" s="13"/>
      <c r="C16" s="44" t="s">
        <v>14</v>
      </c>
      <c r="D16" s="194">
        <f>+ROUND('CE Min'!D44,0)</f>
        <v>1846000</v>
      </c>
      <c r="E16" s="194">
        <f>+ROUND('CE Min'!E44,0)</f>
        <v>2760463</v>
      </c>
      <c r="F16" s="196">
        <f t="shared" si="1"/>
        <v>-914463</v>
      </c>
      <c r="G16" s="175">
        <f t="shared" si="2"/>
        <v>-0.33127160190156507</v>
      </c>
      <c r="I16" s="219"/>
      <c r="J16" s="235"/>
    </row>
    <row r="17" spans="1:13">
      <c r="A17" s="11"/>
      <c r="B17" s="13" t="s">
        <v>15</v>
      </c>
      <c r="C17" s="12"/>
      <c r="D17" s="194">
        <f t="shared" ref="D17:E17" si="4">SUM(D18:D21)</f>
        <v>0</v>
      </c>
      <c r="E17" s="194">
        <f t="shared" si="4"/>
        <v>0</v>
      </c>
      <c r="F17" s="195">
        <f t="shared" si="1"/>
        <v>0</v>
      </c>
      <c r="G17" s="174" t="e">
        <f t="shared" si="2"/>
        <v>#DIV/0!</v>
      </c>
      <c r="I17" s="219"/>
      <c r="J17" s="235"/>
    </row>
    <row r="18" spans="1:13">
      <c r="A18" s="11"/>
      <c r="B18" s="13"/>
      <c r="C18" s="12" t="s">
        <v>16</v>
      </c>
      <c r="D18" s="194">
        <f>+ROUND('CE Min'!D51,0)</f>
        <v>0</v>
      </c>
      <c r="E18" s="194">
        <f>+ROUND('CE Min'!E51,0)</f>
        <v>0</v>
      </c>
      <c r="F18" s="196">
        <f t="shared" si="1"/>
        <v>0</v>
      </c>
      <c r="G18" s="175" t="e">
        <f t="shared" si="2"/>
        <v>#DIV/0!</v>
      </c>
      <c r="I18" s="219"/>
      <c r="J18" s="235"/>
    </row>
    <row r="19" spans="1:13">
      <c r="A19" s="11"/>
      <c r="B19" s="13"/>
      <c r="C19" s="12" t="s">
        <v>17</v>
      </c>
      <c r="D19" s="194">
        <f>+ROUND('CE Min'!D52,0)</f>
        <v>0</v>
      </c>
      <c r="E19" s="194">
        <f>+ROUND('CE Min'!E52,0)</f>
        <v>0</v>
      </c>
      <c r="F19" s="196">
        <f t="shared" si="1"/>
        <v>0</v>
      </c>
      <c r="G19" s="175" t="e">
        <f t="shared" si="2"/>
        <v>#DIV/0!</v>
      </c>
      <c r="I19" s="219"/>
      <c r="J19" s="235"/>
    </row>
    <row r="20" spans="1:13">
      <c r="A20" s="11"/>
      <c r="B20" s="13"/>
      <c r="C20" s="12" t="s">
        <v>18</v>
      </c>
      <c r="D20" s="194">
        <f>+ROUND('CE Min'!D53,0)</f>
        <v>0</v>
      </c>
      <c r="E20" s="194">
        <f>+ROUND('CE Min'!E53,0)</f>
        <v>0</v>
      </c>
      <c r="F20" s="196">
        <f t="shared" si="1"/>
        <v>0</v>
      </c>
      <c r="G20" s="175" t="e">
        <f t="shared" si="2"/>
        <v>#DIV/0!</v>
      </c>
      <c r="I20" s="219"/>
      <c r="J20" s="235"/>
    </row>
    <row r="21" spans="1:13">
      <c r="A21" s="11"/>
      <c r="B21" s="13"/>
      <c r="C21" s="12" t="s">
        <v>19</v>
      </c>
      <c r="D21" s="194">
        <f>+ROUND('CE Min'!D54,0)</f>
        <v>0</v>
      </c>
      <c r="E21" s="194">
        <f>+ROUND('CE Min'!E54,0)</f>
        <v>0</v>
      </c>
      <c r="F21" s="196">
        <f t="shared" si="1"/>
        <v>0</v>
      </c>
      <c r="G21" s="175" t="e">
        <f t="shared" si="2"/>
        <v>#DIV/0!</v>
      </c>
      <c r="I21" s="219"/>
      <c r="J21" s="235"/>
    </row>
    <row r="22" spans="1:13">
      <c r="A22" s="11"/>
      <c r="B22" s="13" t="s">
        <v>20</v>
      </c>
      <c r="C22" s="12"/>
      <c r="D22" s="194">
        <f>+ROUND('CE Min'!D55,0)</f>
        <v>33000</v>
      </c>
      <c r="E22" s="194">
        <f>+ROUND('CE Min'!E55,0)</f>
        <v>383196</v>
      </c>
      <c r="F22" s="196">
        <f t="shared" si="1"/>
        <v>-350196</v>
      </c>
      <c r="G22" s="175">
        <f t="shared" si="2"/>
        <v>-0.91388219083706512</v>
      </c>
      <c r="I22" s="219"/>
      <c r="J22" s="235"/>
      <c r="M22" t="s">
        <v>3640</v>
      </c>
    </row>
    <row r="23" spans="1:13">
      <c r="A23" s="7">
        <v>2</v>
      </c>
      <c r="B23" s="9" t="s">
        <v>21</v>
      </c>
      <c r="C23" s="9"/>
      <c r="D23" s="197">
        <f>+ROUND('CE Min'!D56,0)</f>
        <v>0</v>
      </c>
      <c r="E23" s="197">
        <f>+ROUND('CE Min'!E56,0)</f>
        <v>0</v>
      </c>
      <c r="F23" s="193">
        <f t="shared" si="1"/>
        <v>0</v>
      </c>
      <c r="G23" s="325" t="e">
        <f t="shared" si="2"/>
        <v>#DIV/0!</v>
      </c>
      <c r="I23" s="184"/>
      <c r="J23" s="235"/>
    </row>
    <row r="24" spans="1:13">
      <c r="A24" s="7">
        <v>3</v>
      </c>
      <c r="B24" s="9" t="s">
        <v>22</v>
      </c>
      <c r="C24" s="9"/>
      <c r="D24" s="197">
        <f>+ROUND('CE Min'!D59,0)</f>
        <v>4023984</v>
      </c>
      <c r="E24" s="197">
        <f>+ROUND('CE Min'!E59,0)</f>
        <v>40740168</v>
      </c>
      <c r="F24" s="193">
        <f t="shared" si="1"/>
        <v>-36716184</v>
      </c>
      <c r="G24" s="325">
        <f t="shared" si="2"/>
        <v>-0.90122809508296575</v>
      </c>
      <c r="I24" s="184"/>
      <c r="J24" s="235"/>
    </row>
    <row r="25" spans="1:13">
      <c r="A25" s="7">
        <v>4</v>
      </c>
      <c r="B25" s="9" t="s">
        <v>23</v>
      </c>
      <c r="C25" s="9"/>
      <c r="D25" s="193">
        <f t="shared" ref="D25:E25" si="5">SUM(D26:D28)</f>
        <v>42737806</v>
      </c>
      <c r="E25" s="193">
        <f t="shared" si="5"/>
        <v>40618481</v>
      </c>
      <c r="F25" s="193">
        <f t="shared" si="1"/>
        <v>2119325</v>
      </c>
      <c r="G25" s="325">
        <f t="shared" si="2"/>
        <v>5.2176372622107656E-2</v>
      </c>
      <c r="I25" s="184"/>
      <c r="J25" s="235"/>
    </row>
    <row r="26" spans="1:13">
      <c r="A26" s="7"/>
      <c r="B26" s="12" t="s">
        <v>24</v>
      </c>
      <c r="C26" s="14"/>
      <c r="D26" s="194">
        <f>+ROUND('CE Min'!D66,0)</f>
        <v>29099179</v>
      </c>
      <c r="E26" s="194">
        <f>+ROUND('CE Min'!E66,0)</f>
        <v>26919854</v>
      </c>
      <c r="F26" s="196">
        <f t="shared" si="1"/>
        <v>2179325</v>
      </c>
      <c r="G26" s="175">
        <f t="shared" si="2"/>
        <v>8.0956048275744735E-2</v>
      </c>
      <c r="I26" s="219"/>
      <c r="J26" s="235"/>
    </row>
    <row r="27" spans="1:13">
      <c r="A27" s="11"/>
      <c r="B27" s="12" t="s">
        <v>25</v>
      </c>
      <c r="C27" s="14"/>
      <c r="D27" s="194">
        <f>+ROUND('CE Min'!D112,0)</f>
        <v>8040000</v>
      </c>
      <c r="E27" s="194">
        <f>+ROUND('CE Min'!E112,0)</f>
        <v>8040000</v>
      </c>
      <c r="F27" s="196">
        <f t="shared" si="1"/>
        <v>0</v>
      </c>
      <c r="G27" s="175">
        <f t="shared" si="2"/>
        <v>0</v>
      </c>
      <c r="I27" s="219"/>
      <c r="J27" s="235"/>
    </row>
    <row r="28" spans="1:13">
      <c r="A28" s="7"/>
      <c r="B28" s="12" t="s">
        <v>26</v>
      </c>
      <c r="C28" s="14"/>
      <c r="D28" s="194">
        <f>+ROUND('CE Min'!D105+'CE Min'!D111,0)</f>
        <v>5598627</v>
      </c>
      <c r="E28" s="194">
        <f>+ROUND('CE Min'!E105+'CE Min'!E111,0)</f>
        <v>5658627</v>
      </c>
      <c r="F28" s="196">
        <f t="shared" si="1"/>
        <v>-60000</v>
      </c>
      <c r="G28" s="175">
        <f t="shared" si="2"/>
        <v>-1.0603278851919379E-2</v>
      </c>
      <c r="I28" s="219"/>
      <c r="J28" s="235"/>
    </row>
    <row r="29" spans="1:13">
      <c r="A29" s="7">
        <v>5</v>
      </c>
      <c r="B29" s="9" t="s">
        <v>27</v>
      </c>
      <c r="C29" s="9"/>
      <c r="D29" s="197">
        <f>+ROUND(+'CE Min'!D120,0)</f>
        <v>2978892</v>
      </c>
      <c r="E29" s="197">
        <f>+ROUND(+'CE Min'!E120,0)</f>
        <v>15693335</v>
      </c>
      <c r="F29" s="193">
        <f t="shared" si="1"/>
        <v>-12714443</v>
      </c>
      <c r="G29" s="325">
        <f t="shared" si="2"/>
        <v>-0.81018107368510262</v>
      </c>
      <c r="I29" s="184"/>
      <c r="J29" s="235"/>
    </row>
    <row r="30" spans="1:13">
      <c r="A30" s="7">
        <v>6</v>
      </c>
      <c r="B30" s="9" t="s">
        <v>28</v>
      </c>
      <c r="C30" s="9"/>
      <c r="D30" s="197">
        <f>+ROUND('CE Min'!D141,0)</f>
        <v>9072000</v>
      </c>
      <c r="E30" s="197">
        <f>+ROUND('CE Min'!E141,0)</f>
        <v>8795700</v>
      </c>
      <c r="F30" s="193">
        <f t="shared" si="1"/>
        <v>276300</v>
      </c>
      <c r="G30" s="325">
        <f t="shared" si="2"/>
        <v>3.1413076844367137E-2</v>
      </c>
      <c r="H30" s="250"/>
      <c r="I30" s="184"/>
      <c r="J30" s="235"/>
    </row>
    <row r="31" spans="1:13">
      <c r="A31" s="7">
        <v>7</v>
      </c>
      <c r="B31" s="9" t="s">
        <v>29</v>
      </c>
      <c r="C31" s="9"/>
      <c r="D31" s="197">
        <f>+ROUND('CE Min'!D145,0)</f>
        <v>25951000</v>
      </c>
      <c r="E31" s="197">
        <f>+ROUND('CE Min'!E145,0)</f>
        <v>25951000</v>
      </c>
      <c r="F31" s="193">
        <f t="shared" si="1"/>
        <v>0</v>
      </c>
      <c r="G31" s="325">
        <f t="shared" si="2"/>
        <v>0</v>
      </c>
      <c r="I31" s="184"/>
      <c r="J31" s="235"/>
    </row>
    <row r="32" spans="1:13">
      <c r="A32" s="7">
        <v>8</v>
      </c>
      <c r="B32" s="9" t="s">
        <v>30</v>
      </c>
      <c r="C32" s="9"/>
      <c r="D32" s="197">
        <f>+ROUND(+'CE Min'!D152,0)</f>
        <v>0</v>
      </c>
      <c r="E32" s="197">
        <f>+ROUND(+'CE Min'!E152,0)</f>
        <v>0</v>
      </c>
      <c r="F32" s="198">
        <f t="shared" si="1"/>
        <v>0</v>
      </c>
      <c r="G32" s="176" t="e">
        <f t="shared" si="2"/>
        <v>#DIV/0!</v>
      </c>
      <c r="I32" s="184"/>
      <c r="J32" s="235"/>
    </row>
    <row r="33" spans="1:10">
      <c r="A33" s="7">
        <v>9</v>
      </c>
      <c r="B33" s="9" t="s">
        <v>31</v>
      </c>
      <c r="C33" s="9"/>
      <c r="D33" s="197">
        <f>+ROUND(+'CE Min'!D153,0)</f>
        <v>686000</v>
      </c>
      <c r="E33" s="197">
        <f>+ROUND(+'CE Min'!E153,0)</f>
        <v>535000</v>
      </c>
      <c r="F33" s="198">
        <f t="shared" si="1"/>
        <v>151000</v>
      </c>
      <c r="G33" s="176">
        <f t="shared" si="2"/>
        <v>0.28224299065420561</v>
      </c>
      <c r="I33" s="184"/>
      <c r="J33" s="235"/>
    </row>
    <row r="34" spans="1:10">
      <c r="A34" s="244" t="s">
        <v>32</v>
      </c>
      <c r="B34" s="245"/>
      <c r="C34" s="245"/>
      <c r="D34" s="199">
        <f t="shared" ref="D34:E34" si="6">D8+D23+D24+D25+SUM(D29:D33)</f>
        <v>937072795</v>
      </c>
      <c r="E34" s="199">
        <f t="shared" si="6"/>
        <v>986506115</v>
      </c>
      <c r="F34" s="200"/>
      <c r="G34" s="167"/>
      <c r="I34" s="184"/>
      <c r="J34" s="235"/>
    </row>
    <row r="35" spans="1:10">
      <c r="A35" s="11"/>
      <c r="B35" s="15"/>
      <c r="C35" s="10"/>
      <c r="D35" s="201"/>
      <c r="E35" s="201"/>
      <c r="F35" s="196"/>
      <c r="G35" s="175"/>
      <c r="I35" s="219"/>
      <c r="J35" s="235"/>
    </row>
    <row r="36" spans="1:10">
      <c r="A36" s="7" t="s">
        <v>33</v>
      </c>
      <c r="B36" s="8"/>
      <c r="C36" s="16" t="s">
        <v>34</v>
      </c>
      <c r="D36" s="202"/>
      <c r="E36" s="202"/>
      <c r="F36" s="198">
        <f t="shared" si="1"/>
        <v>0</v>
      </c>
      <c r="G36" s="176" t="e">
        <f t="shared" si="2"/>
        <v>#DIV/0!</v>
      </c>
      <c r="I36" s="184"/>
      <c r="J36" s="235"/>
    </row>
    <row r="37" spans="1:10">
      <c r="A37" s="7">
        <v>1</v>
      </c>
      <c r="B37" s="9" t="s">
        <v>35</v>
      </c>
      <c r="C37" s="17"/>
      <c r="D37" s="202">
        <f t="shared" ref="D37:E37" si="7">SUM(D38:D39)</f>
        <v>147238117</v>
      </c>
      <c r="E37" s="202">
        <f t="shared" si="7"/>
        <v>170439000</v>
      </c>
      <c r="F37" s="198">
        <f t="shared" si="1"/>
        <v>-23200883</v>
      </c>
      <c r="G37" s="176">
        <f t="shared" si="2"/>
        <v>-0.13612426146597903</v>
      </c>
      <c r="I37" s="184"/>
      <c r="J37" s="235"/>
    </row>
    <row r="38" spans="1:10">
      <c r="A38" s="7"/>
      <c r="B38" s="12" t="s">
        <v>36</v>
      </c>
      <c r="C38" s="14"/>
      <c r="D38" s="194">
        <f>+ROUND('CE Min'!D160,0)</f>
        <v>143105117</v>
      </c>
      <c r="E38" s="194">
        <f>+ROUND('CE Min'!E160,0)</f>
        <v>165780000</v>
      </c>
      <c r="F38" s="196">
        <f t="shared" si="1"/>
        <v>-22674883</v>
      </c>
      <c r="G38" s="175">
        <f t="shared" si="2"/>
        <v>-0.13677695138134877</v>
      </c>
      <c r="I38" s="219"/>
      <c r="J38" s="235"/>
    </row>
    <row r="39" spans="1:10">
      <c r="A39" s="11"/>
      <c r="B39" s="12" t="s">
        <v>37</v>
      </c>
      <c r="C39" s="14"/>
      <c r="D39" s="194">
        <f>+ROUND('CE Min'!D191,0)</f>
        <v>4133000</v>
      </c>
      <c r="E39" s="194">
        <f>+ROUND('CE Min'!E191,0)</f>
        <v>4659000</v>
      </c>
      <c r="F39" s="196">
        <f t="shared" si="1"/>
        <v>-526000</v>
      </c>
      <c r="G39" s="175">
        <f t="shared" si="2"/>
        <v>-0.11289976389783216</v>
      </c>
      <c r="I39" s="219"/>
      <c r="J39" s="235"/>
    </row>
    <row r="40" spans="1:10">
      <c r="A40" s="7">
        <v>2</v>
      </c>
      <c r="B40" s="9" t="s">
        <v>38</v>
      </c>
      <c r="C40" s="17"/>
      <c r="D40" s="202">
        <f t="shared" ref="D40:E40" si="8">SUM(D41:D57)</f>
        <v>314414743</v>
      </c>
      <c r="E40" s="202">
        <f t="shared" si="8"/>
        <v>329141251</v>
      </c>
      <c r="F40" s="198">
        <f t="shared" si="1"/>
        <v>-14726508</v>
      </c>
      <c r="G40" s="176">
        <f t="shared" si="2"/>
        <v>-4.4742213123568637E-2</v>
      </c>
      <c r="I40" s="184"/>
      <c r="J40" s="235"/>
    </row>
    <row r="41" spans="1:10">
      <c r="A41" s="11"/>
      <c r="B41" s="13" t="s">
        <v>39</v>
      </c>
      <c r="C41" s="12"/>
      <c r="D41" s="194">
        <f>+ROUND('CE Min'!D201,0)</f>
        <v>36977238</v>
      </c>
      <c r="E41" s="194">
        <f>+ROUND('CE Min'!E201,0)</f>
        <v>41888238</v>
      </c>
      <c r="F41" s="196">
        <f t="shared" si="1"/>
        <v>-4911000</v>
      </c>
      <c r="G41" s="175">
        <f t="shared" si="2"/>
        <v>-0.11724054852820498</v>
      </c>
      <c r="I41" s="219"/>
      <c r="J41" s="235"/>
    </row>
    <row r="42" spans="1:10">
      <c r="A42" s="11"/>
      <c r="B42" s="13" t="s">
        <v>40</v>
      </c>
      <c r="C42" s="12"/>
      <c r="D42" s="194">
        <f>+ROUND('CE Min'!D209,0)</f>
        <v>42401775</v>
      </c>
      <c r="E42" s="194">
        <f>+ROUND('CE Min'!E209,0)</f>
        <v>48879623</v>
      </c>
      <c r="F42" s="196">
        <f t="shared" si="1"/>
        <v>-6477848</v>
      </c>
      <c r="G42" s="175">
        <f t="shared" si="2"/>
        <v>-0.13252655406118824</v>
      </c>
      <c r="I42" s="219"/>
      <c r="J42" s="235"/>
    </row>
    <row r="43" spans="1:10">
      <c r="A43" s="11"/>
      <c r="B43" s="13" t="s">
        <v>41</v>
      </c>
      <c r="C43" s="12"/>
      <c r="D43" s="194">
        <f>+ROUND('CE Min'!D213,0)</f>
        <v>35769182</v>
      </c>
      <c r="E43" s="194">
        <f>+ROUND('CE Min'!E213,0)</f>
        <v>36806070</v>
      </c>
      <c r="F43" s="196">
        <f t="shared" si="1"/>
        <v>-1036888</v>
      </c>
      <c r="G43" s="175">
        <f t="shared" si="2"/>
        <v>-2.8171657555397793E-2</v>
      </c>
      <c r="I43" s="219"/>
      <c r="J43" s="235"/>
    </row>
    <row r="44" spans="1:10">
      <c r="A44" s="11"/>
      <c r="B44" s="13" t="s">
        <v>42</v>
      </c>
      <c r="C44" s="12"/>
      <c r="D44" s="194">
        <f>+ROUND('CE Min'!D232,0)</f>
        <v>1584000</v>
      </c>
      <c r="E44" s="194">
        <f>+ROUND('CE Min'!E232,0)</f>
        <v>1774000</v>
      </c>
      <c r="F44" s="196">
        <f t="shared" si="1"/>
        <v>-190000</v>
      </c>
      <c r="G44" s="175">
        <f t="shared" si="2"/>
        <v>-0.10710259301014656</v>
      </c>
      <c r="I44" s="219"/>
      <c r="J44" s="235"/>
    </row>
    <row r="45" spans="1:10">
      <c r="A45" s="11"/>
      <c r="B45" s="13" t="s">
        <v>43</v>
      </c>
      <c r="C45" s="12"/>
      <c r="D45" s="194">
        <f>+ROUND('CE Min'!D238,0)</f>
        <v>7008257</v>
      </c>
      <c r="E45" s="194">
        <f>+ROUND('CE Min'!E238,0)</f>
        <v>9447688</v>
      </c>
      <c r="F45" s="196">
        <f t="shared" si="1"/>
        <v>-2439431</v>
      </c>
      <c r="G45" s="175">
        <f t="shared" si="2"/>
        <v>-0.25820401774487051</v>
      </c>
      <c r="I45" s="219"/>
      <c r="J45" s="235"/>
    </row>
    <row r="46" spans="1:10">
      <c r="A46" s="11"/>
      <c r="B46" s="13" t="s">
        <v>44</v>
      </c>
      <c r="C46" s="12"/>
      <c r="D46" s="194">
        <f>+ROUND('CE Min'!D243,0)</f>
        <v>1774000</v>
      </c>
      <c r="E46" s="194">
        <f>+ROUND('CE Min'!E243,0)</f>
        <v>5204000</v>
      </c>
      <c r="F46" s="196">
        <f t="shared" si="1"/>
        <v>-3430000</v>
      </c>
      <c r="G46" s="175">
        <f t="shared" si="2"/>
        <v>-0.65910837817063794</v>
      </c>
      <c r="I46" s="219"/>
      <c r="J46" s="235"/>
    </row>
    <row r="47" spans="1:10">
      <c r="A47" s="11"/>
      <c r="B47" s="13" t="s">
        <v>45</v>
      </c>
      <c r="C47" s="12"/>
      <c r="D47" s="194">
        <f>+ROUND('CE Min'!D248,0)</f>
        <v>73966479</v>
      </c>
      <c r="E47" s="194">
        <f>+ROUND('CE Min'!E248,0)</f>
        <v>73791547</v>
      </c>
      <c r="F47" s="196">
        <f t="shared" si="1"/>
        <v>174932</v>
      </c>
      <c r="G47" s="175">
        <f t="shared" si="2"/>
        <v>2.3706238331065209E-3</v>
      </c>
      <c r="I47" s="219"/>
      <c r="J47" s="235"/>
    </row>
    <row r="48" spans="1:10">
      <c r="A48" s="11"/>
      <c r="B48" s="13" t="s">
        <v>46</v>
      </c>
      <c r="C48" s="12"/>
      <c r="D48" s="194">
        <f>+ROUND('CE Min'!D258,0)</f>
        <v>6639000</v>
      </c>
      <c r="E48" s="194">
        <f>+ROUND('CE Min'!E258,0)</f>
        <v>7482000</v>
      </c>
      <c r="F48" s="196">
        <f t="shared" si="1"/>
        <v>-843000</v>
      </c>
      <c r="G48" s="175">
        <f t="shared" si="2"/>
        <v>-0.11267040898155574</v>
      </c>
      <c r="I48" s="219"/>
      <c r="J48" s="235"/>
    </row>
    <row r="49" spans="1:10">
      <c r="A49" s="11"/>
      <c r="B49" s="13" t="s">
        <v>47</v>
      </c>
      <c r="C49" s="12"/>
      <c r="D49" s="194">
        <f>+ROUND('CE Min'!D264,0)</f>
        <v>7689629</v>
      </c>
      <c r="E49" s="194">
        <f>+ROUND('CE Min'!E264,0)</f>
        <v>8590243</v>
      </c>
      <c r="F49" s="196">
        <f t="shared" si="1"/>
        <v>-900614</v>
      </c>
      <c r="G49" s="175">
        <f t="shared" si="2"/>
        <v>-0.10484150448363334</v>
      </c>
      <c r="I49" s="219"/>
      <c r="J49" s="235"/>
    </row>
    <row r="50" spans="1:10">
      <c r="A50" s="11"/>
      <c r="B50" s="13" t="s">
        <v>48</v>
      </c>
      <c r="C50" s="12"/>
      <c r="D50" s="194">
        <f>+ROUND('CE Min'!D271,0)</f>
        <v>331955</v>
      </c>
      <c r="E50" s="194">
        <f>+ROUND('CE Min'!E271,0)</f>
        <v>377955</v>
      </c>
      <c r="F50" s="196">
        <f t="shared" si="1"/>
        <v>-46000</v>
      </c>
      <c r="G50" s="175">
        <f t="shared" si="2"/>
        <v>-0.12170761069439484</v>
      </c>
      <c r="I50" s="219"/>
      <c r="J50" s="235"/>
    </row>
    <row r="51" spans="1:10">
      <c r="A51" s="11"/>
      <c r="B51" s="13" t="s">
        <v>49</v>
      </c>
      <c r="C51" s="12"/>
      <c r="D51" s="194">
        <f>+ROUND('CE Min'!D277,0)</f>
        <v>8047048</v>
      </c>
      <c r="E51" s="194">
        <f>+ROUND('CE Min'!E277,0)</f>
        <v>9026048</v>
      </c>
      <c r="F51" s="196">
        <f t="shared" si="1"/>
        <v>-979000</v>
      </c>
      <c r="G51" s="175">
        <f t="shared" si="2"/>
        <v>-0.10846385926598219</v>
      </c>
      <c r="I51" s="219"/>
      <c r="J51" s="235"/>
    </row>
    <row r="52" spans="1:10">
      <c r="A52" s="11"/>
      <c r="B52" s="13" t="s">
        <v>50</v>
      </c>
      <c r="C52" s="12"/>
      <c r="D52" s="194">
        <f>+ROUND('CE Min'!D282,0)</f>
        <v>60260735</v>
      </c>
      <c r="E52" s="194">
        <f>+ROUND('CE Min'!E282,0)</f>
        <v>48718137</v>
      </c>
      <c r="F52" s="196">
        <f t="shared" si="1"/>
        <v>11542598</v>
      </c>
      <c r="G52" s="175">
        <f t="shared" si="2"/>
        <v>0.23692609592193561</v>
      </c>
      <c r="I52" s="219"/>
      <c r="J52" s="235"/>
    </row>
    <row r="53" spans="1:10">
      <c r="A53" s="11"/>
      <c r="B53" s="13" t="s">
        <v>51</v>
      </c>
      <c r="C53" s="12"/>
      <c r="D53" s="194">
        <f>+ROUND('CE Min'!D291,0)</f>
        <v>6156000</v>
      </c>
      <c r="E53" s="194">
        <f>+ROUND('CE Min'!E291,0)</f>
        <v>6156000</v>
      </c>
      <c r="F53" s="196">
        <f t="shared" si="1"/>
        <v>0</v>
      </c>
      <c r="G53" s="175">
        <f t="shared" si="2"/>
        <v>0</v>
      </c>
      <c r="I53" s="219"/>
      <c r="J53" s="235"/>
    </row>
    <row r="54" spans="1:10">
      <c r="A54" s="11"/>
      <c r="B54" s="13" t="s">
        <v>52</v>
      </c>
      <c r="C54" s="12"/>
      <c r="D54" s="194">
        <f>+ROUND('CE Min'!D299,0)</f>
        <v>4709090</v>
      </c>
      <c r="E54" s="194">
        <f>+ROUND('CE Min'!E299,0)</f>
        <v>9266510</v>
      </c>
      <c r="F54" s="196">
        <f t="shared" si="1"/>
        <v>-4557420</v>
      </c>
      <c r="G54" s="175">
        <f t="shared" si="2"/>
        <v>-0.49181622854774881</v>
      </c>
      <c r="I54" s="219"/>
      <c r="J54" s="235"/>
    </row>
    <row r="55" spans="1:10">
      <c r="A55" s="11"/>
      <c r="B55" s="13" t="s">
        <v>53</v>
      </c>
      <c r="C55" s="248"/>
      <c r="D55" s="194">
        <f>+ROUND('CE Min'!D307,0)</f>
        <v>12088265</v>
      </c>
      <c r="E55" s="194">
        <f>+ROUND('CE Min'!E307,0)</f>
        <v>11726909</v>
      </c>
      <c r="F55" s="196">
        <f t="shared" si="1"/>
        <v>361356</v>
      </c>
      <c r="G55" s="175">
        <f t="shared" si="2"/>
        <v>3.0814258045321233E-2</v>
      </c>
      <c r="I55" s="219"/>
      <c r="J55" s="235"/>
    </row>
    <row r="56" spans="1:10">
      <c r="A56" s="11"/>
      <c r="B56" s="13" t="s">
        <v>54</v>
      </c>
      <c r="C56" s="12"/>
      <c r="D56" s="194">
        <f>+ROUND('CE Min'!D321,0)</f>
        <v>9012090</v>
      </c>
      <c r="E56" s="194">
        <f>+ROUND('CE Min'!E321,0)</f>
        <v>10006283</v>
      </c>
      <c r="F56" s="196">
        <f t="shared" si="1"/>
        <v>-994193</v>
      </c>
      <c r="G56" s="175">
        <f t="shared" si="2"/>
        <v>-9.9356874076018037E-2</v>
      </c>
      <c r="I56" s="219"/>
      <c r="J56" s="235"/>
    </row>
    <row r="57" spans="1:10">
      <c r="A57" s="11"/>
      <c r="B57" s="13" t="s">
        <v>55</v>
      </c>
      <c r="C57" s="12"/>
      <c r="D57" s="194">
        <f>+ROUND('CE Min'!D329,0)</f>
        <v>0</v>
      </c>
      <c r="E57" s="194">
        <f>+ROUND('CE Min'!E329,0)</f>
        <v>0</v>
      </c>
      <c r="F57" s="196">
        <f t="shared" si="1"/>
        <v>0</v>
      </c>
      <c r="G57" s="175" t="e">
        <f t="shared" si="2"/>
        <v>#DIV/0!</v>
      </c>
      <c r="I57" s="219"/>
      <c r="J57" s="235"/>
    </row>
    <row r="58" spans="1:10">
      <c r="A58" s="7">
        <v>3</v>
      </c>
      <c r="B58" s="9" t="s">
        <v>56</v>
      </c>
      <c r="C58" s="17"/>
      <c r="D58" s="202">
        <f t="shared" ref="D58:E58" si="9">SUM(D59:D61)</f>
        <v>74860107</v>
      </c>
      <c r="E58" s="202">
        <f t="shared" si="9"/>
        <v>85217418</v>
      </c>
      <c r="F58" s="198">
        <f t="shared" si="1"/>
        <v>-10357311</v>
      </c>
      <c r="G58" s="176">
        <f t="shared" si="2"/>
        <v>-0.12153983590537794</v>
      </c>
      <c r="I58" s="184"/>
      <c r="J58" s="235"/>
    </row>
    <row r="59" spans="1:10">
      <c r="A59" s="11"/>
      <c r="B59" s="13" t="s">
        <v>57</v>
      </c>
      <c r="C59" s="12"/>
      <c r="D59" s="194">
        <f>+ROUND('CE Min'!D331,0)</f>
        <v>73533688</v>
      </c>
      <c r="E59" s="194">
        <f>+ROUND('CE Min'!E331,0)</f>
        <v>82452183</v>
      </c>
      <c r="F59" s="196">
        <f t="shared" si="1"/>
        <v>-8918495</v>
      </c>
      <c r="G59" s="175">
        <f t="shared" si="2"/>
        <v>-0.10816566251496337</v>
      </c>
      <c r="I59" s="219"/>
      <c r="J59" s="235"/>
    </row>
    <row r="60" spans="1:10">
      <c r="A60" s="11"/>
      <c r="B60" s="13" t="s">
        <v>58</v>
      </c>
      <c r="C60" s="248"/>
      <c r="D60" s="194">
        <f>+ROUND('CE Min'!D351,0)</f>
        <v>1060419</v>
      </c>
      <c r="E60" s="194">
        <f>+ROUND('CE Min'!E351,0)</f>
        <v>2365235</v>
      </c>
      <c r="F60" s="196">
        <f t="shared" si="1"/>
        <v>-1304816</v>
      </c>
      <c r="G60" s="175">
        <f t="shared" si="2"/>
        <v>-0.55166442235126745</v>
      </c>
      <c r="I60" s="219"/>
      <c r="J60" s="235"/>
    </row>
    <row r="61" spans="1:10">
      <c r="A61" s="11"/>
      <c r="B61" s="13" t="s">
        <v>59</v>
      </c>
      <c r="C61" s="12"/>
      <c r="D61" s="194">
        <f>+ROUND('CE Min'!D365,0)</f>
        <v>266000</v>
      </c>
      <c r="E61" s="194">
        <f>+ROUND('CE Min'!E365,0)</f>
        <v>400000</v>
      </c>
      <c r="F61" s="196">
        <f t="shared" si="1"/>
        <v>-134000</v>
      </c>
      <c r="G61" s="175">
        <f t="shared" si="2"/>
        <v>-0.33500000000000002</v>
      </c>
      <c r="I61" s="219"/>
      <c r="J61" s="235"/>
    </row>
    <row r="62" spans="1:10">
      <c r="A62" s="7">
        <v>4</v>
      </c>
      <c r="B62" s="18" t="s">
        <v>60</v>
      </c>
      <c r="C62" s="17"/>
      <c r="D62" s="202">
        <f>+ROUND('CE Min'!D368,0)</f>
        <v>15460000</v>
      </c>
      <c r="E62" s="202">
        <f>+ROUND('CE Min'!E368,0)</f>
        <v>17533000</v>
      </c>
      <c r="F62" s="198">
        <f t="shared" si="1"/>
        <v>-2073000</v>
      </c>
      <c r="G62" s="176">
        <f t="shared" si="2"/>
        <v>-0.11823418696172931</v>
      </c>
      <c r="I62" s="184"/>
      <c r="J62" s="235"/>
    </row>
    <row r="63" spans="1:10">
      <c r="A63" s="7">
        <v>5</v>
      </c>
      <c r="B63" s="9" t="s">
        <v>61</v>
      </c>
      <c r="C63" s="9"/>
      <c r="D63" s="202">
        <f>+ROUND('CE Min'!D376,0)</f>
        <v>4979000</v>
      </c>
      <c r="E63" s="202">
        <f>+ROUND('CE Min'!E376,0)</f>
        <v>4129000</v>
      </c>
      <c r="F63" s="198">
        <f t="shared" si="1"/>
        <v>850000</v>
      </c>
      <c r="G63" s="176">
        <f t="shared" si="2"/>
        <v>0.20586098328893193</v>
      </c>
      <c r="I63" s="184"/>
      <c r="J63" s="235"/>
    </row>
    <row r="64" spans="1:10">
      <c r="A64" s="7">
        <v>6</v>
      </c>
      <c r="B64" s="9" t="s">
        <v>62</v>
      </c>
      <c r="C64" s="17"/>
      <c r="D64" s="202">
        <f t="shared" ref="D64:E64" si="10">SUM(D65:D69)</f>
        <v>321317973</v>
      </c>
      <c r="E64" s="202">
        <f t="shared" si="10"/>
        <v>319883690</v>
      </c>
      <c r="F64" s="198">
        <f t="shared" si="1"/>
        <v>1434283</v>
      </c>
      <c r="G64" s="176">
        <f t="shared" si="2"/>
        <v>4.4837640831265893E-3</v>
      </c>
      <c r="I64" s="184"/>
      <c r="J64" s="235"/>
    </row>
    <row r="65" spans="1:10">
      <c r="A65" s="7"/>
      <c r="B65" s="12" t="s">
        <v>63</v>
      </c>
      <c r="C65" s="14"/>
      <c r="D65" s="194">
        <f>+ROUND('CE Min'!D389,0)</f>
        <v>96935718</v>
      </c>
      <c r="E65" s="194">
        <f>+ROUND('CE Min'!E389,0)</f>
        <v>93067182</v>
      </c>
      <c r="F65" s="196">
        <f t="shared" si="1"/>
        <v>3868536</v>
      </c>
      <c r="G65" s="175">
        <f t="shared" si="2"/>
        <v>4.1567133729266674E-2</v>
      </c>
      <c r="I65" s="219"/>
      <c r="J65" s="235"/>
    </row>
    <row r="66" spans="1:10">
      <c r="A66" s="7"/>
      <c r="B66" s="12" t="s">
        <v>64</v>
      </c>
      <c r="C66" s="14"/>
      <c r="D66" s="194">
        <f>+ROUND('CE Min'!D393,0)</f>
        <v>12040821</v>
      </c>
      <c r="E66" s="194">
        <f>+ROUND('CE Min'!E393,0)</f>
        <v>12136225</v>
      </c>
      <c r="F66" s="196">
        <f t="shared" si="1"/>
        <v>-95404</v>
      </c>
      <c r="G66" s="175">
        <f t="shared" si="2"/>
        <v>-7.8610935443270049E-3</v>
      </c>
      <c r="I66" s="219"/>
      <c r="J66" s="235"/>
    </row>
    <row r="67" spans="1:10">
      <c r="A67" s="7"/>
      <c r="B67" s="12" t="s">
        <v>65</v>
      </c>
      <c r="C67" s="14"/>
      <c r="D67" s="194">
        <f>+ROUND('CE Min'!D397,0)</f>
        <v>141055557</v>
      </c>
      <c r="E67" s="194">
        <f>+ROUND('CE Min'!E397,0)</f>
        <v>140344901</v>
      </c>
      <c r="F67" s="196">
        <f t="shared" si="1"/>
        <v>710656</v>
      </c>
      <c r="G67" s="175">
        <f t="shared" si="2"/>
        <v>5.0636396116735295E-3</v>
      </c>
      <c r="I67" s="219"/>
      <c r="J67" s="235"/>
    </row>
    <row r="68" spans="1:10">
      <c r="A68" s="11"/>
      <c r="B68" s="12" t="s">
        <v>66</v>
      </c>
      <c r="C68" s="14"/>
      <c r="D68" s="194">
        <f>+ROUND('CE Min'!D402+'CE Min'!D411+'CE Min'!D420,0)</f>
        <v>3384806</v>
      </c>
      <c r="E68" s="194">
        <f>+ROUND('CE Min'!E402+'CE Min'!E411+'CE Min'!E420,0)</f>
        <v>3444246</v>
      </c>
      <c r="F68" s="196">
        <f t="shared" si="1"/>
        <v>-59440</v>
      </c>
      <c r="G68" s="175">
        <f t="shared" si="2"/>
        <v>-1.7257768463692778E-2</v>
      </c>
      <c r="I68" s="219"/>
      <c r="J68" s="235"/>
    </row>
    <row r="69" spans="1:10">
      <c r="A69" s="11"/>
      <c r="B69" s="12" t="s">
        <v>67</v>
      </c>
      <c r="C69" s="14"/>
      <c r="D69" s="194">
        <f>+ROUND('CE Min'!D406+'CE Min'!D415+'CE Min'!D424,0)</f>
        <v>67901071</v>
      </c>
      <c r="E69" s="194">
        <f>+ROUND('CE Min'!E406+'CE Min'!E415+'CE Min'!E424,0)</f>
        <v>70891136</v>
      </c>
      <c r="F69" s="196">
        <f t="shared" si="1"/>
        <v>-2990065</v>
      </c>
      <c r="G69" s="175">
        <f t="shared" si="2"/>
        <v>-4.2178263302199023E-2</v>
      </c>
      <c r="I69" s="219"/>
    </row>
    <row r="70" spans="1:10">
      <c r="A70" s="7">
        <v>7</v>
      </c>
      <c r="B70" s="18" t="s">
        <v>68</v>
      </c>
      <c r="C70" s="9"/>
      <c r="D70" s="202">
        <f>+ROUND('CE Min'!D428,0)</f>
        <v>2260165</v>
      </c>
      <c r="E70" s="202">
        <f>+ROUND('CE Min'!E428,0)</f>
        <v>2397377</v>
      </c>
      <c r="F70" s="198">
        <f t="shared" si="1"/>
        <v>-137212</v>
      </c>
      <c r="G70" s="176">
        <f t="shared" si="2"/>
        <v>-5.7234218898404382E-2</v>
      </c>
      <c r="I70" s="184"/>
    </row>
    <row r="71" spans="1:10">
      <c r="A71" s="7">
        <v>8</v>
      </c>
      <c r="B71" s="18" t="s">
        <v>69</v>
      </c>
      <c r="C71" s="9"/>
      <c r="D71" s="202">
        <f t="shared" ref="D71:E71" si="11">SUM(D72:D74)</f>
        <v>26474000</v>
      </c>
      <c r="E71" s="202">
        <f t="shared" si="11"/>
        <v>26474000</v>
      </c>
      <c r="F71" s="198">
        <f t="shared" si="1"/>
        <v>0</v>
      </c>
      <c r="G71" s="176">
        <f t="shared" si="2"/>
        <v>0</v>
      </c>
      <c r="I71" s="184"/>
    </row>
    <row r="72" spans="1:10">
      <c r="A72" s="7"/>
      <c r="B72" s="12" t="s">
        <v>70</v>
      </c>
      <c r="C72" s="14"/>
      <c r="D72" s="194">
        <f>+ROUND('CE Min'!D437,0)</f>
        <v>600000</v>
      </c>
      <c r="E72" s="194">
        <f>+ROUND('CE Min'!E437,0)</f>
        <v>600000</v>
      </c>
      <c r="F72" s="196">
        <f t="shared" si="1"/>
        <v>0</v>
      </c>
      <c r="G72" s="175">
        <f t="shared" si="2"/>
        <v>0</v>
      </c>
      <c r="I72" s="219"/>
    </row>
    <row r="73" spans="1:10">
      <c r="A73" s="7"/>
      <c r="B73" s="12" t="s">
        <v>71</v>
      </c>
      <c r="C73" s="14"/>
      <c r="D73" s="194">
        <f>+ROUND('CE Min'!D439,0)</f>
        <v>16230000</v>
      </c>
      <c r="E73" s="194">
        <f>+ROUND('CE Min'!E439,0)</f>
        <v>16230000</v>
      </c>
      <c r="F73" s="196">
        <f t="shared" ref="F73:F119" si="12">+D73-E73</f>
        <v>0</v>
      </c>
      <c r="G73" s="175">
        <f t="shared" ref="G73:G119" si="13">+F73/E73</f>
        <v>0</v>
      </c>
      <c r="I73" s="219"/>
    </row>
    <row r="74" spans="1:10">
      <c r="A74" s="11"/>
      <c r="B74" s="12" t="s">
        <v>72</v>
      </c>
      <c r="C74" s="14"/>
      <c r="D74" s="194">
        <f>+ROUND('CE Min'!D442,0)</f>
        <v>9644000</v>
      </c>
      <c r="E74" s="194">
        <f>+ROUND('CE Min'!E442,0)</f>
        <v>9644000</v>
      </c>
      <c r="F74" s="196">
        <f t="shared" si="12"/>
        <v>0</v>
      </c>
      <c r="G74" s="175">
        <f t="shared" si="13"/>
        <v>0</v>
      </c>
      <c r="I74" s="219"/>
    </row>
    <row r="75" spans="1:10">
      <c r="A75" s="7">
        <v>9</v>
      </c>
      <c r="B75" s="18" t="s">
        <v>73</v>
      </c>
      <c r="C75" s="9"/>
      <c r="D75" s="202">
        <f>+ROUND('CE Min'!D443,0)</f>
        <v>0</v>
      </c>
      <c r="E75" s="202">
        <f>+ROUND('CE Min'!E443,0)</f>
        <v>0</v>
      </c>
      <c r="F75" s="198">
        <f t="shared" si="12"/>
        <v>0</v>
      </c>
      <c r="G75" s="176" t="e">
        <f t="shared" si="13"/>
        <v>#DIV/0!</v>
      </c>
      <c r="I75" s="184"/>
    </row>
    <row r="76" spans="1:10">
      <c r="A76" s="7">
        <v>10</v>
      </c>
      <c r="B76" s="9" t="s">
        <v>74</v>
      </c>
      <c r="C76" s="17"/>
      <c r="D76" s="202">
        <f t="shared" ref="D76:E76" si="14">SUM(D77:D78)</f>
        <v>0</v>
      </c>
      <c r="E76" s="202">
        <f t="shared" si="14"/>
        <v>0</v>
      </c>
      <c r="F76" s="198">
        <f t="shared" si="12"/>
        <v>0</v>
      </c>
      <c r="G76" s="176" t="e">
        <f t="shared" si="13"/>
        <v>#DIV/0!</v>
      </c>
      <c r="I76" s="184"/>
    </row>
    <row r="77" spans="1:10">
      <c r="A77" s="7"/>
      <c r="B77" s="12" t="s">
        <v>75</v>
      </c>
      <c r="C77" s="14"/>
      <c r="D77" s="194">
        <f>+ROUND('CE Min'!D447,0)</f>
        <v>0</v>
      </c>
      <c r="E77" s="194">
        <f>+ROUND('CE Min'!E447,0)</f>
        <v>0</v>
      </c>
      <c r="F77" s="196">
        <f t="shared" si="12"/>
        <v>0</v>
      </c>
      <c r="G77" s="175" t="e">
        <f t="shared" si="13"/>
        <v>#DIV/0!</v>
      </c>
      <c r="I77" s="219"/>
    </row>
    <row r="78" spans="1:10">
      <c r="A78" s="7"/>
      <c r="B78" s="12" t="s">
        <v>76</v>
      </c>
      <c r="C78" s="14"/>
      <c r="D78" s="194">
        <f>+ROUND('CE Min'!D456,0)</f>
        <v>0</v>
      </c>
      <c r="E78" s="194">
        <f>+ROUND('CE Min'!E456,0)</f>
        <v>0</v>
      </c>
      <c r="F78" s="196">
        <f t="shared" si="12"/>
        <v>0</v>
      </c>
      <c r="G78" s="175" t="e">
        <f t="shared" si="13"/>
        <v>#DIV/0!</v>
      </c>
      <c r="I78" s="219"/>
    </row>
    <row r="79" spans="1:10">
      <c r="A79" s="7">
        <v>11</v>
      </c>
      <c r="B79" s="9" t="s">
        <v>77</v>
      </c>
      <c r="C79" s="17"/>
      <c r="D79" s="202">
        <f t="shared" ref="D79:E79" si="15">SUM(D80:D83)</f>
        <v>7017424</v>
      </c>
      <c r="E79" s="202">
        <f t="shared" si="15"/>
        <v>8936342</v>
      </c>
      <c r="F79" s="198">
        <f t="shared" si="12"/>
        <v>-1918918</v>
      </c>
      <c r="G79" s="176">
        <f t="shared" si="13"/>
        <v>-0.21473193393896517</v>
      </c>
      <c r="I79" s="184"/>
    </row>
    <row r="80" spans="1:10">
      <c r="A80" s="7"/>
      <c r="B80" s="12" t="s">
        <v>78</v>
      </c>
      <c r="C80" s="10"/>
      <c r="D80" s="194">
        <f>+ROUND('CE Min'!D464,0)</f>
        <v>0</v>
      </c>
      <c r="E80" s="194">
        <f>+ROUND('CE Min'!E464,0)</f>
        <v>1600000</v>
      </c>
      <c r="F80" s="196">
        <f t="shared" si="12"/>
        <v>-1600000</v>
      </c>
      <c r="G80" s="175">
        <f t="shared" si="13"/>
        <v>-1</v>
      </c>
      <c r="I80" s="219"/>
    </row>
    <row r="81" spans="1:9">
      <c r="A81" s="7"/>
      <c r="B81" s="12" t="s">
        <v>79</v>
      </c>
      <c r="C81" s="10"/>
      <c r="D81" s="194">
        <f>+ROUND('CE Min'!D472,0)</f>
        <v>169000</v>
      </c>
      <c r="E81" s="194">
        <f>+ROUND('CE Min'!E472,0)</f>
        <v>190000</v>
      </c>
      <c r="F81" s="196">
        <f t="shared" si="12"/>
        <v>-21000</v>
      </c>
      <c r="G81" s="175">
        <f t="shared" si="13"/>
        <v>-0.11052631578947368</v>
      </c>
      <c r="I81" s="219"/>
    </row>
    <row r="82" spans="1:9">
      <c r="A82" s="7"/>
      <c r="B82" s="12" t="s">
        <v>80</v>
      </c>
      <c r="C82" s="10"/>
      <c r="D82" s="194">
        <f>+ROUND('CE Min'!D473,0)</f>
        <v>730000</v>
      </c>
      <c r="E82" s="194">
        <f>+ROUND('CE Min'!E473,0)</f>
        <v>1770666</v>
      </c>
      <c r="F82" s="196">
        <f t="shared" si="12"/>
        <v>-1040666</v>
      </c>
      <c r="G82" s="175">
        <f t="shared" si="13"/>
        <v>-0.58772574839071856</v>
      </c>
      <c r="I82" s="219"/>
    </row>
    <row r="83" spans="1:9">
      <c r="A83" s="7"/>
      <c r="B83" s="12" t="s">
        <v>81</v>
      </c>
      <c r="C83" s="10"/>
      <c r="D83" s="194">
        <f>+ROUND('CE Min'!D480,0)</f>
        <v>6118424</v>
      </c>
      <c r="E83" s="194">
        <f>+ROUND('CE Min'!E480,0)</f>
        <v>5375676</v>
      </c>
      <c r="F83" s="196">
        <f t="shared" si="12"/>
        <v>742748</v>
      </c>
      <c r="G83" s="175">
        <f t="shared" si="13"/>
        <v>0.13816829734530131</v>
      </c>
      <c r="I83" s="219"/>
    </row>
    <row r="84" spans="1:9">
      <c r="A84" s="244" t="s">
        <v>82</v>
      </c>
      <c r="B84" s="245"/>
      <c r="C84" s="245"/>
      <c r="D84" s="199">
        <f t="shared" ref="D84:E84" si="16">D37+D40+D62+D63+D64+D70+D71+D75+D76+D79+D58</f>
        <v>914021529</v>
      </c>
      <c r="E84" s="199">
        <f t="shared" si="16"/>
        <v>964151078</v>
      </c>
      <c r="F84" s="200">
        <f t="shared" si="12"/>
        <v>-50129549</v>
      </c>
      <c r="G84" s="167">
        <f t="shared" si="13"/>
        <v>-5.199345843598175E-2</v>
      </c>
      <c r="I84" s="184"/>
    </row>
    <row r="85" spans="1:9" ht="13.5" thickBot="1">
      <c r="A85" s="19"/>
      <c r="B85" s="20"/>
      <c r="C85" s="21"/>
      <c r="D85" s="203"/>
      <c r="E85" s="203"/>
      <c r="F85" s="204"/>
      <c r="G85" s="177"/>
      <c r="I85" s="184"/>
    </row>
    <row r="86" spans="1:9" ht="13.5" thickBot="1">
      <c r="A86" s="246" t="s">
        <v>83</v>
      </c>
      <c r="B86" s="247"/>
      <c r="C86" s="247"/>
      <c r="D86" s="205">
        <f t="shared" ref="D86:E86" si="17">+D34-D84</f>
        <v>23051266</v>
      </c>
      <c r="E86" s="205">
        <f t="shared" si="17"/>
        <v>22355037</v>
      </c>
      <c r="F86" s="206">
        <f t="shared" si="12"/>
        <v>696229</v>
      </c>
      <c r="G86" s="168">
        <f t="shared" si="13"/>
        <v>3.1144166748639245E-2</v>
      </c>
      <c r="I86" s="184"/>
    </row>
    <row r="87" spans="1:9">
      <c r="A87" s="22"/>
      <c r="B87" s="23"/>
      <c r="C87" s="24"/>
      <c r="D87" s="201"/>
      <c r="E87" s="201"/>
      <c r="F87" s="196"/>
      <c r="G87" s="175"/>
      <c r="I87" s="219"/>
    </row>
    <row r="88" spans="1:9">
      <c r="A88" s="7" t="s">
        <v>84</v>
      </c>
      <c r="B88" s="9" t="s">
        <v>85</v>
      </c>
      <c r="C88" s="17"/>
      <c r="D88" s="202"/>
      <c r="E88" s="202"/>
      <c r="F88" s="198"/>
      <c r="G88" s="176"/>
      <c r="I88" s="184"/>
    </row>
    <row r="89" spans="1:9">
      <c r="A89" s="25"/>
      <c r="B89" s="8" t="s">
        <v>86</v>
      </c>
      <c r="C89" s="26" t="s">
        <v>87</v>
      </c>
      <c r="D89" s="197">
        <f>+ROUND('CE Min'!D493+'CE Min'!D497,0)</f>
        <v>0</v>
      </c>
      <c r="E89" s="197">
        <f>+ROUND('CE Min'!E493+'CE Min'!E497,0)</f>
        <v>5413</v>
      </c>
      <c r="F89" s="198">
        <f t="shared" si="12"/>
        <v>-5413</v>
      </c>
      <c r="G89" s="176">
        <f t="shared" si="13"/>
        <v>-1</v>
      </c>
      <c r="I89" s="184"/>
    </row>
    <row r="90" spans="1:9">
      <c r="A90" s="25"/>
      <c r="B90" s="8" t="s">
        <v>88</v>
      </c>
      <c r="C90" s="26" t="s">
        <v>89</v>
      </c>
      <c r="D90" s="197">
        <f>+ROUND('CE Min'!D503+'CE Min'!D507,0)</f>
        <v>0</v>
      </c>
      <c r="E90" s="197">
        <f>+ROUND('CE Min'!E503+'CE Min'!E507,0)</f>
        <v>165644</v>
      </c>
      <c r="F90" s="198">
        <f t="shared" si="12"/>
        <v>-165644</v>
      </c>
      <c r="G90" s="176">
        <f t="shared" si="13"/>
        <v>-1</v>
      </c>
      <c r="I90" s="184"/>
    </row>
    <row r="91" spans="1:9">
      <c r="A91" s="244" t="s">
        <v>90</v>
      </c>
      <c r="B91" s="245"/>
      <c r="C91" s="245" t="s">
        <v>91</v>
      </c>
      <c r="D91" s="199">
        <f t="shared" ref="D91:E91" si="18">+D89-D90</f>
        <v>0</v>
      </c>
      <c r="E91" s="199">
        <f t="shared" si="18"/>
        <v>-160231</v>
      </c>
      <c r="F91" s="200">
        <f t="shared" si="12"/>
        <v>160231</v>
      </c>
      <c r="G91" s="167">
        <f t="shared" si="13"/>
        <v>-1</v>
      </c>
      <c r="I91" s="184"/>
    </row>
    <row r="92" spans="1:9">
      <c r="A92" s="25"/>
      <c r="B92" s="27"/>
      <c r="C92" s="9"/>
      <c r="D92" s="202"/>
      <c r="E92" s="202"/>
      <c r="F92" s="198"/>
      <c r="G92" s="176"/>
      <c r="I92" s="184"/>
    </row>
    <row r="93" spans="1:9">
      <c r="A93" s="7" t="s">
        <v>92</v>
      </c>
      <c r="B93" s="9" t="s">
        <v>93</v>
      </c>
      <c r="C93" s="9"/>
      <c r="D93" s="202"/>
      <c r="E93" s="202"/>
      <c r="F93" s="198"/>
      <c r="G93" s="176"/>
      <c r="I93" s="184"/>
    </row>
    <row r="94" spans="1:9">
      <c r="A94" s="25"/>
      <c r="B94" s="8" t="s">
        <v>86</v>
      </c>
      <c r="C94" s="9" t="s">
        <v>94</v>
      </c>
      <c r="D94" s="197">
        <f>+ROUND(+'CE Min'!D512,0)</f>
        <v>0</v>
      </c>
      <c r="E94" s="197">
        <f>+ROUND(+'CE Min'!E512,0)</f>
        <v>0</v>
      </c>
      <c r="F94" s="198">
        <f t="shared" si="12"/>
        <v>0</v>
      </c>
      <c r="G94" s="176" t="e">
        <f t="shared" si="13"/>
        <v>#DIV/0!</v>
      </c>
      <c r="I94" s="184"/>
    </row>
    <row r="95" spans="1:9">
      <c r="A95" s="25"/>
      <c r="B95" s="8" t="s">
        <v>88</v>
      </c>
      <c r="C95" s="9" t="s">
        <v>95</v>
      </c>
      <c r="D95" s="197">
        <f>+ROUND(+'CE Min'!D513,0)</f>
        <v>0</v>
      </c>
      <c r="E95" s="197">
        <f>+ROUND(+'CE Min'!E513,0)</f>
        <v>0</v>
      </c>
      <c r="F95" s="198">
        <f t="shared" si="12"/>
        <v>0</v>
      </c>
      <c r="G95" s="176" t="e">
        <f t="shared" si="13"/>
        <v>#DIV/0!</v>
      </c>
      <c r="I95" s="184"/>
    </row>
    <row r="96" spans="1:9">
      <c r="A96" s="244" t="s">
        <v>96</v>
      </c>
      <c r="B96" s="245"/>
      <c r="C96" s="245" t="s">
        <v>91</v>
      </c>
      <c r="D96" s="199">
        <f t="shared" ref="D96:E96" si="19">D94-D95</f>
        <v>0</v>
      </c>
      <c r="E96" s="199">
        <f t="shared" si="19"/>
        <v>0</v>
      </c>
      <c r="F96" s="200">
        <f t="shared" si="12"/>
        <v>0</v>
      </c>
      <c r="G96" s="167" t="e">
        <f t="shared" si="13"/>
        <v>#DIV/0!</v>
      </c>
      <c r="I96" s="184"/>
    </row>
    <row r="97" spans="1:9">
      <c r="A97" s="25"/>
      <c r="B97" s="27"/>
      <c r="C97" s="9"/>
      <c r="D97" s="207"/>
      <c r="E97" s="207"/>
      <c r="F97" s="208"/>
      <c r="G97" s="178"/>
      <c r="I97" s="184"/>
    </row>
    <row r="98" spans="1:9">
      <c r="A98" s="28" t="s">
        <v>97</v>
      </c>
      <c r="B98" s="9" t="s">
        <v>98</v>
      </c>
      <c r="C98" s="17"/>
      <c r="D98" s="207"/>
      <c r="E98" s="207"/>
      <c r="F98" s="208"/>
      <c r="G98" s="178"/>
      <c r="I98" s="184"/>
    </row>
    <row r="99" spans="1:9">
      <c r="A99" s="28"/>
      <c r="B99" s="29">
        <v>1</v>
      </c>
      <c r="C99" s="26" t="s">
        <v>99</v>
      </c>
      <c r="D99" s="207">
        <f t="shared" ref="D99:E99" si="20">SUM(D100:D101)</f>
        <v>0</v>
      </c>
      <c r="E99" s="207">
        <f t="shared" si="20"/>
        <v>3139576</v>
      </c>
      <c r="F99" s="208">
        <f t="shared" si="12"/>
        <v>-3139576</v>
      </c>
      <c r="G99" s="178">
        <f t="shared" si="13"/>
        <v>-1</v>
      </c>
      <c r="I99" s="184"/>
    </row>
    <row r="100" spans="1:9">
      <c r="A100" s="28"/>
      <c r="B100" s="29"/>
      <c r="C100" s="12" t="s">
        <v>100</v>
      </c>
      <c r="D100" s="194">
        <f>+ROUND(+'CE Min'!D517,0)</f>
        <v>0</v>
      </c>
      <c r="E100" s="194">
        <f>+ROUND(+'CE Min'!E517,0)</f>
        <v>0</v>
      </c>
      <c r="F100" s="191">
        <f t="shared" si="12"/>
        <v>0</v>
      </c>
      <c r="G100" s="179" t="e">
        <f t="shared" si="13"/>
        <v>#DIV/0!</v>
      </c>
      <c r="I100" s="219"/>
    </row>
    <row r="101" spans="1:9">
      <c r="A101" s="28"/>
      <c r="B101" s="29"/>
      <c r="C101" s="12" t="s">
        <v>101</v>
      </c>
      <c r="D101" s="194">
        <f>+ROUND('CE Min'!D518,0)</f>
        <v>0</v>
      </c>
      <c r="E101" s="194">
        <f>+ROUND('CE Min'!E518,0)</f>
        <v>3139576</v>
      </c>
      <c r="F101" s="191">
        <f t="shared" si="12"/>
        <v>-3139576</v>
      </c>
      <c r="G101" s="179">
        <f t="shared" si="13"/>
        <v>-1</v>
      </c>
      <c r="I101" s="219"/>
    </row>
    <row r="102" spans="1:9">
      <c r="A102" s="28"/>
      <c r="B102" s="29">
        <v>2</v>
      </c>
      <c r="C102" s="9" t="s">
        <v>102</v>
      </c>
      <c r="D102" s="207">
        <f t="shared" ref="D102:E102" si="21">SUM(D103:D104)</f>
        <v>0</v>
      </c>
      <c r="E102" s="207">
        <f t="shared" si="21"/>
        <v>2312629</v>
      </c>
      <c r="F102" s="208">
        <f t="shared" si="12"/>
        <v>-2312629</v>
      </c>
      <c r="G102" s="178">
        <f t="shared" si="13"/>
        <v>-1</v>
      </c>
      <c r="I102" s="219"/>
    </row>
    <row r="103" spans="1:9">
      <c r="A103" s="28"/>
      <c r="B103" s="29"/>
      <c r="C103" s="12" t="s">
        <v>103</v>
      </c>
      <c r="D103" s="194">
        <f>+ROUND(+'CE Min'!D543,0)</f>
        <v>0</v>
      </c>
      <c r="E103" s="194">
        <f>+ROUND(+'CE Min'!E543,0)</f>
        <v>0</v>
      </c>
      <c r="F103" s="209">
        <f t="shared" si="12"/>
        <v>0</v>
      </c>
      <c r="G103" s="180" t="e">
        <f t="shared" si="13"/>
        <v>#DIV/0!</v>
      </c>
      <c r="I103" s="219"/>
    </row>
    <row r="104" spans="1:9">
      <c r="A104" s="28"/>
      <c r="B104" s="29"/>
      <c r="C104" s="12" t="s">
        <v>104</v>
      </c>
      <c r="D104" s="194">
        <f>+ROUND('CE Min'!D544,0)</f>
        <v>0</v>
      </c>
      <c r="E104" s="194">
        <f>+ROUND('CE Min'!E544,0)</f>
        <v>2312629</v>
      </c>
      <c r="F104" s="209">
        <f t="shared" si="12"/>
        <v>-2312629</v>
      </c>
      <c r="G104" s="180">
        <f t="shared" si="13"/>
        <v>-1</v>
      </c>
      <c r="I104" s="219"/>
    </row>
    <row r="105" spans="1:9">
      <c r="A105" s="244" t="s">
        <v>105</v>
      </c>
      <c r="B105" s="245"/>
      <c r="C105" s="245" t="s">
        <v>106</v>
      </c>
      <c r="D105" s="210">
        <f t="shared" ref="D105:E105" si="22">D99-D102</f>
        <v>0</v>
      </c>
      <c r="E105" s="210">
        <f t="shared" si="22"/>
        <v>826947</v>
      </c>
      <c r="F105" s="211">
        <f t="shared" si="12"/>
        <v>-826947</v>
      </c>
      <c r="G105" s="169">
        <f t="shared" si="13"/>
        <v>-1</v>
      </c>
      <c r="I105" s="184"/>
    </row>
    <row r="106" spans="1:9" ht="13.5" thickBot="1">
      <c r="A106" s="30"/>
      <c r="B106" s="31"/>
      <c r="C106" s="32"/>
      <c r="D106" s="212"/>
      <c r="E106" s="212"/>
      <c r="F106" s="213"/>
      <c r="G106" s="181"/>
      <c r="I106" s="184"/>
    </row>
    <row r="107" spans="1:9" ht="13.5" thickBot="1">
      <c r="A107" s="246" t="s">
        <v>107</v>
      </c>
      <c r="B107" s="247"/>
      <c r="C107" s="247"/>
      <c r="D107" s="214">
        <f t="shared" ref="D107:E107" si="23">D86+D91+D96+D105</f>
        <v>23051266</v>
      </c>
      <c r="E107" s="214">
        <f t="shared" si="23"/>
        <v>23021753</v>
      </c>
      <c r="F107" s="215">
        <f t="shared" si="12"/>
        <v>29513</v>
      </c>
      <c r="G107" s="170">
        <f t="shared" si="13"/>
        <v>1.2819614561931927E-3</v>
      </c>
      <c r="I107" s="184"/>
    </row>
    <row r="108" spans="1:9">
      <c r="A108" s="11"/>
      <c r="B108" s="15"/>
      <c r="C108" s="33"/>
      <c r="D108" s="216"/>
      <c r="E108" s="216"/>
      <c r="F108" s="209"/>
      <c r="G108" s="180"/>
      <c r="I108" s="219"/>
    </row>
    <row r="109" spans="1:9">
      <c r="A109" s="28" t="s">
        <v>108</v>
      </c>
      <c r="B109" s="9" t="s">
        <v>109</v>
      </c>
      <c r="C109" s="17"/>
      <c r="D109" s="207"/>
      <c r="E109" s="207"/>
      <c r="F109" s="208"/>
      <c r="G109" s="178"/>
      <c r="I109" s="184"/>
    </row>
    <row r="110" spans="1:9">
      <c r="A110" s="28"/>
      <c r="B110" s="29" t="s">
        <v>86</v>
      </c>
      <c r="C110" s="26" t="s">
        <v>110</v>
      </c>
      <c r="D110" s="207">
        <f t="shared" ref="D110:E110" si="24">SUM(D111:D114)</f>
        <v>22607266</v>
      </c>
      <c r="E110" s="207">
        <f t="shared" si="24"/>
        <v>22499753</v>
      </c>
      <c r="F110" s="208">
        <f t="shared" si="12"/>
        <v>107513</v>
      </c>
      <c r="G110" s="178">
        <f t="shared" si="13"/>
        <v>4.7784080118568415E-3</v>
      </c>
      <c r="I110" s="184"/>
    </row>
    <row r="111" spans="1:9">
      <c r="A111" s="11"/>
      <c r="B111" s="13"/>
      <c r="C111" s="12" t="s">
        <v>111</v>
      </c>
      <c r="D111" s="194">
        <f>+ROUND(+'CE Min'!D578,0)</f>
        <v>21886352</v>
      </c>
      <c r="E111" s="194">
        <f>+ROUND(+'CE Min'!E578,0)</f>
        <v>21730839</v>
      </c>
      <c r="F111" s="191">
        <f t="shared" si="12"/>
        <v>155513</v>
      </c>
      <c r="G111" s="179">
        <f t="shared" si="13"/>
        <v>7.1563274662335861E-3</v>
      </c>
      <c r="I111" s="219"/>
    </row>
    <row r="112" spans="1:9">
      <c r="A112" s="11"/>
      <c r="B112" s="13"/>
      <c r="C112" s="12" t="s">
        <v>112</v>
      </c>
      <c r="D112" s="194">
        <f>+ROUND(+'CE Min'!D579,0)</f>
        <v>365914</v>
      </c>
      <c r="E112" s="194">
        <f>+ROUND(+'CE Min'!E579,0)</f>
        <v>365914</v>
      </c>
      <c r="F112" s="191">
        <f t="shared" si="12"/>
        <v>0</v>
      </c>
      <c r="G112" s="179">
        <f t="shared" si="13"/>
        <v>0</v>
      </c>
      <c r="I112" s="219"/>
    </row>
    <row r="113" spans="1:9">
      <c r="A113" s="11"/>
      <c r="B113" s="13"/>
      <c r="C113" s="12" t="s">
        <v>113</v>
      </c>
      <c r="D113" s="194">
        <f>+ROUND(+'CE Min'!D580,0)</f>
        <v>355000</v>
      </c>
      <c r="E113" s="194">
        <f>+ROUND(+'CE Min'!E580,0)</f>
        <v>403000</v>
      </c>
      <c r="F113" s="191">
        <f t="shared" si="12"/>
        <v>-48000</v>
      </c>
      <c r="G113" s="179">
        <f t="shared" si="13"/>
        <v>-0.11910669975186104</v>
      </c>
      <c r="I113" s="219"/>
    </row>
    <row r="114" spans="1:9">
      <c r="A114" s="11"/>
      <c r="B114" s="13"/>
      <c r="C114" s="12" t="s">
        <v>114</v>
      </c>
      <c r="D114" s="194">
        <f>+ROUND(+'CE Min'!D581,0)</f>
        <v>0</v>
      </c>
      <c r="E114" s="194">
        <f>+ROUND(+'CE Min'!E581,0)</f>
        <v>0</v>
      </c>
      <c r="F114" s="191">
        <f t="shared" si="12"/>
        <v>0</v>
      </c>
      <c r="G114" s="179" t="e">
        <f t="shared" si="13"/>
        <v>#DIV/0!</v>
      </c>
      <c r="I114" s="219"/>
    </row>
    <row r="115" spans="1:9">
      <c r="A115" s="28"/>
      <c r="B115" s="29" t="s">
        <v>88</v>
      </c>
      <c r="C115" s="9" t="s">
        <v>115</v>
      </c>
      <c r="D115" s="202">
        <f>+ROUND(+'CE Min'!D582,0)</f>
        <v>444000</v>
      </c>
      <c r="E115" s="202">
        <f>+ROUND(+'CE Min'!E582,0)</f>
        <v>522000</v>
      </c>
      <c r="F115" s="208">
        <f t="shared" si="12"/>
        <v>-78000</v>
      </c>
      <c r="G115" s="178">
        <f t="shared" si="13"/>
        <v>-0.14942528735632185</v>
      </c>
      <c r="I115" s="184"/>
    </row>
    <row r="116" spans="1:9">
      <c r="A116" s="28"/>
      <c r="B116" s="29" t="s">
        <v>116</v>
      </c>
      <c r="C116" s="34" t="s">
        <v>117</v>
      </c>
      <c r="D116" s="202">
        <f>+ROUND(+'CE Min'!D585,0)</f>
        <v>0</v>
      </c>
      <c r="E116" s="202">
        <f>+ROUND(+'CE Min'!E585,0)</f>
        <v>0</v>
      </c>
      <c r="F116" s="217">
        <f t="shared" si="12"/>
        <v>0</v>
      </c>
      <c r="G116" s="182" t="e">
        <f t="shared" si="13"/>
        <v>#DIV/0!</v>
      </c>
      <c r="I116" s="184"/>
    </row>
    <row r="117" spans="1:9">
      <c r="A117" s="244" t="s">
        <v>118</v>
      </c>
      <c r="B117" s="245"/>
      <c r="C117" s="245"/>
      <c r="D117" s="210">
        <f t="shared" ref="D117:E117" si="25">D110+D115+D116</f>
        <v>23051266</v>
      </c>
      <c r="E117" s="210">
        <f t="shared" si="25"/>
        <v>23021753</v>
      </c>
      <c r="F117" s="211">
        <f t="shared" si="12"/>
        <v>29513</v>
      </c>
      <c r="G117" s="169">
        <f t="shared" si="13"/>
        <v>1.2819614561931927E-3</v>
      </c>
      <c r="I117" s="184"/>
    </row>
    <row r="118" spans="1:9">
      <c r="A118" s="11"/>
      <c r="B118" s="15"/>
      <c r="C118" s="10"/>
      <c r="D118" s="209"/>
      <c r="E118" s="209"/>
      <c r="F118" s="209"/>
      <c r="G118" s="180"/>
    </row>
    <row r="119" spans="1:9" ht="13.5" thickBot="1">
      <c r="A119" s="35" t="s">
        <v>119</v>
      </c>
      <c r="B119" s="36"/>
      <c r="C119" s="37"/>
      <c r="D119" s="218">
        <f t="shared" ref="D119:E119" si="26">D107-D117</f>
        <v>0</v>
      </c>
      <c r="E119" s="218">
        <f t="shared" si="26"/>
        <v>0</v>
      </c>
      <c r="F119" s="218">
        <f t="shared" si="12"/>
        <v>0</v>
      </c>
      <c r="G119" s="183" t="e">
        <f t="shared" si="13"/>
        <v>#DIV/0!</v>
      </c>
    </row>
    <row r="121" spans="1:9">
      <c r="A121" s="38"/>
      <c r="B121" s="38"/>
      <c r="C121" s="38"/>
      <c r="D121" s="39"/>
      <c r="E121" s="39"/>
      <c r="F121" s="39"/>
      <c r="G121" s="326"/>
    </row>
    <row r="124" spans="1:9">
      <c r="C124" s="40"/>
      <c r="D124" s="39"/>
      <c r="E124" s="39"/>
      <c r="G124" s="327"/>
    </row>
    <row r="129" spans="7:7">
      <c r="G129" s="328"/>
    </row>
  </sheetData>
  <mergeCells count="2">
    <mergeCell ref="A3:C3"/>
    <mergeCell ref="F3:G3"/>
  </mergeCells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0"/>
  <sheetViews>
    <sheetView workbookViewId="0"/>
  </sheetViews>
  <sheetFormatPr defaultColWidth="16.7109375" defaultRowHeight="12.75"/>
  <cols>
    <col min="1" max="1" width="8.5703125" customWidth="1"/>
    <col min="3" max="3" width="52" customWidth="1"/>
    <col min="4" max="5" width="21.140625" customWidth="1"/>
    <col min="6" max="6" width="23.85546875" customWidth="1"/>
    <col min="7" max="7" width="5" customWidth="1"/>
    <col min="8" max="8" width="4.7109375" customWidth="1"/>
    <col min="9" max="9" width="21.140625" customWidth="1"/>
    <col min="10" max="10" width="5.5703125" customWidth="1"/>
    <col min="11" max="11" width="4.28515625" customWidth="1"/>
    <col min="12" max="12" width="7.28515625" customWidth="1"/>
    <col min="13" max="13" width="6.140625" customWidth="1"/>
    <col min="14" max="14" width="8.5703125" hidden="1" customWidth="1"/>
    <col min="15" max="15" width="16.7109375" hidden="1" customWidth="1"/>
    <col min="16" max="16" width="1.28515625" customWidth="1"/>
    <col min="17" max="17" width="16.7109375" hidden="1" customWidth="1"/>
    <col min="18" max="18" width="4.7109375" customWidth="1"/>
    <col min="19" max="19" width="3.85546875" customWidth="1"/>
    <col min="20" max="20" width="3" customWidth="1"/>
    <col min="21" max="21" width="3.140625" customWidth="1"/>
    <col min="22" max="22" width="4" customWidth="1"/>
    <col min="23" max="23" width="2.42578125" customWidth="1"/>
    <col min="24" max="24" width="2" customWidth="1"/>
    <col min="25" max="25" width="3.85546875" customWidth="1"/>
    <col min="26" max="26" width="1.28515625" customWidth="1"/>
    <col min="27" max="27" width="3.42578125" customWidth="1"/>
    <col min="28" max="28" width="2.7109375" customWidth="1"/>
    <col min="29" max="29" width="0.85546875" customWidth="1"/>
  </cols>
  <sheetData>
    <row r="1" spans="1:31" s="48" customFormat="1" ht="15" customHeight="1">
      <c r="A1" s="45" t="s">
        <v>1223</v>
      </c>
      <c r="B1" s="46"/>
      <c r="C1" s="47"/>
      <c r="D1" s="47"/>
      <c r="E1" s="47"/>
      <c r="F1" s="333"/>
      <c r="Z1" s="49"/>
      <c r="AA1" s="50" t="s">
        <v>1224</v>
      </c>
      <c r="AB1" s="50"/>
      <c r="AC1" s="51"/>
      <c r="AD1" s="52"/>
    </row>
    <row r="2" spans="1:31" s="48" customFormat="1" ht="15.95" customHeight="1" thickBot="1">
      <c r="A2" s="46"/>
      <c r="B2" s="46"/>
      <c r="C2" s="47"/>
      <c r="D2" s="47"/>
      <c r="E2" s="47"/>
      <c r="F2" s="333"/>
      <c r="Z2" s="53"/>
      <c r="AA2" s="54"/>
      <c r="AB2" s="54"/>
      <c r="AC2" s="55"/>
      <c r="AD2" s="52"/>
    </row>
    <row r="3" spans="1:31" s="48" customFormat="1" ht="18">
      <c r="A3" s="56" t="s">
        <v>1225</v>
      </c>
      <c r="B3" s="46"/>
      <c r="C3" s="47"/>
      <c r="D3" s="47"/>
      <c r="E3" s="47"/>
      <c r="F3" s="333"/>
      <c r="AD3" s="52"/>
    </row>
    <row r="4" spans="1:31" s="48" customFormat="1" ht="18">
      <c r="A4" s="56" t="s">
        <v>1226</v>
      </c>
      <c r="B4" s="46"/>
      <c r="C4" s="47"/>
      <c r="D4" s="47"/>
      <c r="E4" s="47"/>
      <c r="F4" s="333"/>
      <c r="AD4" s="52"/>
    </row>
    <row r="5" spans="1:31" s="48" customFormat="1" ht="18">
      <c r="A5" s="46"/>
      <c r="B5" s="46"/>
      <c r="C5" s="47"/>
      <c r="D5" s="47"/>
      <c r="E5" s="47"/>
      <c r="F5" s="333"/>
      <c r="AD5" s="52"/>
    </row>
    <row r="6" spans="1:31" s="48" customFormat="1" ht="76.5" customHeight="1">
      <c r="A6" s="57" t="s">
        <v>1227</v>
      </c>
      <c r="B6" s="46"/>
      <c r="C6" s="58"/>
      <c r="D6" s="58"/>
      <c r="E6" s="58"/>
      <c r="F6" s="334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61"/>
    </row>
    <row r="7" spans="1:31" s="48" customFormat="1" ht="21" customHeight="1" thickBot="1">
      <c r="A7" s="62"/>
      <c r="B7" s="63"/>
      <c r="C7" s="63"/>
      <c r="D7" s="63"/>
      <c r="E7" s="63"/>
      <c r="F7" s="33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0"/>
      <c r="AE7" s="61"/>
    </row>
    <row r="8" spans="1:31" s="48" customFormat="1" ht="18.75" thickBot="1">
      <c r="A8" s="65" t="s">
        <v>1228</v>
      </c>
      <c r="B8" s="66"/>
      <c r="C8" s="336"/>
      <c r="D8" s="336"/>
      <c r="E8" s="336"/>
      <c r="F8" s="233"/>
      <c r="G8" s="233"/>
      <c r="H8" s="233"/>
      <c r="I8" s="233"/>
      <c r="J8" s="67"/>
      <c r="K8" s="64"/>
      <c r="L8" s="337" t="s">
        <v>1957</v>
      </c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67"/>
      <c r="AD8" s="60"/>
      <c r="AE8" s="61"/>
    </row>
    <row r="9" spans="1:31" s="48" customFormat="1" ht="18">
      <c r="A9" s="68"/>
      <c r="B9" s="69"/>
      <c r="C9" s="338"/>
      <c r="D9" s="338"/>
      <c r="E9" s="338"/>
      <c r="F9" s="70"/>
      <c r="G9" s="70"/>
      <c r="H9" s="70"/>
      <c r="I9" s="70"/>
      <c r="J9" s="71"/>
      <c r="K9" s="64"/>
      <c r="L9" s="33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  <c r="AD9" s="60"/>
      <c r="AE9" s="61"/>
    </row>
    <row r="10" spans="1:31" s="48" customFormat="1" ht="18">
      <c r="A10" s="72" t="s">
        <v>1229</v>
      </c>
      <c r="B10" s="346">
        <v>60</v>
      </c>
      <c r="C10" s="347" t="s">
        <v>1963</v>
      </c>
      <c r="D10" s="353"/>
      <c r="E10" s="353"/>
      <c r="F10" s="62" t="s">
        <v>1958</v>
      </c>
      <c r="G10" s="73"/>
      <c r="H10" s="73">
        <v>2</v>
      </c>
      <c r="I10" s="73">
        <v>0</v>
      </c>
      <c r="J10" s="389">
        <v>7</v>
      </c>
      <c r="K10" s="64"/>
      <c r="L10" s="340" t="s">
        <v>1959</v>
      </c>
      <c r="M10" s="75"/>
      <c r="N10" s="75"/>
      <c r="O10" s="75"/>
      <c r="P10" s="75"/>
      <c r="Q10" s="62"/>
      <c r="R10" s="62"/>
      <c r="S10" s="73">
        <v>2</v>
      </c>
      <c r="T10" s="73">
        <v>0</v>
      </c>
      <c r="U10" s="73">
        <v>2</v>
      </c>
      <c r="V10" s="73">
        <v>4</v>
      </c>
      <c r="W10" s="62"/>
      <c r="X10" s="62"/>
      <c r="Y10" s="62"/>
      <c r="Z10" s="62"/>
      <c r="AA10" s="62"/>
      <c r="AB10" s="62"/>
      <c r="AC10" s="74"/>
      <c r="AD10" s="60"/>
      <c r="AE10" s="61"/>
    </row>
    <row r="11" spans="1:31" s="48" customFormat="1" ht="18">
      <c r="A11" s="72"/>
      <c r="B11" s="76"/>
      <c r="C11" s="341"/>
      <c r="D11" s="341"/>
      <c r="E11" s="341"/>
      <c r="F11" s="62"/>
      <c r="G11" s="62"/>
      <c r="H11" s="62"/>
      <c r="I11" s="62"/>
      <c r="J11" s="74"/>
      <c r="K11" s="64"/>
      <c r="L11" s="34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74"/>
      <c r="AD11" s="60"/>
      <c r="AE11" s="61"/>
    </row>
    <row r="12" spans="1:31" s="48" customFormat="1" ht="18">
      <c r="A12" s="72"/>
      <c r="B12" s="76"/>
      <c r="C12" s="341"/>
      <c r="D12" s="341"/>
      <c r="E12" s="341"/>
      <c r="F12" s="62"/>
      <c r="G12" s="62"/>
      <c r="H12" s="62"/>
      <c r="I12" s="62"/>
      <c r="J12" s="74"/>
      <c r="K12" s="64"/>
      <c r="L12" s="340" t="s">
        <v>1960</v>
      </c>
      <c r="M12" s="75"/>
      <c r="N12" s="75"/>
      <c r="O12" s="75"/>
      <c r="P12" s="75"/>
      <c r="Q12" s="75"/>
      <c r="R12" s="62">
        <v>1</v>
      </c>
      <c r="S12" s="73"/>
      <c r="T12" s="62"/>
      <c r="U12" s="62">
        <v>2</v>
      </c>
      <c r="V12" s="73"/>
      <c r="W12" s="62"/>
      <c r="X12" s="62">
        <v>3</v>
      </c>
      <c r="Y12" s="73"/>
      <c r="Z12" s="62"/>
      <c r="AA12" s="62">
        <v>4</v>
      </c>
      <c r="AB12" s="73"/>
      <c r="AC12" s="74"/>
      <c r="AD12" s="60"/>
      <c r="AE12" s="61"/>
    </row>
    <row r="13" spans="1:31" s="48" customFormat="1" ht="18">
      <c r="A13" s="72"/>
      <c r="B13" s="76"/>
      <c r="C13" s="341"/>
      <c r="D13" s="341"/>
      <c r="E13" s="341"/>
      <c r="F13" s="62"/>
      <c r="G13" s="62"/>
      <c r="H13" s="62"/>
      <c r="I13" s="62"/>
      <c r="J13" s="74"/>
      <c r="K13" s="64"/>
      <c r="L13" s="34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74"/>
      <c r="AD13" s="60"/>
      <c r="AE13" s="61"/>
    </row>
    <row r="14" spans="1:31" s="48" customFormat="1" ht="18">
      <c r="A14" s="72"/>
      <c r="B14" s="76"/>
      <c r="C14" s="341"/>
      <c r="D14" s="341"/>
      <c r="E14" s="341"/>
      <c r="F14" s="62"/>
      <c r="G14" s="62"/>
      <c r="H14" s="62"/>
      <c r="I14" s="62"/>
      <c r="J14" s="74"/>
      <c r="K14" s="64"/>
      <c r="L14" s="340" t="s">
        <v>1961</v>
      </c>
      <c r="M14" s="75"/>
      <c r="N14" s="75"/>
      <c r="O14" s="75"/>
      <c r="P14" s="75"/>
      <c r="Q14" s="75"/>
      <c r="R14" s="62"/>
      <c r="S14" s="73" t="s">
        <v>3642</v>
      </c>
      <c r="T14" s="62"/>
      <c r="U14" s="62"/>
      <c r="V14" s="62"/>
      <c r="W14" s="75"/>
      <c r="X14" s="75"/>
      <c r="Y14" s="75"/>
      <c r="Z14" s="77" t="s">
        <v>1230</v>
      </c>
      <c r="AA14" s="62"/>
      <c r="AB14" s="73"/>
      <c r="AC14" s="74"/>
      <c r="AD14" s="60"/>
      <c r="AE14" s="61"/>
    </row>
    <row r="15" spans="1:31" s="48" customFormat="1" ht="18.75" thickBot="1">
      <c r="A15" s="78"/>
      <c r="B15" s="79"/>
      <c r="C15" s="343"/>
      <c r="D15" s="343"/>
      <c r="E15" s="343"/>
      <c r="F15" s="80"/>
      <c r="G15" s="80"/>
      <c r="H15" s="80"/>
      <c r="I15" s="80"/>
      <c r="J15" s="81"/>
      <c r="K15" s="64"/>
      <c r="L15" s="344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60"/>
      <c r="AE15" s="61"/>
    </row>
    <row r="16" spans="1:31" s="48" customFormat="1" ht="18">
      <c r="B16" s="76"/>
      <c r="C16" s="76"/>
      <c r="D16" s="76"/>
      <c r="E16" s="76"/>
      <c r="F16" s="34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0"/>
      <c r="AE16" s="61"/>
    </row>
    <row r="17" spans="1:31" s="48" customFormat="1" ht="18.75" thickBot="1">
      <c r="B17" s="76"/>
      <c r="C17" s="76"/>
      <c r="D17" s="76"/>
      <c r="E17" s="76"/>
      <c r="F17" s="34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0"/>
      <c r="AE17" s="61"/>
    </row>
    <row r="18" spans="1:31" s="48" customFormat="1" ht="15.95" customHeight="1" thickBot="1">
      <c r="A18" s="493" t="s">
        <v>1231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5"/>
      <c r="AC18" s="60"/>
      <c r="AD18" s="61"/>
    </row>
    <row r="19" spans="1:31" s="48" customFormat="1" ht="15">
      <c r="A19" s="82"/>
      <c r="B19" s="83"/>
      <c r="C19" s="83"/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345"/>
      <c r="AC19" s="60"/>
      <c r="AD19" s="61"/>
    </row>
    <row r="20" spans="1:31" s="48" customFormat="1" ht="15">
      <c r="A20" s="85"/>
      <c r="B20" s="76"/>
      <c r="C20" s="76"/>
      <c r="D20" s="76"/>
      <c r="E20" s="76"/>
      <c r="F20" s="62"/>
      <c r="G20" s="77"/>
      <c r="H20" s="77" t="s">
        <v>1962</v>
      </c>
      <c r="I20" s="73"/>
      <c r="J20" s="62"/>
      <c r="K20" s="77" t="s">
        <v>1232</v>
      </c>
      <c r="L20" s="73"/>
      <c r="M20" s="86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74"/>
      <c r="AC20" s="60"/>
      <c r="AD20" s="61"/>
    </row>
    <row r="21" spans="1:31" s="48" customFormat="1" ht="15.75" thickBot="1">
      <c r="A21" s="87"/>
      <c r="B21" s="79"/>
      <c r="C21" s="79"/>
      <c r="D21" s="79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60"/>
      <c r="AD21" s="61"/>
    </row>
    <row r="22" spans="1:31" ht="15.75" thickBot="1">
      <c r="A22" s="88"/>
      <c r="B22" s="89"/>
      <c r="C22" s="89"/>
      <c r="D22" s="89"/>
      <c r="E22" s="89"/>
      <c r="F22" s="88"/>
      <c r="G22" s="88"/>
      <c r="H22" s="88"/>
      <c r="I22" s="88"/>
      <c r="J22" s="88"/>
      <c r="K22" s="88"/>
      <c r="L22" s="88"/>
      <c r="M22" s="88"/>
      <c r="N22" s="88"/>
      <c r="Z22" s="90"/>
    </row>
    <row r="23" spans="1:31" s="256" customFormat="1" ht="66" customHeight="1" thickBot="1">
      <c r="A23" s="220" t="s">
        <v>1233</v>
      </c>
      <c r="B23" s="91" t="s">
        <v>1234</v>
      </c>
      <c r="C23" s="323" t="s">
        <v>1235</v>
      </c>
      <c r="D23" s="254" t="s">
        <v>3638</v>
      </c>
      <c r="E23" s="254" t="s">
        <v>3639</v>
      </c>
      <c r="F23" s="390" t="s">
        <v>3634</v>
      </c>
      <c r="G23" s="93"/>
      <c r="H23" s="255"/>
      <c r="I23" s="254" t="s">
        <v>3643</v>
      </c>
      <c r="J23" s="92"/>
      <c r="K23" s="92"/>
      <c r="L23" s="92"/>
      <c r="M23" s="92"/>
      <c r="N23" s="92"/>
      <c r="O23" s="92"/>
      <c r="P23" s="92"/>
      <c r="Q23"/>
      <c r="R23"/>
      <c r="S23"/>
      <c r="T23"/>
      <c r="U23"/>
      <c r="V23"/>
      <c r="W23"/>
      <c r="X23"/>
      <c r="Y23"/>
      <c r="Z23"/>
      <c r="AA23"/>
      <c r="AB23" s="93"/>
      <c r="AC23" s="93"/>
      <c r="AE23" s="257"/>
    </row>
    <row r="24" spans="1:31" ht="18.75">
      <c r="A24" s="221"/>
      <c r="B24" s="131"/>
      <c r="C24" s="132" t="s">
        <v>1832</v>
      </c>
      <c r="D24" s="133"/>
      <c r="E24" s="133"/>
      <c r="F24" s="133"/>
      <c r="G24" s="60"/>
      <c r="H24" s="236"/>
      <c r="I24" s="133"/>
    </row>
    <row r="25" spans="1:31" ht="18.75">
      <c r="A25" s="222"/>
      <c r="B25" s="134" t="s">
        <v>1236</v>
      </c>
      <c r="C25" s="135" t="s">
        <v>1237</v>
      </c>
      <c r="D25" s="136">
        <f t="shared" ref="D25:E25" si="0">(D26+D35+D50+D55)</f>
        <v>851623113</v>
      </c>
      <c r="E25" s="136">
        <f t="shared" si="0"/>
        <v>854172431</v>
      </c>
      <c r="F25" s="136">
        <f>+D25-E25</f>
        <v>-2549318</v>
      </c>
      <c r="G25" s="60" t="s">
        <v>1838</v>
      </c>
      <c r="H25" s="236"/>
      <c r="I25" s="136">
        <v>79776977.659999996</v>
      </c>
      <c r="K25" s="94"/>
    </row>
    <row r="26" spans="1:31" ht="25.5">
      <c r="A26" s="223"/>
      <c r="B26" s="129" t="s">
        <v>1238</v>
      </c>
      <c r="C26" s="130" t="s">
        <v>1239</v>
      </c>
      <c r="D26" s="128">
        <f t="shared" ref="D26:E26" si="1">+D27+D34</f>
        <v>827139974</v>
      </c>
      <c r="E26" s="128">
        <f t="shared" si="1"/>
        <v>830241632</v>
      </c>
      <c r="F26" s="128">
        <f t="shared" ref="F26:F89" si="2">+D26-E26</f>
        <v>-3101658</v>
      </c>
      <c r="G26" s="60" t="s">
        <v>1838</v>
      </c>
      <c r="H26" s="236"/>
      <c r="I26" s="128">
        <v>74442597.659999996</v>
      </c>
      <c r="K26" s="94"/>
      <c r="M26" s="98"/>
    </row>
    <row r="27" spans="1:31" ht="25.5">
      <c r="A27" s="222"/>
      <c r="B27" s="140" t="s">
        <v>122</v>
      </c>
      <c r="C27" s="141" t="s">
        <v>1240</v>
      </c>
      <c r="D27" s="142">
        <f t="shared" ref="D27:E27" si="3">+D28+D29+D30+D33</f>
        <v>827139974</v>
      </c>
      <c r="E27" s="142">
        <f t="shared" si="3"/>
        <v>829299115</v>
      </c>
      <c r="F27" s="142">
        <f t="shared" si="2"/>
        <v>-2159141</v>
      </c>
      <c r="G27" s="60" t="s">
        <v>1838</v>
      </c>
      <c r="H27" s="236"/>
      <c r="I27" s="142">
        <v>74442597.659999996</v>
      </c>
      <c r="K27" s="94"/>
      <c r="M27" s="98"/>
    </row>
    <row r="28" spans="1:31" ht="18.75">
      <c r="A28" s="222"/>
      <c r="B28" s="103" t="s">
        <v>123</v>
      </c>
      <c r="C28" s="104" t="s">
        <v>1241</v>
      </c>
      <c r="D28" s="97">
        <f>ROUND('Alimentazione CE Ricavi'!E7,2)</f>
        <v>732034147</v>
      </c>
      <c r="E28" s="97">
        <f>ROUND('Alimentazione CE Ricavi'!H7,2)</f>
        <v>725439818</v>
      </c>
      <c r="F28" s="97">
        <f t="shared" si="2"/>
        <v>6594329</v>
      </c>
      <c r="G28" s="60"/>
      <c r="H28" s="236"/>
      <c r="I28" s="97">
        <v>0</v>
      </c>
      <c r="K28" s="94"/>
      <c r="M28" s="98"/>
    </row>
    <row r="29" spans="1:31" ht="18.75">
      <c r="A29" s="222"/>
      <c r="B29" s="103" t="s">
        <v>125</v>
      </c>
      <c r="C29" s="104" t="s">
        <v>1242</v>
      </c>
      <c r="D29" s="97">
        <f>ROUND('Alimentazione CE Ricavi'!E9,2)</f>
        <v>37357427</v>
      </c>
      <c r="E29" s="97">
        <f>ROUND('Alimentazione CE Ricavi'!H9,2)</f>
        <v>44629964</v>
      </c>
      <c r="F29" s="97">
        <f t="shared" si="2"/>
        <v>-7272537</v>
      </c>
      <c r="G29" s="60"/>
      <c r="H29" s="236"/>
      <c r="I29" s="97">
        <v>27523046.66</v>
      </c>
      <c r="K29" s="94"/>
      <c r="M29" s="98"/>
    </row>
    <row r="30" spans="1:31" ht="18.75">
      <c r="A30" s="222"/>
      <c r="B30" s="143" t="s">
        <v>126</v>
      </c>
      <c r="C30" s="144" t="s">
        <v>1243</v>
      </c>
      <c r="D30" s="145">
        <f t="shared" ref="D30:E30" si="4">+D31+D32</f>
        <v>57748400</v>
      </c>
      <c r="E30" s="145">
        <f t="shared" si="4"/>
        <v>59229333</v>
      </c>
      <c r="F30" s="145">
        <f t="shared" si="2"/>
        <v>-1480933</v>
      </c>
      <c r="G30" s="60" t="s">
        <v>1838</v>
      </c>
      <c r="H30" s="236"/>
      <c r="I30" s="145">
        <v>46919551</v>
      </c>
      <c r="K30" s="94"/>
      <c r="M30" s="98"/>
    </row>
    <row r="31" spans="1:31" ht="18.75">
      <c r="A31" s="222"/>
      <c r="B31" s="105" t="s">
        <v>128</v>
      </c>
      <c r="C31" s="106" t="s">
        <v>1244</v>
      </c>
      <c r="D31" s="97">
        <f>ROUND('Alimentazione CE Ricavi'!E12,)</f>
        <v>16390504</v>
      </c>
      <c r="E31" s="97">
        <f>ROUND('Alimentazione CE Ricavi'!H12,)</f>
        <v>16390504</v>
      </c>
      <c r="F31" s="97">
        <f t="shared" si="2"/>
        <v>0</v>
      </c>
      <c r="G31" s="60"/>
      <c r="H31" s="236"/>
      <c r="I31" s="97">
        <v>16390504</v>
      </c>
      <c r="K31" s="94"/>
      <c r="M31" s="98"/>
    </row>
    <row r="32" spans="1:31" ht="18.75">
      <c r="A32" s="222"/>
      <c r="B32" s="105" t="s">
        <v>130</v>
      </c>
      <c r="C32" s="106" t="s">
        <v>1245</v>
      </c>
      <c r="D32" s="97">
        <f>+ROUND('Alimentazione CE Ricavi'!E14,2)</f>
        <v>41357896</v>
      </c>
      <c r="E32" s="97">
        <f>+ROUND('Alimentazione CE Ricavi'!H14,2)</f>
        <v>42838829</v>
      </c>
      <c r="F32" s="97">
        <f t="shared" si="2"/>
        <v>-1480933</v>
      </c>
      <c r="G32" s="60"/>
      <c r="H32" s="236"/>
      <c r="I32" s="97">
        <v>30529047</v>
      </c>
      <c r="K32" s="94"/>
      <c r="M32" s="98"/>
    </row>
    <row r="33" spans="1:13" ht="25.5">
      <c r="A33" s="222"/>
      <c r="B33" s="103" t="s">
        <v>132</v>
      </c>
      <c r="C33" s="104" t="s">
        <v>1246</v>
      </c>
      <c r="D33" s="97">
        <f>ROUND('Alimentazione CE Ricavi'!E16,2)</f>
        <v>0</v>
      </c>
      <c r="E33" s="97">
        <f>ROUND('Alimentazione CE Ricavi'!H16,2)</f>
        <v>0</v>
      </c>
      <c r="F33" s="97">
        <f t="shared" si="2"/>
        <v>0</v>
      </c>
      <c r="G33" s="60"/>
      <c r="H33" s="236"/>
      <c r="I33" s="97">
        <v>0</v>
      </c>
      <c r="K33" s="94"/>
      <c r="M33" s="98"/>
    </row>
    <row r="34" spans="1:13" ht="25.5">
      <c r="A34" s="222"/>
      <c r="B34" s="140" t="s">
        <v>133</v>
      </c>
      <c r="C34" s="141" t="s">
        <v>1247</v>
      </c>
      <c r="D34" s="142">
        <f>ROUND('Alimentazione CE Ricavi'!E18,2)</f>
        <v>0</v>
      </c>
      <c r="E34" s="142">
        <f>ROUND('Alimentazione CE Ricavi'!H18,2)</f>
        <v>942517</v>
      </c>
      <c r="F34" s="142">
        <f t="shared" si="2"/>
        <v>-942517</v>
      </c>
      <c r="G34" s="60"/>
      <c r="H34" s="236"/>
      <c r="I34" s="142"/>
      <c r="K34" s="94"/>
      <c r="M34" s="98"/>
    </row>
    <row r="35" spans="1:13" ht="18.75">
      <c r="A35" s="222"/>
      <c r="B35" s="129" t="s">
        <v>135</v>
      </c>
      <c r="C35" s="130" t="s">
        <v>1248</v>
      </c>
      <c r="D35" s="128">
        <f t="shared" ref="D35:E35" si="5">+D36+D41+D44</f>
        <v>24450139</v>
      </c>
      <c r="E35" s="128">
        <f t="shared" si="5"/>
        <v>23547603</v>
      </c>
      <c r="F35" s="128">
        <f t="shared" si="2"/>
        <v>902536</v>
      </c>
      <c r="G35" s="60" t="s">
        <v>1838</v>
      </c>
      <c r="H35" s="236"/>
      <c r="I35" s="128">
        <v>5334380</v>
      </c>
      <c r="K35" s="94"/>
      <c r="M35" s="98"/>
    </row>
    <row r="36" spans="1:13" ht="18.75">
      <c r="A36" s="222"/>
      <c r="B36" s="140" t="s">
        <v>136</v>
      </c>
      <c r="C36" s="141" t="s">
        <v>1249</v>
      </c>
      <c r="D36" s="142">
        <f t="shared" ref="D36:E36" si="6">+D37+D38+D39+D40</f>
        <v>22604139</v>
      </c>
      <c r="E36" s="142">
        <f t="shared" si="6"/>
        <v>20787140</v>
      </c>
      <c r="F36" s="142">
        <f t="shared" si="2"/>
        <v>1816999</v>
      </c>
      <c r="G36" s="60" t="s">
        <v>1838</v>
      </c>
      <c r="H36" s="236"/>
      <c r="I36" s="142">
        <v>5334380</v>
      </c>
      <c r="K36" s="94"/>
      <c r="M36" s="98"/>
    </row>
    <row r="37" spans="1:13" ht="25.5">
      <c r="A37" s="222"/>
      <c r="B37" s="103" t="s">
        <v>137</v>
      </c>
      <c r="C37" s="104" t="s">
        <v>1250</v>
      </c>
      <c r="D37" s="97">
        <f>ROUND(('Alimentazione CE Ricavi'!E22+'Alimentazione CE Ricavi'!E23+'Alimentazione CE Ricavi'!E24+'Alimentazione CE Ricavi'!E25+'Alimentazione CE Ricavi'!E26+'Alimentazione CE Ricavi'!E27),2)</f>
        <v>21766139</v>
      </c>
      <c r="E37" s="97">
        <f>ROUND(('Alimentazione CE Ricavi'!H22+'Alimentazione CE Ricavi'!H23+'Alimentazione CE Ricavi'!H24+'Alimentazione CE Ricavi'!H25+'Alimentazione CE Ricavi'!H26+'Alimentazione CE Ricavi'!H27),2)</f>
        <v>19724562</v>
      </c>
      <c r="F37" s="97">
        <f t="shared" si="2"/>
        <v>2041577</v>
      </c>
      <c r="G37" s="60"/>
      <c r="H37" s="236"/>
      <c r="I37" s="97">
        <v>5334380</v>
      </c>
      <c r="K37" s="94"/>
      <c r="M37" s="98"/>
    </row>
    <row r="38" spans="1:13" ht="38.25">
      <c r="A38" s="222"/>
      <c r="B38" s="103" t="s">
        <v>144</v>
      </c>
      <c r="C38" s="104" t="s">
        <v>1839</v>
      </c>
      <c r="D38" s="97">
        <f>ROUND('Alimentazione CE Ricavi'!E29,2)</f>
        <v>0</v>
      </c>
      <c r="E38" s="97">
        <f>ROUND('Alimentazione CE Ricavi'!H29,2)</f>
        <v>0</v>
      </c>
      <c r="F38" s="97">
        <f t="shared" si="2"/>
        <v>0</v>
      </c>
      <c r="G38" s="60"/>
      <c r="H38" s="236"/>
      <c r="I38" s="97">
        <v>0</v>
      </c>
      <c r="K38" s="94"/>
      <c r="M38" s="98"/>
    </row>
    <row r="39" spans="1:13" ht="38.25">
      <c r="A39" s="222"/>
      <c r="B39" s="103" t="s">
        <v>145</v>
      </c>
      <c r="C39" s="104" t="s">
        <v>1840</v>
      </c>
      <c r="D39" s="97">
        <f>ROUND('Alimentazione CE Ricavi'!E31,2)</f>
        <v>0</v>
      </c>
      <c r="E39" s="97">
        <f>ROUND('Alimentazione CE Ricavi'!H31,2)</f>
        <v>0</v>
      </c>
      <c r="F39" s="97">
        <f t="shared" si="2"/>
        <v>0</v>
      </c>
      <c r="G39" s="60"/>
      <c r="H39" s="236"/>
      <c r="I39" s="97">
        <v>0</v>
      </c>
      <c r="K39" s="94"/>
      <c r="M39" s="98"/>
    </row>
    <row r="40" spans="1:13" ht="25.5">
      <c r="A40" s="222"/>
      <c r="B40" s="103" t="s">
        <v>147</v>
      </c>
      <c r="C40" s="104" t="s">
        <v>1251</v>
      </c>
      <c r="D40" s="97">
        <f>ROUND('Alimentazione CE Ricavi'!E33,2)</f>
        <v>838000</v>
      </c>
      <c r="E40" s="97">
        <f>ROUND('Alimentazione CE Ricavi'!H33,2)</f>
        <v>1062578</v>
      </c>
      <c r="F40" s="97">
        <f t="shared" si="2"/>
        <v>-224578</v>
      </c>
      <c r="G40" s="60"/>
      <c r="H40" s="236"/>
      <c r="I40" s="97">
        <v>0</v>
      </c>
      <c r="K40" s="94"/>
      <c r="M40" s="98"/>
    </row>
    <row r="41" spans="1:13" ht="25.5">
      <c r="A41" s="222"/>
      <c r="B41" s="140" t="s">
        <v>148</v>
      </c>
      <c r="C41" s="141" t="s">
        <v>1252</v>
      </c>
      <c r="D41" s="142">
        <f>+D42+D43</f>
        <v>0</v>
      </c>
      <c r="E41" s="142">
        <f t="shared" ref="E41" si="7">+E42+E43</f>
        <v>0</v>
      </c>
      <c r="F41" s="142">
        <f t="shared" si="2"/>
        <v>0</v>
      </c>
      <c r="G41" s="60" t="s">
        <v>1838</v>
      </c>
      <c r="H41" s="236"/>
      <c r="I41" s="142">
        <v>0</v>
      </c>
      <c r="K41" s="94"/>
      <c r="M41" s="98"/>
    </row>
    <row r="42" spans="1:13" ht="25.5">
      <c r="A42" s="222" t="s">
        <v>1253</v>
      </c>
      <c r="B42" s="103" t="s">
        <v>150</v>
      </c>
      <c r="C42" s="104" t="s">
        <v>1254</v>
      </c>
      <c r="D42" s="97">
        <f>ROUND('Alimentazione CE Ricavi'!E36,2)</f>
        <v>0</v>
      </c>
      <c r="E42" s="97">
        <f>ROUND('Alimentazione CE Ricavi'!H36,2)</f>
        <v>0</v>
      </c>
      <c r="F42" s="97">
        <f t="shared" si="2"/>
        <v>0</v>
      </c>
      <c r="G42" s="60"/>
      <c r="H42" s="236"/>
      <c r="I42" s="97">
        <v>0</v>
      </c>
      <c r="K42" s="94"/>
      <c r="M42" s="98"/>
    </row>
    <row r="43" spans="1:13" ht="25.5">
      <c r="A43" s="222" t="s">
        <v>1253</v>
      </c>
      <c r="B43" s="103" t="s">
        <v>152</v>
      </c>
      <c r="C43" s="104" t="s">
        <v>1255</v>
      </c>
      <c r="D43" s="97">
        <f>ROUND('Alimentazione CE Ricavi'!E38,2)</f>
        <v>0</v>
      </c>
      <c r="E43" s="97">
        <f>ROUND('Alimentazione CE Ricavi'!H38,2)</f>
        <v>0</v>
      </c>
      <c r="F43" s="97">
        <f t="shared" si="2"/>
        <v>0</v>
      </c>
      <c r="G43" s="60"/>
      <c r="H43" s="236"/>
      <c r="I43" s="97">
        <v>0</v>
      </c>
      <c r="K43" s="94"/>
      <c r="M43" s="98"/>
    </row>
    <row r="44" spans="1:13" ht="25.5">
      <c r="A44" s="224"/>
      <c r="B44" s="140" t="s">
        <v>153</v>
      </c>
      <c r="C44" s="141" t="s">
        <v>1256</v>
      </c>
      <c r="D44" s="142">
        <f t="shared" ref="D44:E44" si="8">+D45+D46+D47+D48+D49</f>
        <v>1846000</v>
      </c>
      <c r="E44" s="142">
        <f t="shared" si="8"/>
        <v>2760463</v>
      </c>
      <c r="F44" s="142">
        <f t="shared" si="2"/>
        <v>-914463</v>
      </c>
      <c r="G44" s="60" t="s">
        <v>1838</v>
      </c>
      <c r="H44" s="236"/>
      <c r="I44" s="142">
        <v>0</v>
      </c>
      <c r="K44" s="94"/>
      <c r="M44" s="98"/>
    </row>
    <row r="45" spans="1:13" ht="18.75">
      <c r="A45" s="224"/>
      <c r="B45" s="103" t="s">
        <v>155</v>
      </c>
      <c r="C45" s="104" t="s">
        <v>1257</v>
      </c>
      <c r="D45" s="97">
        <f>ROUND('Alimentazione CE Ricavi'!E41,2)</f>
        <v>243000</v>
      </c>
      <c r="E45" s="97">
        <f>ROUND('Alimentazione CE Ricavi'!H41,2)</f>
        <v>1107691</v>
      </c>
      <c r="F45" s="97">
        <f t="shared" si="2"/>
        <v>-864691</v>
      </c>
      <c r="G45" s="350"/>
      <c r="H45" s="236"/>
      <c r="I45" s="97">
        <v>0</v>
      </c>
      <c r="K45" s="94"/>
      <c r="M45" s="98"/>
    </row>
    <row r="46" spans="1:13" ht="25.5">
      <c r="A46" s="224"/>
      <c r="B46" s="103" t="s">
        <v>156</v>
      </c>
      <c r="C46" s="104" t="s">
        <v>1258</v>
      </c>
      <c r="D46" s="97">
        <f>ROUND(('Alimentazione CE Ricavi'!E43+'Alimentazione CE Ricavi'!E44+'Alimentazione CE Ricavi'!E45+'Alimentazione CE Ricavi'!E46+'Alimentazione CE Ricavi'!E47+'Alimentazione CE Ricavi'!E48),2)</f>
        <v>1497000</v>
      </c>
      <c r="E46" s="97">
        <f>ROUND(('Alimentazione CE Ricavi'!H43+'Alimentazione CE Ricavi'!H44+'Alimentazione CE Ricavi'!H45+'Alimentazione CE Ricavi'!H46+'Alimentazione CE Ricavi'!H47+'Alimentazione CE Ricavi'!H48),2)</f>
        <v>1580686</v>
      </c>
      <c r="F46" s="97">
        <f t="shared" si="2"/>
        <v>-83686</v>
      </c>
      <c r="G46" s="350"/>
      <c r="H46" s="236"/>
      <c r="I46" s="97">
        <v>0</v>
      </c>
      <c r="K46" s="94"/>
      <c r="M46" s="98"/>
    </row>
    <row r="47" spans="1:13" ht="25.5">
      <c r="A47" s="224"/>
      <c r="B47" s="103" t="s">
        <v>164</v>
      </c>
      <c r="C47" s="104" t="s">
        <v>1259</v>
      </c>
      <c r="D47" s="97">
        <f>ROUND('Alimentazione CE Ricavi'!E50,2)</f>
        <v>55000</v>
      </c>
      <c r="E47" s="97">
        <f>ROUND('Alimentazione CE Ricavi'!H50,2)</f>
        <v>72086</v>
      </c>
      <c r="F47" s="97">
        <f t="shared" si="2"/>
        <v>-17086</v>
      </c>
      <c r="G47" s="350"/>
      <c r="H47" s="236"/>
      <c r="I47" s="97">
        <v>0</v>
      </c>
      <c r="K47" s="94"/>
      <c r="M47" s="98"/>
    </row>
    <row r="48" spans="1:13" ht="25.5">
      <c r="A48" s="224"/>
      <c r="B48" s="103" t="s">
        <v>166</v>
      </c>
      <c r="C48" s="104" t="s">
        <v>1260</v>
      </c>
      <c r="D48" s="97">
        <f>ROUND('Alimentazione CE Ricavi'!E52,2)</f>
        <v>51000</v>
      </c>
      <c r="E48" s="97">
        <f>ROUND('Alimentazione CE Ricavi'!H52,2)</f>
        <v>0</v>
      </c>
      <c r="F48" s="97">
        <f t="shared" si="2"/>
        <v>51000</v>
      </c>
      <c r="G48" s="350"/>
      <c r="H48" s="236"/>
      <c r="I48" s="97">
        <v>0</v>
      </c>
      <c r="K48" s="94"/>
      <c r="M48" s="98"/>
    </row>
    <row r="49" spans="1:13" ht="51">
      <c r="A49" s="224"/>
      <c r="B49" s="103" t="s">
        <v>168</v>
      </c>
      <c r="C49" s="104" t="s">
        <v>1261</v>
      </c>
      <c r="D49" s="97">
        <f>ROUND('Alimentazione CE Ricavi'!E54,2)</f>
        <v>0</v>
      </c>
      <c r="E49" s="97">
        <f>ROUND('Alimentazione CE Ricavi'!H54,2)</f>
        <v>0</v>
      </c>
      <c r="F49" s="97">
        <f t="shared" si="2"/>
        <v>0</v>
      </c>
      <c r="G49" s="350"/>
      <c r="H49" s="236"/>
      <c r="I49" s="97">
        <v>0</v>
      </c>
      <c r="K49" s="94"/>
      <c r="M49" s="98"/>
    </row>
    <row r="50" spans="1:13" ht="18.75">
      <c r="A50" s="222"/>
      <c r="B50" s="129" t="s">
        <v>169</v>
      </c>
      <c r="C50" s="130" t="s">
        <v>1262</v>
      </c>
      <c r="D50" s="128">
        <f t="shared" ref="D50:E50" si="9">+D51+D52+D53+D54</f>
        <v>0</v>
      </c>
      <c r="E50" s="128">
        <f t="shared" si="9"/>
        <v>0</v>
      </c>
      <c r="F50" s="128">
        <f t="shared" si="2"/>
        <v>0</v>
      </c>
      <c r="G50" s="60" t="s">
        <v>1838</v>
      </c>
      <c r="H50" s="236"/>
      <c r="I50" s="128">
        <v>0</v>
      </c>
      <c r="K50" s="94"/>
      <c r="M50" s="98"/>
    </row>
    <row r="51" spans="1:13" ht="25.5">
      <c r="A51" s="222"/>
      <c r="B51" s="101" t="s">
        <v>171</v>
      </c>
      <c r="C51" s="102" t="s">
        <v>1263</v>
      </c>
      <c r="D51" s="97">
        <f>ROUND('Alimentazione CE Ricavi'!E57,2)</f>
        <v>0</v>
      </c>
      <c r="E51" s="97">
        <f>ROUND('Alimentazione CE Ricavi'!H57,2)</f>
        <v>0</v>
      </c>
      <c r="F51" s="97">
        <f t="shared" si="2"/>
        <v>0</v>
      </c>
      <c r="G51" s="60"/>
      <c r="H51" s="236"/>
      <c r="I51" s="97">
        <v>0</v>
      </c>
      <c r="K51" s="94"/>
      <c r="M51" s="98"/>
    </row>
    <row r="52" spans="1:13" ht="25.5">
      <c r="A52" s="222"/>
      <c r="B52" s="101" t="s">
        <v>173</v>
      </c>
      <c r="C52" s="102" t="s">
        <v>1264</v>
      </c>
      <c r="D52" s="97">
        <f>ROUND('Alimentazione CE Ricavi'!E59,2)</f>
        <v>0</v>
      </c>
      <c r="E52" s="97">
        <f>ROUND('Alimentazione CE Ricavi'!H59,2)</f>
        <v>0</v>
      </c>
      <c r="F52" s="97">
        <f t="shared" si="2"/>
        <v>0</v>
      </c>
      <c r="G52" s="60"/>
      <c r="H52" s="236"/>
      <c r="I52" s="97">
        <v>0</v>
      </c>
      <c r="K52" s="94"/>
      <c r="M52" s="98"/>
    </row>
    <row r="53" spans="1:13" ht="25.5">
      <c r="A53" s="222"/>
      <c r="B53" s="101" t="s">
        <v>174</v>
      </c>
      <c r="C53" s="102" t="s">
        <v>1265</v>
      </c>
      <c r="D53" s="97">
        <f>ROUND(('Alimentazione CE Ricavi'!E61+'Alimentazione CE Ricavi'!E62),2)</f>
        <v>0</v>
      </c>
      <c r="E53" s="97">
        <f>ROUND(('Alimentazione CE Ricavi'!H61+'Alimentazione CE Ricavi'!H62),2)</f>
        <v>0</v>
      </c>
      <c r="F53" s="97">
        <f t="shared" si="2"/>
        <v>0</v>
      </c>
      <c r="G53" s="60"/>
      <c r="H53" s="236"/>
      <c r="I53" s="97">
        <v>0</v>
      </c>
      <c r="K53" s="94"/>
      <c r="M53" s="98"/>
    </row>
    <row r="54" spans="1:13" ht="18.75">
      <c r="A54" s="222"/>
      <c r="B54" s="101" t="s">
        <v>178</v>
      </c>
      <c r="C54" s="102" t="s">
        <v>1266</v>
      </c>
      <c r="D54" s="97">
        <f>ROUND('Alimentazione CE Ricavi'!E64,2)</f>
        <v>0</v>
      </c>
      <c r="E54" s="97">
        <f>ROUND('Alimentazione CE Ricavi'!H64,2)</f>
        <v>0</v>
      </c>
      <c r="F54" s="97">
        <f t="shared" si="2"/>
        <v>0</v>
      </c>
      <c r="G54" s="60"/>
      <c r="H54" s="236"/>
      <c r="I54" s="97">
        <v>0</v>
      </c>
      <c r="K54" s="94"/>
      <c r="M54" s="98"/>
    </row>
    <row r="55" spans="1:13" ht="18.75">
      <c r="A55" s="222"/>
      <c r="B55" s="129" t="s">
        <v>180</v>
      </c>
      <c r="C55" s="130" t="s">
        <v>1267</v>
      </c>
      <c r="D55" s="128">
        <f>ROUND('Alimentazione CE Ricavi'!E66,2)</f>
        <v>33000</v>
      </c>
      <c r="E55" s="128">
        <f>ROUND('Alimentazione CE Ricavi'!H66,2)</f>
        <v>383196</v>
      </c>
      <c r="F55" s="128">
        <f t="shared" si="2"/>
        <v>-350196</v>
      </c>
      <c r="G55" s="60"/>
      <c r="H55" s="236"/>
      <c r="I55" s="128">
        <v>0</v>
      </c>
      <c r="K55" s="94"/>
      <c r="M55" s="98"/>
    </row>
    <row r="56" spans="1:13" ht="25.5">
      <c r="A56" s="222"/>
      <c r="B56" s="134" t="s">
        <v>181</v>
      </c>
      <c r="C56" s="135" t="s">
        <v>1268</v>
      </c>
      <c r="D56" s="136">
        <f t="shared" ref="D56:E56" si="10">+D57+D58</f>
        <v>0</v>
      </c>
      <c r="E56" s="136">
        <f t="shared" si="10"/>
        <v>0</v>
      </c>
      <c r="F56" s="136">
        <f t="shared" si="2"/>
        <v>0</v>
      </c>
      <c r="G56" s="60" t="s">
        <v>1838</v>
      </c>
      <c r="H56" s="236"/>
      <c r="I56" s="136">
        <v>0</v>
      </c>
      <c r="K56" s="94"/>
      <c r="M56" s="98"/>
    </row>
    <row r="57" spans="1:13" ht="38.25">
      <c r="A57" s="222"/>
      <c r="B57" s="99" t="s">
        <v>183</v>
      </c>
      <c r="C57" s="100" t="s">
        <v>1269</v>
      </c>
      <c r="D57" s="97">
        <f>ROUND('Alimentazione CE Ricavi'!E69,2)</f>
        <v>0</v>
      </c>
      <c r="E57" s="97">
        <f>ROUND('Alimentazione CE Ricavi'!H69,2)</f>
        <v>0</v>
      </c>
      <c r="F57" s="97">
        <f t="shared" si="2"/>
        <v>0</v>
      </c>
      <c r="G57" s="60"/>
      <c r="H57" s="236"/>
      <c r="I57" s="97">
        <v>0</v>
      </c>
      <c r="K57" s="94"/>
      <c r="M57" s="98"/>
    </row>
    <row r="58" spans="1:13" ht="25.5">
      <c r="A58" s="222"/>
      <c r="B58" s="99" t="s">
        <v>185</v>
      </c>
      <c r="C58" s="100" t="s">
        <v>1270</v>
      </c>
      <c r="D58" s="97">
        <f>ROUND('Alimentazione CE Ricavi'!E71,2)</f>
        <v>0</v>
      </c>
      <c r="E58" s="97">
        <f>ROUND('Alimentazione CE Ricavi'!H71,2)</f>
        <v>0</v>
      </c>
      <c r="F58" s="97">
        <f t="shared" si="2"/>
        <v>0</v>
      </c>
      <c r="G58" s="60"/>
      <c r="H58" s="236"/>
      <c r="I58" s="97">
        <v>0</v>
      </c>
      <c r="K58" s="94"/>
      <c r="M58" s="98"/>
    </row>
    <row r="59" spans="1:13" ht="25.5">
      <c r="A59" s="224"/>
      <c r="B59" s="134" t="s">
        <v>186</v>
      </c>
      <c r="C59" s="135" t="s">
        <v>1271</v>
      </c>
      <c r="D59" s="136">
        <f t="shared" ref="D59:E59" si="11">+D60+D61+D62+D63+D64</f>
        <v>4023984</v>
      </c>
      <c r="E59" s="136">
        <f t="shared" si="11"/>
        <v>40740168</v>
      </c>
      <c r="F59" s="136">
        <f t="shared" si="2"/>
        <v>-36716184</v>
      </c>
      <c r="G59" s="60" t="s">
        <v>1838</v>
      </c>
      <c r="H59" s="236"/>
      <c r="I59" s="136">
        <v>251172</v>
      </c>
      <c r="K59" s="94"/>
      <c r="M59" s="98"/>
    </row>
    <row r="60" spans="1:13" ht="38.25">
      <c r="A60" s="224"/>
      <c r="B60" s="99" t="s">
        <v>188</v>
      </c>
      <c r="C60" s="100" t="s">
        <v>1272</v>
      </c>
      <c r="D60" s="97">
        <f>ROUND('Alimentazione CE Ricavi'!E74,2)</f>
        <v>0</v>
      </c>
      <c r="E60" s="97">
        <f>ROUND('Alimentazione CE Ricavi'!H74,2)</f>
        <v>1009555</v>
      </c>
      <c r="F60" s="97">
        <f t="shared" si="2"/>
        <v>-1009555</v>
      </c>
      <c r="G60" s="350"/>
      <c r="H60" s="236"/>
      <c r="I60" s="97">
        <v>0</v>
      </c>
      <c r="K60" s="94"/>
      <c r="M60" s="98"/>
    </row>
    <row r="61" spans="1:13" ht="38.25">
      <c r="A61" s="224"/>
      <c r="B61" s="99" t="s">
        <v>190</v>
      </c>
      <c r="C61" s="100" t="s">
        <v>1273</v>
      </c>
      <c r="D61" s="97">
        <f>ROUND('Alimentazione CE Ricavi'!E76,2)</f>
        <v>0</v>
      </c>
      <c r="E61" s="97">
        <f>ROUND('Alimentazione CE Ricavi'!H76,2)</f>
        <v>0</v>
      </c>
      <c r="F61" s="97">
        <f t="shared" si="2"/>
        <v>0</v>
      </c>
      <c r="G61" s="350"/>
      <c r="H61" s="236"/>
      <c r="I61" s="97">
        <v>0</v>
      </c>
      <c r="K61" s="94"/>
      <c r="M61" s="98"/>
    </row>
    <row r="62" spans="1:13" ht="38.25">
      <c r="A62" s="224"/>
      <c r="B62" s="99" t="s">
        <v>192</v>
      </c>
      <c r="C62" s="100" t="s">
        <v>1274</v>
      </c>
      <c r="D62" s="97">
        <f>ROUND('Alimentazione CE Ricavi'!E78,2)</f>
        <v>3699000</v>
      </c>
      <c r="E62" s="97">
        <f>ROUND('Alimentazione CE Ricavi'!H78,2)</f>
        <v>7004920</v>
      </c>
      <c r="F62" s="97">
        <f t="shared" si="2"/>
        <v>-3305920</v>
      </c>
      <c r="G62" s="350"/>
      <c r="H62" s="236"/>
      <c r="I62" s="97">
        <v>0</v>
      </c>
      <c r="K62" s="94"/>
      <c r="M62" s="98"/>
    </row>
    <row r="63" spans="1:13" ht="25.5">
      <c r="A63" s="224"/>
      <c r="B63" s="99" t="s">
        <v>194</v>
      </c>
      <c r="C63" s="100" t="s">
        <v>1275</v>
      </c>
      <c r="D63" s="97">
        <f>ROUND('Alimentazione CE Ricavi'!E80,2)</f>
        <v>0</v>
      </c>
      <c r="E63" s="97">
        <f>ROUND('Alimentazione CE Ricavi'!H80,2)</f>
        <v>0</v>
      </c>
      <c r="F63" s="97">
        <f t="shared" si="2"/>
        <v>0</v>
      </c>
      <c r="G63" s="350"/>
      <c r="H63" s="236"/>
      <c r="I63" s="97">
        <v>0</v>
      </c>
      <c r="K63" s="94"/>
      <c r="M63" s="98"/>
    </row>
    <row r="64" spans="1:13" ht="25.5">
      <c r="A64" s="224"/>
      <c r="B64" s="99" t="s">
        <v>196</v>
      </c>
      <c r="C64" s="100" t="s">
        <v>1276</v>
      </c>
      <c r="D64" s="97">
        <f>ROUND('Alimentazione CE Ricavi'!E82,2)</f>
        <v>324984</v>
      </c>
      <c r="E64" s="97">
        <f>ROUND('Alimentazione CE Ricavi'!H82,2)</f>
        <v>32725693</v>
      </c>
      <c r="F64" s="97">
        <f t="shared" si="2"/>
        <v>-32400709</v>
      </c>
      <c r="G64" s="350"/>
      <c r="H64" s="236"/>
      <c r="I64" s="97">
        <v>251172</v>
      </c>
      <c r="K64" s="94"/>
      <c r="M64" s="98"/>
    </row>
    <row r="65" spans="1:13" ht="25.5">
      <c r="A65" s="222"/>
      <c r="B65" s="134" t="s">
        <v>1277</v>
      </c>
      <c r="C65" s="135" t="s">
        <v>1278</v>
      </c>
      <c r="D65" s="136">
        <f t="shared" ref="D65:E65" si="12">+D66+D105+D111+D112</f>
        <v>42737806</v>
      </c>
      <c r="E65" s="136">
        <f t="shared" si="12"/>
        <v>40618481</v>
      </c>
      <c r="F65" s="136">
        <f t="shared" si="2"/>
        <v>2119325</v>
      </c>
      <c r="G65" s="60" t="s">
        <v>1838</v>
      </c>
      <c r="H65" s="236"/>
      <c r="I65" s="136">
        <v>324951501.81</v>
      </c>
      <c r="K65" s="94"/>
      <c r="M65" s="98"/>
    </row>
    <row r="66" spans="1:13" ht="38.25">
      <c r="A66" s="222"/>
      <c r="B66" s="129" t="s">
        <v>197</v>
      </c>
      <c r="C66" s="130" t="s">
        <v>1279</v>
      </c>
      <c r="D66" s="128">
        <f t="shared" ref="D66:E66" si="13">+D67+D83+D84</f>
        <v>29099179</v>
      </c>
      <c r="E66" s="128">
        <f t="shared" si="13"/>
        <v>26919854</v>
      </c>
      <c r="F66" s="128">
        <f t="shared" si="2"/>
        <v>2179325</v>
      </c>
      <c r="G66" s="60" t="s">
        <v>1838</v>
      </c>
      <c r="H66" s="236"/>
      <c r="I66" s="128">
        <v>316866019.81</v>
      </c>
      <c r="K66" s="94"/>
      <c r="M66" s="98"/>
    </row>
    <row r="67" spans="1:13" ht="38.25">
      <c r="A67" s="222" t="s">
        <v>1253</v>
      </c>
      <c r="B67" s="140" t="s">
        <v>198</v>
      </c>
      <c r="C67" s="141" t="s">
        <v>1280</v>
      </c>
      <c r="D67" s="142">
        <f t="shared" ref="D67:E67" si="14">SUM(D68:D82)</f>
        <v>22076518</v>
      </c>
      <c r="E67" s="142">
        <f t="shared" si="14"/>
        <v>19897193</v>
      </c>
      <c r="F67" s="142">
        <f t="shared" si="2"/>
        <v>2179325</v>
      </c>
      <c r="G67" s="60" t="s">
        <v>1838</v>
      </c>
      <c r="H67" s="236"/>
      <c r="I67" s="142">
        <v>311939521.81</v>
      </c>
      <c r="K67" s="94"/>
      <c r="M67" s="98"/>
    </row>
    <row r="68" spans="1:13" ht="18.75">
      <c r="A68" s="222" t="s">
        <v>1253</v>
      </c>
      <c r="B68" s="103" t="s">
        <v>200</v>
      </c>
      <c r="C68" s="104" t="s">
        <v>1281</v>
      </c>
      <c r="D68" s="97">
        <f>ROUND(('Alimentazione CE Ricavi'!E87+'Alimentazione CE Ricavi'!E88),2)</f>
        <v>15567007</v>
      </c>
      <c r="E68" s="97">
        <f>ROUND(('Alimentazione CE Ricavi'!H87+'Alimentazione CE Ricavi'!H88),2)</f>
        <v>14759952</v>
      </c>
      <c r="F68" s="97">
        <f t="shared" si="2"/>
        <v>807055</v>
      </c>
      <c r="G68" s="60"/>
      <c r="H68" s="236"/>
      <c r="I68" s="97">
        <v>178663874.81</v>
      </c>
      <c r="K68" s="94"/>
      <c r="M68" s="98"/>
    </row>
    <row r="69" spans="1:13" ht="18.75">
      <c r="A69" s="224" t="s">
        <v>1253</v>
      </c>
      <c r="B69" s="103" t="s">
        <v>202</v>
      </c>
      <c r="C69" s="104" t="s">
        <v>1282</v>
      </c>
      <c r="D69" s="97">
        <f>ROUND(('Alimentazione CE Ricavi'!E90+'Alimentazione CE Ricavi'!E91),2)</f>
        <v>5599373</v>
      </c>
      <c r="E69" s="97">
        <f>ROUND(('Alimentazione CE Ricavi'!H90+'Alimentazione CE Ricavi'!H91),2)</f>
        <v>4076000</v>
      </c>
      <c r="F69" s="97">
        <f t="shared" si="2"/>
        <v>1523373</v>
      </c>
      <c r="G69" s="350"/>
      <c r="H69" s="236"/>
      <c r="I69" s="97">
        <v>100232875</v>
      </c>
      <c r="K69" s="94"/>
      <c r="M69" s="98"/>
    </row>
    <row r="70" spans="1:13" ht="25.5">
      <c r="A70" s="224" t="s">
        <v>1253</v>
      </c>
      <c r="B70" s="103" t="s">
        <v>204</v>
      </c>
      <c r="C70" s="104" t="s">
        <v>1283</v>
      </c>
      <c r="D70" s="97">
        <f>ROUND('Alimentazione CE Ricavi'!E93,2)</f>
        <v>0</v>
      </c>
      <c r="E70" s="97">
        <f>ROUND('Alimentazione CE Ricavi'!H93,2)</f>
        <v>0</v>
      </c>
      <c r="F70" s="97">
        <f t="shared" si="2"/>
        <v>0</v>
      </c>
      <c r="G70" s="350"/>
      <c r="H70" s="236"/>
      <c r="I70" s="97">
        <v>0</v>
      </c>
      <c r="K70" s="94"/>
      <c r="M70" s="98"/>
    </row>
    <row r="71" spans="1:13" ht="25.5">
      <c r="A71" s="224" t="s">
        <v>1253</v>
      </c>
      <c r="B71" s="103" t="s">
        <v>205</v>
      </c>
      <c r="C71" s="104" t="s">
        <v>1284</v>
      </c>
      <c r="D71" s="97">
        <f>ROUND('Alimentazione CE Ricavi'!E95,2)</f>
        <v>0</v>
      </c>
      <c r="E71" s="97">
        <f>ROUND('Alimentazione CE Ricavi'!H95,2)</f>
        <v>0</v>
      </c>
      <c r="F71" s="97">
        <f t="shared" si="2"/>
        <v>0</v>
      </c>
      <c r="G71" s="350"/>
      <c r="H71" s="236"/>
      <c r="I71" s="97">
        <v>0</v>
      </c>
      <c r="K71" s="94"/>
      <c r="M71" s="98"/>
    </row>
    <row r="72" spans="1:13" ht="18.75">
      <c r="A72" s="224" t="s">
        <v>1253</v>
      </c>
      <c r="B72" s="103" t="s">
        <v>206</v>
      </c>
      <c r="C72" s="104" t="s">
        <v>1285</v>
      </c>
      <c r="D72" s="97">
        <f>ROUND('Alimentazione CE Ricavi'!E97,2)</f>
        <v>910138</v>
      </c>
      <c r="E72" s="97">
        <f>ROUND('Alimentazione CE Ricavi'!H97,2)</f>
        <v>1061241</v>
      </c>
      <c r="F72" s="97">
        <f t="shared" si="2"/>
        <v>-151103</v>
      </c>
      <c r="G72" s="350"/>
      <c r="H72" s="236"/>
      <c r="I72" s="97">
        <v>33042772</v>
      </c>
      <c r="K72" s="94"/>
      <c r="M72" s="98"/>
    </row>
    <row r="73" spans="1:13" ht="25.5">
      <c r="A73" s="224" t="s">
        <v>1253</v>
      </c>
      <c r="B73" s="103" t="s">
        <v>207</v>
      </c>
      <c r="C73" s="104" t="s">
        <v>1286</v>
      </c>
      <c r="D73" s="97">
        <f>ROUND('Alimentazione CE Ricavi'!E99,2)</f>
        <v>0</v>
      </c>
      <c r="E73" s="97">
        <f>ROUND('Alimentazione CE Ricavi'!H99,2)</f>
        <v>0</v>
      </c>
      <c r="F73" s="97">
        <f t="shared" si="2"/>
        <v>0</v>
      </c>
      <c r="G73" s="350"/>
      <c r="H73" s="236"/>
      <c r="I73" s="97">
        <v>0</v>
      </c>
      <c r="K73" s="94"/>
      <c r="M73" s="98"/>
    </row>
    <row r="74" spans="1:13" ht="18.75">
      <c r="A74" s="224" t="s">
        <v>1253</v>
      </c>
      <c r="B74" s="103" t="s">
        <v>208</v>
      </c>
      <c r="C74" s="104" t="s">
        <v>1287</v>
      </c>
      <c r="D74" s="97">
        <f>ROUND('Alimentazione CE Ricavi'!E101,2)</f>
        <v>0</v>
      </c>
      <c r="E74" s="97">
        <f>ROUND('Alimentazione CE Ricavi'!H101,2)</f>
        <v>0</v>
      </c>
      <c r="F74" s="97">
        <f t="shared" si="2"/>
        <v>0</v>
      </c>
      <c r="G74" s="350"/>
      <c r="H74" s="236"/>
      <c r="I74" s="97">
        <v>0</v>
      </c>
      <c r="K74" s="94"/>
      <c r="M74" s="98"/>
    </row>
    <row r="75" spans="1:13" ht="18.75">
      <c r="A75" s="224" t="s">
        <v>1253</v>
      </c>
      <c r="B75" s="103" t="s">
        <v>209</v>
      </c>
      <c r="C75" s="104" t="s">
        <v>1288</v>
      </c>
      <c r="D75" s="97">
        <f>ROUND('Alimentazione CE Ricavi'!E103,2)</f>
        <v>0</v>
      </c>
      <c r="E75" s="97">
        <f>ROUND('Alimentazione CE Ricavi'!H103,2)</f>
        <v>0</v>
      </c>
      <c r="F75" s="97">
        <f t="shared" si="2"/>
        <v>0</v>
      </c>
      <c r="G75" s="350"/>
      <c r="H75" s="236"/>
      <c r="I75" s="97">
        <v>0</v>
      </c>
      <c r="K75" s="94"/>
      <c r="M75" s="98"/>
    </row>
    <row r="76" spans="1:13" ht="18.75">
      <c r="A76" s="224" t="s">
        <v>1253</v>
      </c>
      <c r="B76" s="103" t="s">
        <v>210</v>
      </c>
      <c r="C76" s="104" t="s">
        <v>1289</v>
      </c>
      <c r="D76" s="97">
        <f>ROUND('Alimentazione CE Ricavi'!E105,2)</f>
        <v>0</v>
      </c>
      <c r="E76" s="97">
        <f>ROUND('Alimentazione CE Ricavi'!H105,2)</f>
        <v>0</v>
      </c>
      <c r="F76" s="97">
        <f t="shared" si="2"/>
        <v>0</v>
      </c>
      <c r="G76" s="350"/>
      <c r="H76" s="236"/>
      <c r="I76" s="97">
        <v>0</v>
      </c>
      <c r="K76" s="94"/>
      <c r="M76" s="98"/>
    </row>
    <row r="77" spans="1:13" ht="18.75">
      <c r="A77" s="224" t="s">
        <v>1253</v>
      </c>
      <c r="B77" s="103" t="s">
        <v>211</v>
      </c>
      <c r="C77" s="104" t="s">
        <v>1290</v>
      </c>
      <c r="D77" s="97">
        <f>ROUND('Alimentazione CE Ricavi'!E107,2)</f>
        <v>0</v>
      </c>
      <c r="E77" s="97">
        <f>ROUND('Alimentazione CE Ricavi'!H107,2)</f>
        <v>0</v>
      </c>
      <c r="F77" s="97">
        <f t="shared" si="2"/>
        <v>0</v>
      </c>
      <c r="G77" s="350"/>
      <c r="H77" s="236"/>
      <c r="I77" s="97">
        <v>0</v>
      </c>
      <c r="K77" s="94"/>
      <c r="M77" s="98"/>
    </row>
    <row r="78" spans="1:13" ht="18.75">
      <c r="A78" s="224" t="s">
        <v>1253</v>
      </c>
      <c r="B78" s="103" t="s">
        <v>212</v>
      </c>
      <c r="C78" s="104" t="s">
        <v>1291</v>
      </c>
      <c r="D78" s="97">
        <f>ROUND('Alimentazione CE Ricavi'!E109,2)</f>
        <v>0</v>
      </c>
      <c r="E78" s="97">
        <f>ROUND('Alimentazione CE Ricavi'!H109,2)</f>
        <v>0</v>
      </c>
      <c r="F78" s="97">
        <f t="shared" si="2"/>
        <v>0</v>
      </c>
      <c r="G78" s="351"/>
      <c r="H78" s="236"/>
      <c r="I78" s="97">
        <v>0</v>
      </c>
      <c r="K78" s="94"/>
      <c r="M78" s="98"/>
    </row>
    <row r="79" spans="1:13" ht="25.5">
      <c r="A79" s="222" t="s">
        <v>1253</v>
      </c>
      <c r="B79" s="103" t="s">
        <v>213</v>
      </c>
      <c r="C79" s="104" t="s">
        <v>1292</v>
      </c>
      <c r="D79" s="97">
        <f>ROUND('Alimentazione CE Ricavi'!E111,2)</f>
        <v>0</v>
      </c>
      <c r="E79" s="97">
        <f>ROUND('Alimentazione CE Ricavi'!H111,2)</f>
        <v>0</v>
      </c>
      <c r="F79" s="97">
        <f t="shared" si="2"/>
        <v>0</v>
      </c>
      <c r="G79" s="351"/>
      <c r="H79" s="236"/>
      <c r="I79" s="97">
        <v>0</v>
      </c>
      <c r="K79" s="94"/>
      <c r="M79" s="98"/>
    </row>
    <row r="80" spans="1:13" ht="25.5">
      <c r="A80" s="222" t="s">
        <v>1253</v>
      </c>
      <c r="B80" s="103" t="s">
        <v>214</v>
      </c>
      <c r="C80" s="104" t="s">
        <v>1293</v>
      </c>
      <c r="D80" s="97">
        <f>ROUND('Alimentazione CE Ricavi'!E113,2)</f>
        <v>0</v>
      </c>
      <c r="E80" s="97">
        <f>ROUND('Alimentazione CE Ricavi'!H113,2)</f>
        <v>0</v>
      </c>
      <c r="F80" s="97">
        <f t="shared" si="2"/>
        <v>0</v>
      </c>
      <c r="G80" s="351"/>
      <c r="H80" s="236"/>
      <c r="I80" s="97">
        <v>0</v>
      </c>
      <c r="K80" s="94"/>
      <c r="M80" s="98"/>
    </row>
    <row r="81" spans="1:13" ht="25.5">
      <c r="A81" s="222" t="s">
        <v>1253</v>
      </c>
      <c r="B81" s="103" t="s">
        <v>215</v>
      </c>
      <c r="C81" s="104" t="s">
        <v>1294</v>
      </c>
      <c r="D81" s="97">
        <f>ROUND('Alimentazione CE Ricavi'!E115,2)</f>
        <v>0</v>
      </c>
      <c r="E81" s="97">
        <f>ROUND('Alimentazione CE Ricavi'!H115,2)</f>
        <v>0</v>
      </c>
      <c r="F81" s="97">
        <f t="shared" si="2"/>
        <v>0</v>
      </c>
      <c r="G81" s="351"/>
      <c r="H81" s="236"/>
      <c r="I81" s="97">
        <v>0</v>
      </c>
      <c r="K81" s="94"/>
      <c r="M81" s="98"/>
    </row>
    <row r="82" spans="1:13" ht="25.5">
      <c r="A82" s="222" t="s">
        <v>1253</v>
      </c>
      <c r="B82" s="103" t="s">
        <v>216</v>
      </c>
      <c r="C82" s="104" t="s">
        <v>1295</v>
      </c>
      <c r="D82" s="97">
        <f>ROUND(('Alimentazione CE Ricavi'!E117+'Alimentazione CE Ricavi'!E118),2)</f>
        <v>0</v>
      </c>
      <c r="E82" s="97">
        <f>ROUND(('Alimentazione CE Ricavi'!H117+'Alimentazione CE Ricavi'!H118),2)</f>
        <v>0</v>
      </c>
      <c r="F82" s="97">
        <f t="shared" si="2"/>
        <v>0</v>
      </c>
      <c r="G82" s="351"/>
      <c r="H82" s="236"/>
      <c r="I82" s="97">
        <v>0</v>
      </c>
      <c r="K82" s="94"/>
      <c r="M82" s="98"/>
    </row>
    <row r="83" spans="1:13" ht="25.5">
      <c r="A83" s="222"/>
      <c r="B83" s="101" t="s">
        <v>218</v>
      </c>
      <c r="C83" s="102" t="s">
        <v>1296</v>
      </c>
      <c r="D83" s="97">
        <f>ROUND('Alimentazione CE Ricavi'!E120,2)</f>
        <v>35000</v>
      </c>
      <c r="E83" s="97">
        <f>ROUND('Alimentazione CE Ricavi'!H120,2)</f>
        <v>35000</v>
      </c>
      <c r="F83" s="97">
        <f t="shared" si="2"/>
        <v>0</v>
      </c>
      <c r="G83" s="60"/>
      <c r="H83" s="236"/>
      <c r="I83" s="97">
        <v>33723</v>
      </c>
      <c r="K83" s="94"/>
      <c r="M83" s="98"/>
    </row>
    <row r="84" spans="1:13" ht="25.5">
      <c r="A84" s="222"/>
      <c r="B84" s="140" t="s">
        <v>219</v>
      </c>
      <c r="C84" s="141" t="s">
        <v>1297</v>
      </c>
      <c r="D84" s="142">
        <f t="shared" ref="D84:E84" si="15">SUM(D85:D99,D102,D103,D104)</f>
        <v>6987661</v>
      </c>
      <c r="E84" s="142">
        <f t="shared" si="15"/>
        <v>6987661</v>
      </c>
      <c r="F84" s="142">
        <f t="shared" si="2"/>
        <v>0</v>
      </c>
      <c r="G84" s="60" t="s">
        <v>1838</v>
      </c>
      <c r="H84" s="236"/>
      <c r="I84" s="142">
        <v>4892775</v>
      </c>
      <c r="K84" s="94"/>
      <c r="M84" s="98"/>
    </row>
    <row r="85" spans="1:13" ht="18.75">
      <c r="A85" s="222" t="s">
        <v>1298</v>
      </c>
      <c r="B85" s="103" t="s">
        <v>220</v>
      </c>
      <c r="C85" s="104" t="s">
        <v>1299</v>
      </c>
      <c r="D85" s="97">
        <f>ROUND('Alimentazione CE Ricavi'!E123,2)</f>
        <v>2681665</v>
      </c>
      <c r="E85" s="97">
        <f>ROUND('Alimentazione CE Ricavi'!H123,2)</f>
        <v>2681665</v>
      </c>
      <c r="F85" s="97">
        <f t="shared" si="2"/>
        <v>0</v>
      </c>
      <c r="G85" s="60"/>
      <c r="H85" s="236"/>
      <c r="I85" s="97">
        <v>2681665</v>
      </c>
      <c r="K85" s="94"/>
      <c r="M85" s="98"/>
    </row>
    <row r="86" spans="1:13" ht="18.75">
      <c r="A86" s="222" t="s">
        <v>1298</v>
      </c>
      <c r="B86" s="103" t="s">
        <v>223</v>
      </c>
      <c r="C86" s="104" t="s">
        <v>1300</v>
      </c>
      <c r="D86" s="97">
        <f>ROUND('Alimentazione CE Ricavi'!E125,2)</f>
        <v>1039893</v>
      </c>
      <c r="E86" s="97">
        <f>ROUND('Alimentazione CE Ricavi'!H125,2)</f>
        <v>1039893</v>
      </c>
      <c r="F86" s="97">
        <f t="shared" si="2"/>
        <v>0</v>
      </c>
      <c r="G86" s="60"/>
      <c r="H86" s="236"/>
      <c r="I86" s="97">
        <v>500893</v>
      </c>
      <c r="K86" s="94"/>
      <c r="M86" s="98"/>
    </row>
    <row r="87" spans="1:13" ht="25.5">
      <c r="A87" s="222" t="s">
        <v>1298</v>
      </c>
      <c r="B87" s="103" t="s">
        <v>225</v>
      </c>
      <c r="C87" s="104" t="s">
        <v>1301</v>
      </c>
      <c r="D87" s="97">
        <f>ROUND('Alimentazione CE Ricavi'!E127,2)</f>
        <v>0</v>
      </c>
      <c r="E87" s="97">
        <f>ROUND('Alimentazione CE Ricavi'!H127,2)</f>
        <v>0</v>
      </c>
      <c r="F87" s="97">
        <f t="shared" si="2"/>
        <v>0</v>
      </c>
      <c r="G87" s="350"/>
      <c r="H87" s="236"/>
      <c r="I87" s="97">
        <v>0</v>
      </c>
      <c r="K87" s="94"/>
      <c r="M87" s="98"/>
    </row>
    <row r="88" spans="1:13" ht="25.5">
      <c r="A88" s="224" t="s">
        <v>1302</v>
      </c>
      <c r="B88" s="103" t="s">
        <v>226</v>
      </c>
      <c r="C88" s="104" t="s">
        <v>1303</v>
      </c>
      <c r="D88" s="97">
        <f>ROUND('Alimentazione CE Ricavi'!E129,2)</f>
        <v>0</v>
      </c>
      <c r="E88" s="97">
        <f>ROUND('Alimentazione CE Ricavi'!H129,2)</f>
        <v>0</v>
      </c>
      <c r="F88" s="97">
        <f t="shared" si="2"/>
        <v>0</v>
      </c>
      <c r="G88" s="350"/>
      <c r="H88" s="236"/>
      <c r="I88" s="97">
        <v>0</v>
      </c>
      <c r="K88" s="94"/>
      <c r="M88" s="98"/>
    </row>
    <row r="89" spans="1:13" ht="18.75">
      <c r="A89" s="224" t="s">
        <v>1298</v>
      </c>
      <c r="B89" s="103" t="s">
        <v>227</v>
      </c>
      <c r="C89" s="104" t="s">
        <v>1304</v>
      </c>
      <c r="D89" s="97">
        <f>ROUND('Alimentazione CE Ricavi'!E131,2)</f>
        <v>1110217</v>
      </c>
      <c r="E89" s="97">
        <f>ROUND('Alimentazione CE Ricavi'!H131,2)</f>
        <v>1110217</v>
      </c>
      <c r="F89" s="97">
        <f t="shared" si="2"/>
        <v>0</v>
      </c>
      <c r="G89" s="60"/>
      <c r="H89" s="236"/>
      <c r="I89" s="97">
        <v>1110217</v>
      </c>
      <c r="K89" s="94"/>
      <c r="M89" s="98"/>
    </row>
    <row r="90" spans="1:13" ht="25.5">
      <c r="A90" s="224" t="s">
        <v>1298</v>
      </c>
      <c r="B90" s="103" t="s">
        <v>229</v>
      </c>
      <c r="C90" s="104" t="s">
        <v>1305</v>
      </c>
      <c r="D90" s="97">
        <f>ROUND('Alimentazione CE Ricavi'!E133,2)</f>
        <v>203475</v>
      </c>
      <c r="E90" s="97">
        <f>ROUND('Alimentazione CE Ricavi'!H133,2)</f>
        <v>203475</v>
      </c>
      <c r="F90" s="97">
        <f t="shared" ref="F90:F153" si="16">+D90-E90</f>
        <v>0</v>
      </c>
      <c r="G90" s="350"/>
      <c r="H90" s="236"/>
      <c r="I90" s="97">
        <v>0</v>
      </c>
      <c r="K90" s="94"/>
      <c r="M90" s="98"/>
    </row>
    <row r="91" spans="1:13" ht="25.5">
      <c r="A91" s="224" t="s">
        <v>1298</v>
      </c>
      <c r="B91" s="103" t="s">
        <v>231</v>
      </c>
      <c r="C91" s="104" t="s">
        <v>1306</v>
      </c>
      <c r="D91" s="97">
        <f>ROUND('Alimentazione CE Ricavi'!E135,2)</f>
        <v>718944</v>
      </c>
      <c r="E91" s="97">
        <f>ROUND('Alimentazione CE Ricavi'!H135,2)</f>
        <v>718944</v>
      </c>
      <c r="F91" s="97">
        <f t="shared" si="16"/>
        <v>0</v>
      </c>
      <c r="G91" s="350"/>
      <c r="H91" s="236"/>
      <c r="I91" s="97">
        <v>0</v>
      </c>
      <c r="K91" s="94"/>
      <c r="M91" s="98"/>
    </row>
    <row r="92" spans="1:13" ht="18.75">
      <c r="A92" s="224" t="s">
        <v>1298</v>
      </c>
      <c r="B92" s="103" t="s">
        <v>233</v>
      </c>
      <c r="C92" s="104" t="s">
        <v>1307</v>
      </c>
      <c r="D92" s="97">
        <f>ROUND('Alimentazione CE Ricavi'!E137,2)</f>
        <v>3366</v>
      </c>
      <c r="E92" s="97">
        <f>ROUND('Alimentazione CE Ricavi'!H137,2)</f>
        <v>3366</v>
      </c>
      <c r="F92" s="97">
        <f t="shared" si="16"/>
        <v>0</v>
      </c>
      <c r="G92" s="350"/>
      <c r="H92" s="236"/>
      <c r="I92" s="97">
        <v>0</v>
      </c>
      <c r="K92" s="94"/>
      <c r="M92" s="98"/>
    </row>
    <row r="93" spans="1:13" ht="25.5">
      <c r="A93" s="224" t="s">
        <v>1298</v>
      </c>
      <c r="B93" s="103" t="s">
        <v>235</v>
      </c>
      <c r="C93" s="104" t="s">
        <v>1308</v>
      </c>
      <c r="D93" s="97">
        <f>ROUND('Alimentazione CE Ricavi'!E139,2)</f>
        <v>0</v>
      </c>
      <c r="E93" s="97">
        <f>ROUND('Alimentazione CE Ricavi'!H139,2)</f>
        <v>0</v>
      </c>
      <c r="F93" s="97">
        <f t="shared" si="16"/>
        <v>0</v>
      </c>
      <c r="G93" s="350"/>
      <c r="H93" s="236"/>
      <c r="I93" s="97">
        <v>0</v>
      </c>
      <c r="K93" s="94"/>
      <c r="M93" s="98"/>
    </row>
    <row r="94" spans="1:13" ht="25.5">
      <c r="A94" s="224" t="s">
        <v>1302</v>
      </c>
      <c r="B94" s="103" t="s">
        <v>237</v>
      </c>
      <c r="C94" s="104" t="s">
        <v>1309</v>
      </c>
      <c r="D94" s="97">
        <f>ROUND('Alimentazione CE Ricavi'!E141,2)</f>
        <v>0</v>
      </c>
      <c r="E94" s="97">
        <f>ROUND('Alimentazione CE Ricavi'!H141,2)</f>
        <v>0</v>
      </c>
      <c r="F94" s="97">
        <f t="shared" si="16"/>
        <v>0</v>
      </c>
      <c r="G94" s="350"/>
      <c r="H94" s="236"/>
      <c r="I94" s="97">
        <v>0</v>
      </c>
      <c r="K94" s="94"/>
      <c r="M94" s="98"/>
    </row>
    <row r="95" spans="1:13" ht="25.5">
      <c r="A95" s="224" t="s">
        <v>1302</v>
      </c>
      <c r="B95" s="103" t="s">
        <v>239</v>
      </c>
      <c r="C95" s="104" t="s">
        <v>1310</v>
      </c>
      <c r="D95" s="97">
        <f>ROUND('Alimentazione CE Ricavi'!E143,2)</f>
        <v>0</v>
      </c>
      <c r="E95" s="97">
        <f>ROUND('Alimentazione CE Ricavi'!H143,2)</f>
        <v>0</v>
      </c>
      <c r="F95" s="97">
        <f t="shared" si="16"/>
        <v>0</v>
      </c>
      <c r="G95" s="350"/>
      <c r="H95" s="236"/>
      <c r="I95" s="97">
        <v>0</v>
      </c>
      <c r="K95" s="94"/>
      <c r="M95" s="98"/>
    </row>
    <row r="96" spans="1:13" ht="25.5">
      <c r="A96" s="224" t="s">
        <v>1298</v>
      </c>
      <c r="B96" s="103" t="s">
        <v>241</v>
      </c>
      <c r="C96" s="104" t="s">
        <v>1311</v>
      </c>
      <c r="D96" s="97">
        <f>ROUND('Alimentazione CE Ricavi'!E145,2)</f>
        <v>0</v>
      </c>
      <c r="E96" s="97">
        <f>ROUND('Alimentazione CE Ricavi'!H145,2)</f>
        <v>0</v>
      </c>
      <c r="F96" s="97">
        <f t="shared" si="16"/>
        <v>0</v>
      </c>
      <c r="G96" s="350"/>
      <c r="H96" s="236"/>
      <c r="I96" s="97">
        <v>0</v>
      </c>
      <c r="K96" s="94"/>
      <c r="M96" s="98"/>
    </row>
    <row r="97" spans="1:13" ht="25.5">
      <c r="A97" s="224" t="s">
        <v>1298</v>
      </c>
      <c r="B97" s="103" t="s">
        <v>242</v>
      </c>
      <c r="C97" s="104" t="s">
        <v>1312</v>
      </c>
      <c r="D97" s="97">
        <f>ROUND('Alimentazione CE Ricavi'!E147,2)</f>
        <v>0</v>
      </c>
      <c r="E97" s="97">
        <f>ROUND('Alimentazione CE Ricavi'!H147,2)</f>
        <v>0</v>
      </c>
      <c r="F97" s="97">
        <f t="shared" si="16"/>
        <v>0</v>
      </c>
      <c r="G97" s="350"/>
      <c r="H97" s="236"/>
      <c r="I97" s="97">
        <v>0</v>
      </c>
      <c r="K97" s="94"/>
      <c r="M97" s="98"/>
    </row>
    <row r="98" spans="1:13" ht="25.5">
      <c r="A98" s="224" t="s">
        <v>1298</v>
      </c>
      <c r="B98" s="103" t="s">
        <v>245</v>
      </c>
      <c r="C98" s="104" t="s">
        <v>1313</v>
      </c>
      <c r="D98" s="97">
        <f>ROUND('Alimentazione CE Ricavi'!E149,2)</f>
        <v>0</v>
      </c>
      <c r="E98" s="97">
        <f>ROUND('Alimentazione CE Ricavi'!H149,2)</f>
        <v>0</v>
      </c>
      <c r="F98" s="97">
        <f t="shared" si="16"/>
        <v>0</v>
      </c>
      <c r="G98" s="350"/>
      <c r="H98" s="236"/>
      <c r="I98" s="97">
        <v>0</v>
      </c>
      <c r="K98" s="94"/>
      <c r="M98" s="98"/>
    </row>
    <row r="99" spans="1:13" ht="38.25">
      <c r="A99" s="224" t="s">
        <v>1302</v>
      </c>
      <c r="B99" s="143" t="s">
        <v>246</v>
      </c>
      <c r="C99" s="144" t="s">
        <v>1314</v>
      </c>
      <c r="D99" s="145">
        <f t="shared" ref="D99:E99" si="17">+D100+D101</f>
        <v>50000</v>
      </c>
      <c r="E99" s="145">
        <f t="shared" si="17"/>
        <v>50000</v>
      </c>
      <c r="F99" s="145">
        <f t="shared" si="16"/>
        <v>0</v>
      </c>
      <c r="G99" s="60" t="s">
        <v>1838</v>
      </c>
      <c r="H99" s="236"/>
      <c r="I99" s="145" t="s">
        <v>3644</v>
      </c>
      <c r="K99" s="94"/>
      <c r="M99" s="98"/>
    </row>
    <row r="100" spans="1:13" ht="25.5">
      <c r="A100" s="224" t="s">
        <v>1302</v>
      </c>
      <c r="B100" s="101" t="s">
        <v>248</v>
      </c>
      <c r="C100" s="102" t="s">
        <v>1315</v>
      </c>
      <c r="D100" s="97">
        <f>ROUND('Alimentazione CE Ricavi'!E152,2)</f>
        <v>0</v>
      </c>
      <c r="E100" s="97">
        <f>ROUND('Alimentazione CE Ricavi'!H152,2)</f>
        <v>0</v>
      </c>
      <c r="F100" s="97">
        <f t="shared" si="16"/>
        <v>0</v>
      </c>
      <c r="G100" s="350"/>
      <c r="H100" s="236"/>
      <c r="I100" s="97">
        <v>0</v>
      </c>
      <c r="K100" s="94"/>
      <c r="M100" s="98"/>
    </row>
    <row r="101" spans="1:13" ht="38.25">
      <c r="A101" s="224" t="s">
        <v>1302</v>
      </c>
      <c r="B101" s="101" t="s">
        <v>250</v>
      </c>
      <c r="C101" s="102" t="s">
        <v>1316</v>
      </c>
      <c r="D101" s="97">
        <f>ROUND(('Alimentazione CE Ricavi'!E154+'Alimentazione CE Ricavi'!E155+'Alimentazione CE Ricavi'!E156+'Alimentazione CE Ricavi'!E157),2)</f>
        <v>50000</v>
      </c>
      <c r="E101" s="97">
        <f>ROUND(('Alimentazione CE Ricavi'!H154+'Alimentazione CE Ricavi'!H155+'Alimentazione CE Ricavi'!H156+'Alimentazione CE Ricavi'!H157),2)</f>
        <v>50000</v>
      </c>
      <c r="F101" s="97">
        <f t="shared" si="16"/>
        <v>0</v>
      </c>
      <c r="G101" s="350"/>
      <c r="H101" s="236"/>
      <c r="I101" s="97">
        <v>0</v>
      </c>
      <c r="K101" s="94"/>
      <c r="M101" s="98"/>
    </row>
    <row r="102" spans="1:13" ht="25.5">
      <c r="A102" s="224"/>
      <c r="B102" s="103" t="s">
        <v>252</v>
      </c>
      <c r="C102" s="104" t="s">
        <v>1317</v>
      </c>
      <c r="D102" s="97">
        <f>ROUND('Alimentazione CE Ricavi'!E159,2)</f>
        <v>1180101</v>
      </c>
      <c r="E102" s="97">
        <f>ROUND('Alimentazione CE Ricavi'!H159,2)</f>
        <v>1180101</v>
      </c>
      <c r="F102" s="97">
        <f t="shared" si="16"/>
        <v>0</v>
      </c>
      <c r="G102" s="350"/>
      <c r="H102" s="236"/>
      <c r="I102" s="97">
        <v>600000</v>
      </c>
      <c r="K102" s="94"/>
      <c r="M102" s="98"/>
    </row>
    <row r="103" spans="1:13" ht="25.5">
      <c r="A103" s="222" t="s">
        <v>1253</v>
      </c>
      <c r="B103" s="103" t="s">
        <v>254</v>
      </c>
      <c r="C103" s="104" t="s">
        <v>1318</v>
      </c>
      <c r="D103" s="97">
        <f>ROUND('Alimentazione CE Ricavi'!E161,2)</f>
        <v>0</v>
      </c>
      <c r="E103" s="97">
        <f>ROUND('Alimentazione CE Ricavi'!H161,2)</f>
        <v>0</v>
      </c>
      <c r="F103" s="97">
        <f t="shared" si="16"/>
        <v>0</v>
      </c>
      <c r="G103" s="350"/>
      <c r="H103" s="236"/>
      <c r="I103" s="97">
        <v>0</v>
      </c>
      <c r="K103" s="94"/>
      <c r="M103" s="98"/>
    </row>
    <row r="104" spans="1:13" ht="38.25">
      <c r="A104" s="222" t="s">
        <v>1302</v>
      </c>
      <c r="B104" s="103" t="s">
        <v>256</v>
      </c>
      <c r="C104" s="104" t="s">
        <v>1319</v>
      </c>
      <c r="D104" s="97">
        <f>ROUND('Alimentazione CE Ricavi'!E163,2)</f>
        <v>0</v>
      </c>
      <c r="E104" s="97">
        <f>ROUND('Alimentazione CE Ricavi'!H163,2)</f>
        <v>0</v>
      </c>
      <c r="F104" s="97">
        <f t="shared" si="16"/>
        <v>0</v>
      </c>
      <c r="G104" s="350"/>
      <c r="H104" s="236"/>
      <c r="I104" s="97">
        <v>0</v>
      </c>
      <c r="K104" s="94"/>
      <c r="M104" s="98"/>
    </row>
    <row r="105" spans="1:13" ht="51">
      <c r="A105" s="225" t="s">
        <v>1298</v>
      </c>
      <c r="B105" s="129" t="s">
        <v>257</v>
      </c>
      <c r="C105" s="130" t="s">
        <v>1320</v>
      </c>
      <c r="D105" s="128">
        <f t="shared" ref="D105:E105" si="18">SUM(D106:D110)</f>
        <v>1031627</v>
      </c>
      <c r="E105" s="128">
        <f t="shared" si="18"/>
        <v>1031627</v>
      </c>
      <c r="F105" s="128">
        <f t="shared" si="16"/>
        <v>0</v>
      </c>
      <c r="G105" s="60" t="s">
        <v>1838</v>
      </c>
      <c r="H105" s="236"/>
      <c r="I105" s="128">
        <v>0</v>
      </c>
      <c r="K105" s="94"/>
      <c r="M105" s="98"/>
    </row>
    <row r="106" spans="1:13" ht="25.5">
      <c r="A106" s="224" t="s">
        <v>1298</v>
      </c>
      <c r="B106" s="103" t="s">
        <v>259</v>
      </c>
      <c r="C106" s="104" t="s">
        <v>1321</v>
      </c>
      <c r="D106" s="97">
        <f>ROUND('Alimentazione CE Ricavi'!E166,2)</f>
        <v>1031627</v>
      </c>
      <c r="E106" s="97">
        <f>ROUND('Alimentazione CE Ricavi'!H166,2)</f>
        <v>1031627</v>
      </c>
      <c r="F106" s="97">
        <f t="shared" si="16"/>
        <v>0</v>
      </c>
      <c r="G106" s="350"/>
      <c r="H106" s="236"/>
      <c r="I106" s="97">
        <v>0</v>
      </c>
      <c r="K106" s="94"/>
      <c r="M106" s="98"/>
    </row>
    <row r="107" spans="1:13" ht="25.5">
      <c r="A107" s="224" t="s">
        <v>1298</v>
      </c>
      <c r="B107" s="101" t="s">
        <v>261</v>
      </c>
      <c r="C107" s="102" t="s">
        <v>1322</v>
      </c>
      <c r="D107" s="97">
        <f>ROUND('Alimentazione CE Ricavi'!E168,2)</f>
        <v>0</v>
      </c>
      <c r="E107" s="97">
        <f>ROUND('Alimentazione CE Ricavi'!H168,2)</f>
        <v>0</v>
      </c>
      <c r="F107" s="97">
        <f t="shared" si="16"/>
        <v>0</v>
      </c>
      <c r="G107" s="350"/>
      <c r="H107" s="236"/>
      <c r="I107" s="97">
        <v>0</v>
      </c>
      <c r="K107" s="94"/>
      <c r="M107" s="98"/>
    </row>
    <row r="108" spans="1:13" ht="38.25">
      <c r="A108" s="224" t="s">
        <v>1298</v>
      </c>
      <c r="B108" s="101" t="s">
        <v>262</v>
      </c>
      <c r="C108" s="102" t="s">
        <v>1323</v>
      </c>
      <c r="D108" s="97">
        <f>ROUND('Alimentazione CE Ricavi'!E170,2)</f>
        <v>0</v>
      </c>
      <c r="E108" s="97">
        <f>ROUND('Alimentazione CE Ricavi'!H170,2)</f>
        <v>0</v>
      </c>
      <c r="F108" s="97">
        <f t="shared" si="16"/>
        <v>0</v>
      </c>
      <c r="G108" s="350"/>
      <c r="H108" s="236"/>
      <c r="I108" s="97">
        <v>0</v>
      </c>
      <c r="K108" s="94"/>
      <c r="M108" s="98"/>
    </row>
    <row r="109" spans="1:13" ht="25.5">
      <c r="A109" s="222" t="s">
        <v>1298</v>
      </c>
      <c r="B109" s="101" t="s">
        <v>264</v>
      </c>
      <c r="C109" s="102" t="s">
        <v>1324</v>
      </c>
      <c r="D109" s="97">
        <f>ROUND('Alimentazione CE Ricavi'!E172,2)</f>
        <v>0</v>
      </c>
      <c r="E109" s="97">
        <f>ROUND('Alimentazione CE Ricavi'!H172,2)</f>
        <v>0</v>
      </c>
      <c r="F109" s="97">
        <f t="shared" si="16"/>
        <v>0</v>
      </c>
      <c r="G109" s="350"/>
      <c r="H109" s="236"/>
      <c r="I109" s="97">
        <v>0</v>
      </c>
      <c r="K109" s="94"/>
      <c r="M109" s="98"/>
    </row>
    <row r="110" spans="1:13" ht="38.25">
      <c r="A110" s="222" t="s">
        <v>1298</v>
      </c>
      <c r="B110" s="101" t="s">
        <v>266</v>
      </c>
      <c r="C110" s="102" t="s">
        <v>1325</v>
      </c>
      <c r="D110" s="97">
        <f>ROUND('Alimentazione CE Ricavi'!E174,2)</f>
        <v>0</v>
      </c>
      <c r="E110" s="97">
        <f>ROUND('Alimentazione CE Ricavi'!H174,2)</f>
        <v>0</v>
      </c>
      <c r="F110" s="97">
        <f t="shared" si="16"/>
        <v>0</v>
      </c>
      <c r="G110" s="350"/>
      <c r="H110" s="236"/>
      <c r="I110" s="97">
        <v>0</v>
      </c>
      <c r="K110" s="94"/>
      <c r="M110" s="98"/>
    </row>
    <row r="111" spans="1:13" ht="25.5">
      <c r="A111" s="222"/>
      <c r="B111" s="129" t="s">
        <v>267</v>
      </c>
      <c r="C111" s="130" t="s">
        <v>1326</v>
      </c>
      <c r="D111" s="128">
        <f>+ROUND(SUM('Alimentazione CE Ricavi'!E177:E211),2)</f>
        <v>4567000</v>
      </c>
      <c r="E111" s="128">
        <f>+ROUND(SUM('Alimentazione CE Ricavi'!H177:H211),2)</f>
        <v>4627000</v>
      </c>
      <c r="F111" s="128">
        <f t="shared" si="16"/>
        <v>-60000</v>
      </c>
      <c r="G111" s="60"/>
      <c r="H111" s="236"/>
      <c r="I111" s="128">
        <v>1936800</v>
      </c>
      <c r="K111" s="94"/>
      <c r="M111" s="98"/>
    </row>
    <row r="112" spans="1:13" ht="25.5">
      <c r="A112" s="222"/>
      <c r="B112" s="129" t="s">
        <v>1327</v>
      </c>
      <c r="C112" s="130" t="s">
        <v>1328</v>
      </c>
      <c r="D112" s="128">
        <f t="shared" ref="D112:E112" si="19">SUM(D113:D119)</f>
        <v>8040000</v>
      </c>
      <c r="E112" s="128">
        <f t="shared" si="19"/>
        <v>8040000</v>
      </c>
      <c r="F112" s="128">
        <f t="shared" si="16"/>
        <v>0</v>
      </c>
      <c r="G112" s="60" t="s">
        <v>1838</v>
      </c>
      <c r="H112" s="236"/>
      <c r="I112" s="128">
        <v>6148682</v>
      </c>
      <c r="K112" s="94"/>
      <c r="M112" s="98"/>
    </row>
    <row r="113" spans="1:13" ht="25.5">
      <c r="A113" s="222"/>
      <c r="B113" s="101" t="s">
        <v>302</v>
      </c>
      <c r="C113" s="102" t="s">
        <v>1329</v>
      </c>
      <c r="D113" s="97">
        <f>ROUND('Alimentazione CE Ricavi'!E214,2)</f>
        <v>905000</v>
      </c>
      <c r="E113" s="97">
        <f>ROUND('Alimentazione CE Ricavi'!H214,2)</f>
        <v>905000</v>
      </c>
      <c r="F113" s="97">
        <f t="shared" si="16"/>
        <v>0</v>
      </c>
      <c r="G113" s="60"/>
      <c r="H113" s="236"/>
      <c r="I113" s="97">
        <v>905000</v>
      </c>
      <c r="K113" s="94"/>
      <c r="M113" s="98"/>
    </row>
    <row r="114" spans="1:13" ht="25.5">
      <c r="A114" s="222"/>
      <c r="B114" s="101" t="s">
        <v>304</v>
      </c>
      <c r="C114" s="102" t="s">
        <v>1330</v>
      </c>
      <c r="D114" s="97">
        <f>ROUND('Alimentazione CE Ricavi'!E216,2)</f>
        <v>6636000</v>
      </c>
      <c r="E114" s="97">
        <f>ROUND('Alimentazione CE Ricavi'!H216,2)</f>
        <v>6636000</v>
      </c>
      <c r="F114" s="97">
        <f t="shared" si="16"/>
        <v>0</v>
      </c>
      <c r="G114" s="60"/>
      <c r="H114" s="236"/>
      <c r="I114" s="97">
        <v>5160682</v>
      </c>
      <c r="K114" s="94"/>
      <c r="M114" s="98"/>
    </row>
    <row r="115" spans="1:13" ht="25.5">
      <c r="A115" s="222"/>
      <c r="B115" s="101" t="s">
        <v>306</v>
      </c>
      <c r="C115" s="102" t="s">
        <v>1331</v>
      </c>
      <c r="D115" s="97">
        <f>ROUND('Alimentazione CE Ricavi'!E218,2)</f>
        <v>0</v>
      </c>
      <c r="E115" s="97">
        <f>ROUND('Alimentazione CE Ricavi'!H218,2)</f>
        <v>0</v>
      </c>
      <c r="F115" s="97">
        <f t="shared" si="16"/>
        <v>0</v>
      </c>
      <c r="G115" s="60"/>
      <c r="H115" s="236"/>
      <c r="I115" s="97">
        <v>0</v>
      </c>
      <c r="K115" s="94"/>
      <c r="M115" s="98"/>
    </row>
    <row r="116" spans="1:13" ht="25.5">
      <c r="A116" s="222"/>
      <c r="B116" s="101" t="s">
        <v>308</v>
      </c>
      <c r="C116" s="102" t="s">
        <v>1332</v>
      </c>
      <c r="D116" s="97">
        <f>ROUND('Alimentazione CE Ricavi'!E220,2)</f>
        <v>89000</v>
      </c>
      <c r="E116" s="97">
        <f>ROUND('Alimentazione CE Ricavi'!H220,2)</f>
        <v>89000</v>
      </c>
      <c r="F116" s="97">
        <f t="shared" si="16"/>
        <v>0</v>
      </c>
      <c r="G116" s="60"/>
      <c r="H116" s="236"/>
      <c r="I116" s="97">
        <v>83000</v>
      </c>
      <c r="K116" s="94"/>
      <c r="M116" s="98"/>
    </row>
    <row r="117" spans="1:13" ht="38.25">
      <c r="A117" s="222" t="s">
        <v>1253</v>
      </c>
      <c r="B117" s="101" t="s">
        <v>310</v>
      </c>
      <c r="C117" s="102" t="s">
        <v>1333</v>
      </c>
      <c r="D117" s="97">
        <f>ROUND('Alimentazione CE Ricavi'!E222,2)</f>
        <v>371000</v>
      </c>
      <c r="E117" s="97">
        <f>ROUND('Alimentazione CE Ricavi'!H222,2)</f>
        <v>371000</v>
      </c>
      <c r="F117" s="97">
        <f t="shared" si="16"/>
        <v>0</v>
      </c>
      <c r="G117" s="60"/>
      <c r="H117" s="236"/>
      <c r="I117" s="97">
        <v>0</v>
      </c>
      <c r="K117" s="94"/>
      <c r="M117" s="98"/>
    </row>
    <row r="118" spans="1:13" ht="18.75">
      <c r="A118" s="222"/>
      <c r="B118" s="101" t="s">
        <v>312</v>
      </c>
      <c r="C118" s="102" t="s">
        <v>1334</v>
      </c>
      <c r="D118" s="97">
        <f>ROUND('Alimentazione CE Ricavi'!E224,2)</f>
        <v>39000</v>
      </c>
      <c r="E118" s="97">
        <f>ROUND('Alimentazione CE Ricavi'!H224,2)</f>
        <v>39000</v>
      </c>
      <c r="F118" s="97">
        <f t="shared" si="16"/>
        <v>0</v>
      </c>
      <c r="G118" s="60"/>
      <c r="H118" s="236"/>
      <c r="I118" s="97">
        <v>0</v>
      </c>
      <c r="K118" s="94"/>
      <c r="M118" s="98"/>
    </row>
    <row r="119" spans="1:13" ht="25.5">
      <c r="A119" s="222" t="s">
        <v>1253</v>
      </c>
      <c r="B119" s="101" t="s">
        <v>314</v>
      </c>
      <c r="C119" s="102" t="s">
        <v>1335</v>
      </c>
      <c r="D119" s="97">
        <f>ROUND('Alimentazione CE Ricavi'!E226,2)</f>
        <v>0</v>
      </c>
      <c r="E119" s="97">
        <f>ROUND('Alimentazione CE Ricavi'!H226,2)</f>
        <v>0</v>
      </c>
      <c r="F119" s="97">
        <f t="shared" si="16"/>
        <v>0</v>
      </c>
      <c r="G119" s="60"/>
      <c r="H119" s="236"/>
      <c r="I119" s="97">
        <v>0</v>
      </c>
      <c r="K119" s="94"/>
      <c r="M119" s="98"/>
    </row>
    <row r="120" spans="1:13" ht="18.75">
      <c r="A120" s="226"/>
      <c r="B120" s="134" t="s">
        <v>1336</v>
      </c>
      <c r="C120" s="135" t="s">
        <v>1337</v>
      </c>
      <c r="D120" s="136">
        <f t="shared" ref="D120:E120" si="20">+D121+D122+D125+D130+D134</f>
        <v>2978892</v>
      </c>
      <c r="E120" s="136">
        <f t="shared" si="20"/>
        <v>15693335</v>
      </c>
      <c r="F120" s="136">
        <f t="shared" si="16"/>
        <v>-12714443</v>
      </c>
      <c r="G120" s="60"/>
      <c r="H120" s="236"/>
      <c r="I120" s="136">
        <v>0</v>
      </c>
      <c r="K120" s="94"/>
      <c r="M120" s="98"/>
    </row>
    <row r="121" spans="1:13" ht="18.75">
      <c r="A121" s="226"/>
      <c r="B121" s="99" t="s">
        <v>316</v>
      </c>
      <c r="C121" s="100" t="s">
        <v>1338</v>
      </c>
      <c r="D121" s="97">
        <f>ROUND('Alimentazione CE Ricavi'!E229,2)</f>
        <v>50000</v>
      </c>
      <c r="E121" s="97">
        <f>ROUND('Alimentazione CE Ricavi'!H229,2)</f>
        <v>50000</v>
      </c>
      <c r="F121" s="97">
        <f t="shared" si="16"/>
        <v>0</v>
      </c>
      <c r="G121" s="60"/>
      <c r="H121" s="236"/>
      <c r="I121" s="97">
        <v>0</v>
      </c>
      <c r="K121" s="94"/>
      <c r="M121" s="98"/>
    </row>
    <row r="122" spans="1:13" ht="18.75">
      <c r="A122" s="227"/>
      <c r="B122" s="129" t="s">
        <v>1339</v>
      </c>
      <c r="C122" s="130" t="s">
        <v>1340</v>
      </c>
      <c r="D122" s="128">
        <f t="shared" ref="D122:E122" si="21">+D123+D124</f>
        <v>235000</v>
      </c>
      <c r="E122" s="128">
        <f t="shared" si="21"/>
        <v>90000</v>
      </c>
      <c r="F122" s="128">
        <f t="shared" si="16"/>
        <v>145000</v>
      </c>
      <c r="G122" s="60" t="s">
        <v>1838</v>
      </c>
      <c r="H122" s="236"/>
      <c r="I122" s="128">
        <v>0</v>
      </c>
      <c r="K122" s="94"/>
      <c r="M122" s="98"/>
    </row>
    <row r="123" spans="1:13" ht="25.5">
      <c r="A123" s="227"/>
      <c r="B123" s="101" t="s">
        <v>318</v>
      </c>
      <c r="C123" s="102" t="s">
        <v>1341</v>
      </c>
      <c r="D123" s="97">
        <f>ROUND('Alimentazione CE Ricavi'!E232,2)</f>
        <v>235000</v>
      </c>
      <c r="E123" s="97">
        <f>ROUND('Alimentazione CE Ricavi'!H232,2)</f>
        <v>90000</v>
      </c>
      <c r="F123" s="97">
        <f t="shared" si="16"/>
        <v>145000</v>
      </c>
      <c r="G123" s="60"/>
      <c r="H123" s="236"/>
      <c r="I123" s="97">
        <v>0</v>
      </c>
      <c r="K123" s="94"/>
      <c r="M123" s="98"/>
    </row>
    <row r="124" spans="1:13" ht="25.5">
      <c r="A124" s="227"/>
      <c r="B124" s="101" t="s">
        <v>320</v>
      </c>
      <c r="C124" s="102" t="s">
        <v>1342</v>
      </c>
      <c r="D124" s="97">
        <f>ROUND('Alimentazione CE Ricavi'!E234,2)</f>
        <v>0</v>
      </c>
      <c r="E124" s="97">
        <f>ROUND('Alimentazione CE Ricavi'!H234,2)</f>
        <v>0</v>
      </c>
      <c r="F124" s="97">
        <f t="shared" si="16"/>
        <v>0</v>
      </c>
      <c r="G124" s="60"/>
      <c r="H124" s="236"/>
      <c r="I124" s="97">
        <v>0</v>
      </c>
      <c r="K124" s="94"/>
      <c r="M124" s="98"/>
    </row>
    <row r="125" spans="1:13" ht="25.5">
      <c r="A125" s="225" t="s">
        <v>1253</v>
      </c>
      <c r="B125" s="129" t="s">
        <v>1343</v>
      </c>
      <c r="C125" s="130" t="s">
        <v>1344</v>
      </c>
      <c r="D125" s="128">
        <f t="shared" ref="D125:E125" si="22">+D126+D127+D128+D129</f>
        <v>549000</v>
      </c>
      <c r="E125" s="128">
        <f t="shared" si="22"/>
        <v>663768</v>
      </c>
      <c r="F125" s="128">
        <f t="shared" si="16"/>
        <v>-114768</v>
      </c>
      <c r="G125" s="60" t="s">
        <v>1838</v>
      </c>
      <c r="H125" s="236"/>
      <c r="I125" s="128">
        <v>0</v>
      </c>
      <c r="K125" s="94"/>
      <c r="M125" s="98"/>
    </row>
    <row r="126" spans="1:13" ht="38.25">
      <c r="A126" s="222" t="s">
        <v>1253</v>
      </c>
      <c r="B126" s="101" t="s">
        <v>322</v>
      </c>
      <c r="C126" s="102" t="s">
        <v>1345</v>
      </c>
      <c r="D126" s="97">
        <f>ROUND('Alimentazione CE Ricavi'!E237,2)</f>
        <v>0</v>
      </c>
      <c r="E126" s="97">
        <f>ROUND('Alimentazione CE Ricavi'!H237,2)</f>
        <v>87000</v>
      </c>
      <c r="F126" s="97">
        <f t="shared" si="16"/>
        <v>-87000</v>
      </c>
      <c r="G126" s="60"/>
      <c r="H126" s="236"/>
      <c r="I126" s="97">
        <v>0</v>
      </c>
      <c r="K126" s="94"/>
      <c r="M126" s="98"/>
    </row>
    <row r="127" spans="1:13" ht="25.5">
      <c r="A127" s="222" t="s">
        <v>1253</v>
      </c>
      <c r="B127" s="101" t="s">
        <v>324</v>
      </c>
      <c r="C127" s="102" t="s">
        <v>1346</v>
      </c>
      <c r="D127" s="97">
        <f>ROUND('Alimentazione CE Ricavi'!E239,2)</f>
        <v>0</v>
      </c>
      <c r="E127" s="97">
        <f>ROUND('Alimentazione CE Ricavi'!H239,2)</f>
        <v>0</v>
      </c>
      <c r="F127" s="97">
        <f t="shared" si="16"/>
        <v>0</v>
      </c>
      <c r="G127" s="60"/>
      <c r="H127" s="236"/>
      <c r="I127" s="97">
        <v>0</v>
      </c>
      <c r="K127" s="94"/>
      <c r="M127" s="98"/>
    </row>
    <row r="128" spans="1:13" ht="25.5">
      <c r="A128" s="222" t="s">
        <v>1253</v>
      </c>
      <c r="B128" s="101" t="s">
        <v>325</v>
      </c>
      <c r="C128" s="102" t="s">
        <v>1347</v>
      </c>
      <c r="D128" s="97">
        <f>ROUND(('Alimentazione CE Ricavi'!E241+'Alimentazione CE Ricavi'!E242+'Alimentazione CE Ricavi'!E243),2)</f>
        <v>549000</v>
      </c>
      <c r="E128" s="97">
        <f>ROUND(('Alimentazione CE Ricavi'!H241+'Alimentazione CE Ricavi'!H242+'Alimentazione CE Ricavi'!H243),2)</f>
        <v>576768</v>
      </c>
      <c r="F128" s="97">
        <f t="shared" si="16"/>
        <v>-27768</v>
      </c>
      <c r="G128" s="60"/>
      <c r="H128" s="236"/>
      <c r="I128" s="97">
        <v>0</v>
      </c>
      <c r="K128" s="94"/>
      <c r="M128" s="98"/>
    </row>
    <row r="129" spans="1:13" ht="25.5">
      <c r="A129" s="222" t="s">
        <v>1253</v>
      </c>
      <c r="B129" s="101" t="s">
        <v>327</v>
      </c>
      <c r="C129" s="102" t="s">
        <v>1348</v>
      </c>
      <c r="D129" s="97">
        <f>ROUND('Alimentazione CE Ricavi'!E245,2)</f>
        <v>0</v>
      </c>
      <c r="E129" s="97">
        <f>ROUND('Alimentazione CE Ricavi'!H245,2)</f>
        <v>0</v>
      </c>
      <c r="F129" s="97">
        <f t="shared" si="16"/>
        <v>0</v>
      </c>
      <c r="G129" s="60"/>
      <c r="H129" s="236"/>
      <c r="I129" s="97">
        <v>0</v>
      </c>
      <c r="K129" s="94"/>
      <c r="M129" s="98"/>
    </row>
    <row r="130" spans="1:13" ht="25.5">
      <c r="A130" s="222"/>
      <c r="B130" s="129" t="s">
        <v>328</v>
      </c>
      <c r="C130" s="130" t="s">
        <v>1349</v>
      </c>
      <c r="D130" s="128">
        <f t="shared" ref="D130:E130" si="23">+D131+D132+D133</f>
        <v>1347000</v>
      </c>
      <c r="E130" s="128">
        <f t="shared" si="23"/>
        <v>1205548</v>
      </c>
      <c r="F130" s="128">
        <f t="shared" si="16"/>
        <v>141452</v>
      </c>
      <c r="G130" s="60" t="s">
        <v>1838</v>
      </c>
      <c r="H130" s="236"/>
      <c r="I130" s="128">
        <v>0</v>
      </c>
      <c r="K130" s="94"/>
      <c r="M130" s="98"/>
    </row>
    <row r="131" spans="1:13" ht="38.25">
      <c r="A131" s="222"/>
      <c r="B131" s="101" t="s">
        <v>330</v>
      </c>
      <c r="C131" s="102" t="s">
        <v>1350</v>
      </c>
      <c r="D131" s="97">
        <f>ROUND('Alimentazione CE Ricavi'!E248,2)</f>
        <v>222000</v>
      </c>
      <c r="E131" s="97">
        <f>ROUND('Alimentazione CE Ricavi'!H248,2)</f>
        <v>80548</v>
      </c>
      <c r="F131" s="97">
        <f t="shared" si="16"/>
        <v>141452</v>
      </c>
      <c r="G131" s="60"/>
      <c r="H131" s="236"/>
      <c r="I131" s="97">
        <v>0</v>
      </c>
      <c r="K131" s="94"/>
      <c r="M131" s="98"/>
    </row>
    <row r="132" spans="1:13" ht="25.5">
      <c r="A132" s="222"/>
      <c r="B132" s="101" t="s">
        <v>332</v>
      </c>
      <c r="C132" s="102" t="s">
        <v>1351</v>
      </c>
      <c r="D132" s="97">
        <f>ROUND('Alimentazione CE Ricavi'!E250,2)</f>
        <v>0</v>
      </c>
      <c r="E132" s="97">
        <f>ROUND('Alimentazione CE Ricavi'!H250,2)</f>
        <v>0</v>
      </c>
      <c r="F132" s="97">
        <f t="shared" si="16"/>
        <v>0</v>
      </c>
      <c r="G132" s="60"/>
      <c r="H132" s="236"/>
      <c r="I132" s="97">
        <v>0</v>
      </c>
      <c r="K132" s="94"/>
      <c r="M132" s="98"/>
    </row>
    <row r="133" spans="1:13" ht="25.5">
      <c r="A133" s="222"/>
      <c r="B133" s="101" t="s">
        <v>334</v>
      </c>
      <c r="C133" s="102" t="s">
        <v>1352</v>
      </c>
      <c r="D133" s="97">
        <f>+ROUND(SUM('Alimentazione CE Ricavi'!E252:E257),2)</f>
        <v>1125000</v>
      </c>
      <c r="E133" s="97">
        <f>+ROUND(SUM('Alimentazione CE Ricavi'!H252:H257),2)</f>
        <v>1125000</v>
      </c>
      <c r="F133" s="97">
        <f t="shared" si="16"/>
        <v>0</v>
      </c>
      <c r="G133" s="60"/>
      <c r="H133" s="236"/>
      <c r="I133" s="97">
        <v>0</v>
      </c>
      <c r="K133" s="94"/>
      <c r="M133" s="98"/>
    </row>
    <row r="134" spans="1:13" ht="18.75">
      <c r="A134" s="222"/>
      <c r="B134" s="129" t="s">
        <v>340</v>
      </c>
      <c r="C134" s="130" t="s">
        <v>1353</v>
      </c>
      <c r="D134" s="128">
        <f t="shared" ref="D134:E134" si="24">+D135+D139+D140</f>
        <v>797892</v>
      </c>
      <c r="E134" s="128">
        <f t="shared" si="24"/>
        <v>13684019</v>
      </c>
      <c r="F134" s="128">
        <f t="shared" si="16"/>
        <v>-12886127</v>
      </c>
      <c r="G134" s="60" t="s">
        <v>1838</v>
      </c>
      <c r="H134" s="236"/>
      <c r="I134" s="128">
        <v>0</v>
      </c>
      <c r="K134" s="94"/>
      <c r="M134" s="98"/>
    </row>
    <row r="135" spans="1:13" ht="18.75">
      <c r="A135" s="222"/>
      <c r="B135" s="146" t="s">
        <v>341</v>
      </c>
      <c r="C135" s="147" t="s">
        <v>1354</v>
      </c>
      <c r="D135" s="148">
        <f t="shared" ref="D135:E135" si="25">+D136+D137+D138</f>
        <v>0</v>
      </c>
      <c r="E135" s="148">
        <f t="shared" si="25"/>
        <v>12886127</v>
      </c>
      <c r="F135" s="148">
        <f t="shared" si="16"/>
        <v>-12886127</v>
      </c>
      <c r="G135" s="60" t="s">
        <v>1838</v>
      </c>
      <c r="H135" s="237"/>
      <c r="I135" s="148">
        <v>0</v>
      </c>
      <c r="K135" s="94"/>
      <c r="M135" s="98"/>
    </row>
    <row r="136" spans="1:13" ht="25.5">
      <c r="A136" s="222"/>
      <c r="B136" s="103" t="s">
        <v>343</v>
      </c>
      <c r="C136" s="104" t="s">
        <v>1355</v>
      </c>
      <c r="D136" s="97">
        <f>ROUND('Alimentazione CE Ricavi'!E261,2)</f>
        <v>0</v>
      </c>
      <c r="E136" s="97">
        <f>ROUND('Alimentazione CE Ricavi'!H261,2)</f>
        <v>0</v>
      </c>
      <c r="F136" s="97">
        <f t="shared" si="16"/>
        <v>0</v>
      </c>
      <c r="G136" s="60"/>
      <c r="H136" s="236"/>
      <c r="I136" s="97">
        <v>0</v>
      </c>
      <c r="K136" s="94"/>
      <c r="M136" s="98"/>
    </row>
    <row r="137" spans="1:13" ht="25.5">
      <c r="A137" s="222"/>
      <c r="B137" s="103" t="s">
        <v>345</v>
      </c>
      <c r="C137" s="104" t="s">
        <v>1356</v>
      </c>
      <c r="D137" s="97">
        <f>ROUND('Alimentazione CE Ricavi'!E263,2)</f>
        <v>0</v>
      </c>
      <c r="E137" s="97">
        <f>ROUND('Alimentazione CE Ricavi'!H263,2)</f>
        <v>9518847</v>
      </c>
      <c r="F137" s="97">
        <f t="shared" si="16"/>
        <v>-9518847</v>
      </c>
      <c r="G137" s="60"/>
      <c r="H137" s="236"/>
      <c r="I137" s="97">
        <v>0</v>
      </c>
      <c r="K137" s="94"/>
      <c r="M137" s="98"/>
    </row>
    <row r="138" spans="1:13" ht="18.75">
      <c r="A138" s="222"/>
      <c r="B138" s="103" t="s">
        <v>347</v>
      </c>
      <c r="C138" s="104" t="s">
        <v>1357</v>
      </c>
      <c r="D138" s="97">
        <f>ROUND('Alimentazione CE Ricavi'!E265,2)</f>
        <v>0</v>
      </c>
      <c r="E138" s="97">
        <f>ROUND('Alimentazione CE Ricavi'!H265,2)</f>
        <v>3367280</v>
      </c>
      <c r="F138" s="97">
        <f t="shared" si="16"/>
        <v>-3367280</v>
      </c>
      <c r="G138" s="60"/>
      <c r="H138" s="236"/>
      <c r="I138" s="97">
        <v>0</v>
      </c>
      <c r="K138" s="94"/>
      <c r="M138" s="98"/>
    </row>
    <row r="139" spans="1:13" ht="18.75">
      <c r="A139" s="224"/>
      <c r="B139" s="101" t="s">
        <v>349</v>
      </c>
      <c r="C139" s="102" t="s">
        <v>1358</v>
      </c>
      <c r="D139" s="97">
        <f>ROUND('Alimentazione CE Ricavi'!E267,2)</f>
        <v>0</v>
      </c>
      <c r="E139" s="97">
        <f>ROUND('Alimentazione CE Ricavi'!H267,2)</f>
        <v>0</v>
      </c>
      <c r="F139" s="97">
        <f t="shared" si="16"/>
        <v>0</v>
      </c>
      <c r="G139" s="350"/>
      <c r="H139" s="236"/>
      <c r="I139" s="97">
        <v>0</v>
      </c>
      <c r="K139" s="94"/>
      <c r="M139" s="98"/>
    </row>
    <row r="140" spans="1:13" ht="18.75">
      <c r="A140" s="224"/>
      <c r="B140" s="101" t="s">
        <v>351</v>
      </c>
      <c r="C140" s="102" t="s">
        <v>1359</v>
      </c>
      <c r="D140" s="97">
        <f>+ROUND(SUM('Alimentazione CE Ricavi'!E269:E281),2)</f>
        <v>797892</v>
      </c>
      <c r="E140" s="97">
        <f>+ROUND(SUM('Alimentazione CE Ricavi'!H269:H281),2)</f>
        <v>797892</v>
      </c>
      <c r="F140" s="97">
        <f t="shared" si="16"/>
        <v>0</v>
      </c>
      <c r="G140" s="350"/>
      <c r="H140" s="236"/>
      <c r="I140" s="97">
        <v>0</v>
      </c>
      <c r="K140" s="94"/>
      <c r="M140" s="98"/>
    </row>
    <row r="141" spans="1:13" ht="25.5">
      <c r="A141" s="224"/>
      <c r="B141" s="134" t="s">
        <v>364</v>
      </c>
      <c r="C141" s="135" t="s">
        <v>1360</v>
      </c>
      <c r="D141" s="136">
        <f t="shared" ref="D141:E141" si="26">+D142+D143+D144</f>
        <v>9072000</v>
      </c>
      <c r="E141" s="136">
        <f t="shared" si="26"/>
        <v>8795700</v>
      </c>
      <c r="F141" s="136">
        <f t="shared" si="16"/>
        <v>276300</v>
      </c>
      <c r="G141" s="60" t="s">
        <v>1838</v>
      </c>
      <c r="H141" s="236"/>
      <c r="I141" s="136">
        <v>2645386.4900000002</v>
      </c>
      <c r="K141" s="94"/>
      <c r="M141" s="98"/>
    </row>
    <row r="142" spans="1:13" ht="38.25">
      <c r="A142" s="224"/>
      <c r="B142" s="99" t="s">
        <v>365</v>
      </c>
      <c r="C142" s="100" t="s">
        <v>1361</v>
      </c>
      <c r="D142" s="97">
        <f>ROUND('Alimentazione CE Ricavi'!E284,2)</f>
        <v>9000000</v>
      </c>
      <c r="E142" s="97">
        <f>ROUND('Alimentazione CE Ricavi'!H284,2)</f>
        <v>8724006</v>
      </c>
      <c r="F142" s="97">
        <f t="shared" si="16"/>
        <v>275994</v>
      </c>
      <c r="G142" s="350"/>
      <c r="H142" s="236"/>
      <c r="I142" s="107">
        <v>2573386.4900000002</v>
      </c>
      <c r="K142" s="94"/>
      <c r="M142" s="98"/>
    </row>
    <row r="143" spans="1:13" ht="25.5">
      <c r="A143" s="222"/>
      <c r="B143" s="99" t="s">
        <v>367</v>
      </c>
      <c r="C143" s="100" t="s">
        <v>1362</v>
      </c>
      <c r="D143" s="97">
        <f>ROUND('Alimentazione CE Ricavi'!E286,2)</f>
        <v>72000</v>
      </c>
      <c r="E143" s="97">
        <f>ROUND('Alimentazione CE Ricavi'!H286,2)</f>
        <v>71694</v>
      </c>
      <c r="F143" s="97">
        <f t="shared" si="16"/>
        <v>306</v>
      </c>
      <c r="G143" s="60"/>
      <c r="H143" s="236"/>
      <c r="I143" s="97">
        <v>72000</v>
      </c>
      <c r="K143" s="94"/>
      <c r="M143" s="98"/>
    </row>
    <row r="144" spans="1:13" ht="25.5">
      <c r="A144" s="222"/>
      <c r="B144" s="99" t="s">
        <v>369</v>
      </c>
      <c r="C144" s="100" t="s">
        <v>1363</v>
      </c>
      <c r="D144" s="97">
        <f>ROUND('Alimentazione CE Ricavi'!E288,2)</f>
        <v>0</v>
      </c>
      <c r="E144" s="97">
        <f>ROUND('Alimentazione CE Ricavi'!H288,2)</f>
        <v>0</v>
      </c>
      <c r="F144" s="97">
        <f t="shared" si="16"/>
        <v>0</v>
      </c>
      <c r="G144" s="60"/>
      <c r="H144" s="236"/>
      <c r="I144" s="97">
        <v>0</v>
      </c>
      <c r="K144" s="94"/>
      <c r="M144" s="98"/>
    </row>
    <row r="145" spans="1:13" ht="25.5">
      <c r="A145" s="222"/>
      <c r="B145" s="134" t="s">
        <v>370</v>
      </c>
      <c r="C145" s="135" t="s">
        <v>1364</v>
      </c>
      <c r="D145" s="136">
        <f t="shared" ref="D145:E145" si="27">+D146+D147+D148+D149+D150+D151</f>
        <v>25951000</v>
      </c>
      <c r="E145" s="136">
        <f t="shared" si="27"/>
        <v>25951000</v>
      </c>
      <c r="F145" s="136">
        <f t="shared" si="16"/>
        <v>0</v>
      </c>
      <c r="G145" s="60" t="s">
        <v>1838</v>
      </c>
      <c r="H145" s="236"/>
      <c r="I145" s="136">
        <v>0</v>
      </c>
      <c r="K145" s="94"/>
      <c r="M145" s="98"/>
    </row>
    <row r="146" spans="1:13" ht="25.5">
      <c r="A146" s="222"/>
      <c r="B146" s="99" t="s">
        <v>372</v>
      </c>
      <c r="C146" s="100" t="s">
        <v>1365</v>
      </c>
      <c r="D146" s="97">
        <f>ROUND('Alimentazione CE Ricavi'!E291,2)</f>
        <v>54000</v>
      </c>
      <c r="E146" s="97">
        <f>ROUND('Alimentazione CE Ricavi'!H291,2)</f>
        <v>54000</v>
      </c>
      <c r="F146" s="97">
        <f t="shared" si="16"/>
        <v>0</v>
      </c>
      <c r="G146" s="60"/>
      <c r="H146" s="236"/>
      <c r="I146" s="97">
        <v>0</v>
      </c>
      <c r="K146" s="94"/>
      <c r="M146" s="98"/>
    </row>
    <row r="147" spans="1:13" ht="25.5">
      <c r="A147" s="222"/>
      <c r="B147" s="99" t="s">
        <v>374</v>
      </c>
      <c r="C147" s="100" t="s">
        <v>1366</v>
      </c>
      <c r="D147" s="97">
        <f>ROUND('Alimentazione CE Ricavi'!E293,2)</f>
        <v>19760000</v>
      </c>
      <c r="E147" s="97">
        <f>ROUND('Alimentazione CE Ricavi'!H293,2)</f>
        <v>19760000</v>
      </c>
      <c r="F147" s="97">
        <f t="shared" si="16"/>
        <v>0</v>
      </c>
      <c r="G147" s="60"/>
      <c r="H147" s="236"/>
      <c r="I147" s="97">
        <v>0</v>
      </c>
      <c r="K147" s="94"/>
      <c r="M147" s="98"/>
    </row>
    <row r="148" spans="1:13" ht="25.5">
      <c r="A148" s="222"/>
      <c r="B148" s="99" t="s">
        <v>376</v>
      </c>
      <c r="C148" s="100" t="s">
        <v>1367</v>
      </c>
      <c r="D148" s="97">
        <f>ROUND('Alimentazione CE Ricavi'!E295,2)</f>
        <v>4410000</v>
      </c>
      <c r="E148" s="97">
        <f>ROUND('Alimentazione CE Ricavi'!H295,2)</f>
        <v>4410000</v>
      </c>
      <c r="F148" s="97">
        <f t="shared" si="16"/>
        <v>0</v>
      </c>
      <c r="G148" s="60"/>
      <c r="H148" s="236"/>
      <c r="I148" s="97">
        <v>0</v>
      </c>
      <c r="K148" s="94"/>
      <c r="M148" s="98"/>
    </row>
    <row r="149" spans="1:13" ht="25.5">
      <c r="A149" s="222"/>
      <c r="B149" s="99" t="s">
        <v>378</v>
      </c>
      <c r="C149" s="100" t="s">
        <v>1368</v>
      </c>
      <c r="D149" s="97">
        <f>ROUND('Alimentazione CE Ricavi'!E297,2)</f>
        <v>37000</v>
      </c>
      <c r="E149" s="97">
        <f>ROUND('Alimentazione CE Ricavi'!H297,2)</f>
        <v>37000</v>
      </c>
      <c r="F149" s="97">
        <f t="shared" si="16"/>
        <v>0</v>
      </c>
      <c r="G149" s="60"/>
      <c r="H149" s="236"/>
      <c r="I149" s="97">
        <v>0</v>
      </c>
      <c r="K149" s="94"/>
      <c r="M149" s="98"/>
    </row>
    <row r="150" spans="1:13" ht="25.5">
      <c r="A150" s="222"/>
      <c r="B150" s="99" t="s">
        <v>380</v>
      </c>
      <c r="C150" s="100" t="s">
        <v>1369</v>
      </c>
      <c r="D150" s="97">
        <f>ROUND('Alimentazione CE Ricavi'!E299,2)</f>
        <v>0</v>
      </c>
      <c r="E150" s="97">
        <f>ROUND('Alimentazione CE Ricavi'!H299,2)</f>
        <v>0</v>
      </c>
      <c r="F150" s="97">
        <f t="shared" si="16"/>
        <v>0</v>
      </c>
      <c r="G150" s="60"/>
      <c r="H150" s="236"/>
      <c r="I150" s="97">
        <v>0</v>
      </c>
      <c r="K150" s="94"/>
      <c r="M150" s="98"/>
    </row>
    <row r="151" spans="1:13" ht="25.5">
      <c r="A151" s="222"/>
      <c r="B151" s="99" t="s">
        <v>382</v>
      </c>
      <c r="C151" s="100" t="s">
        <v>1370</v>
      </c>
      <c r="D151" s="97">
        <f>ROUND('Alimentazione CE Ricavi'!E301,2)</f>
        <v>1690000</v>
      </c>
      <c r="E151" s="97">
        <f>ROUND('Alimentazione CE Ricavi'!H301,2)</f>
        <v>1690000</v>
      </c>
      <c r="F151" s="97">
        <f t="shared" si="16"/>
        <v>0</v>
      </c>
      <c r="G151" s="60"/>
      <c r="H151" s="236"/>
      <c r="I151" s="97">
        <v>0</v>
      </c>
      <c r="K151" s="94"/>
      <c r="M151" s="98"/>
    </row>
    <row r="152" spans="1:13" ht="25.5">
      <c r="A152" s="222"/>
      <c r="B152" s="134" t="s">
        <v>383</v>
      </c>
      <c r="C152" s="135" t="s">
        <v>1371</v>
      </c>
      <c r="D152" s="136">
        <f>ROUND('Alimentazione CE Ricavi'!E303,2)</f>
        <v>0</v>
      </c>
      <c r="E152" s="136">
        <f>ROUND('Alimentazione CE Ricavi'!H303,2)</f>
        <v>0</v>
      </c>
      <c r="F152" s="136">
        <f t="shared" si="16"/>
        <v>0</v>
      </c>
      <c r="G152" s="60"/>
      <c r="H152" s="236"/>
      <c r="I152" s="136">
        <v>0</v>
      </c>
      <c r="K152" s="94"/>
      <c r="M152" s="98"/>
    </row>
    <row r="153" spans="1:13" ht="18.75">
      <c r="A153" s="222"/>
      <c r="B153" s="134" t="s">
        <v>384</v>
      </c>
      <c r="C153" s="135" t="s">
        <v>1372</v>
      </c>
      <c r="D153" s="136">
        <f t="shared" ref="D153:E153" si="28">+D154+D155+D156</f>
        <v>686000</v>
      </c>
      <c r="E153" s="136">
        <f t="shared" si="28"/>
        <v>535000</v>
      </c>
      <c r="F153" s="136">
        <f t="shared" si="16"/>
        <v>151000</v>
      </c>
      <c r="G153" s="60" t="s">
        <v>1838</v>
      </c>
      <c r="H153" s="236"/>
      <c r="I153" s="136">
        <v>0</v>
      </c>
      <c r="K153" s="94"/>
      <c r="M153" s="98"/>
    </row>
    <row r="154" spans="1:13" ht="18.75">
      <c r="A154" s="222"/>
      <c r="B154" s="99" t="s">
        <v>385</v>
      </c>
      <c r="C154" s="100" t="s">
        <v>1373</v>
      </c>
      <c r="D154" s="97">
        <f>ROUND(('Alimentazione CE Ricavi'!E306+'Alimentazione CE Ricavi'!E307+'Alimentazione CE Ricavi'!E308),2)</f>
        <v>0</v>
      </c>
      <c r="E154" s="97">
        <f>ROUND(('Alimentazione CE Ricavi'!H306+'Alimentazione CE Ricavi'!H307+'Alimentazione CE Ricavi'!H308),2)</f>
        <v>0</v>
      </c>
      <c r="F154" s="97">
        <f t="shared" ref="F154:F217" si="29">+D154-E154</f>
        <v>0</v>
      </c>
      <c r="G154" s="60"/>
      <c r="H154" s="236"/>
      <c r="I154" s="97">
        <v>0</v>
      </c>
      <c r="K154" s="94"/>
      <c r="M154" s="98"/>
    </row>
    <row r="155" spans="1:13" ht="25.5">
      <c r="A155" s="222"/>
      <c r="B155" s="99" t="s">
        <v>389</v>
      </c>
      <c r="C155" s="100" t="s">
        <v>1374</v>
      </c>
      <c r="D155" s="97">
        <f>ROUND(('Alimentazione CE Ricavi'!E310+'Alimentazione CE Ricavi'!E311+'Alimentazione CE Ricavi'!E312),2)</f>
        <v>178000</v>
      </c>
      <c r="E155" s="97">
        <f>ROUND(('Alimentazione CE Ricavi'!H310+'Alimentazione CE Ricavi'!H311+'Alimentazione CE Ricavi'!H312),2)</f>
        <v>178000</v>
      </c>
      <c r="F155" s="97">
        <f t="shared" si="29"/>
        <v>0</v>
      </c>
      <c r="G155" s="60"/>
      <c r="H155" s="236"/>
      <c r="I155" s="97">
        <v>0</v>
      </c>
      <c r="K155" s="94"/>
      <c r="M155" s="98"/>
    </row>
    <row r="156" spans="1:13" ht="18.75">
      <c r="A156" s="222"/>
      <c r="B156" s="99" t="s">
        <v>394</v>
      </c>
      <c r="C156" s="100" t="s">
        <v>1375</v>
      </c>
      <c r="D156" s="97">
        <f>ROUND(('Alimentazione CE Ricavi'!E314+'Alimentazione CE Ricavi'!E315+'Alimentazione CE Ricavi'!E316),2)</f>
        <v>508000</v>
      </c>
      <c r="E156" s="97">
        <f>ROUND(('Alimentazione CE Ricavi'!H314+'Alimentazione CE Ricavi'!H315+'Alimentazione CE Ricavi'!H316),2)</f>
        <v>357000</v>
      </c>
      <c r="F156" s="97">
        <f t="shared" si="29"/>
        <v>151000</v>
      </c>
      <c r="G156" s="60"/>
      <c r="H156" s="236"/>
      <c r="I156" s="97">
        <v>0</v>
      </c>
      <c r="K156" s="94"/>
      <c r="M156" s="98"/>
    </row>
    <row r="157" spans="1:13" ht="18.75">
      <c r="A157" s="222"/>
      <c r="B157" s="137" t="s">
        <v>1376</v>
      </c>
      <c r="C157" s="138" t="s">
        <v>1377</v>
      </c>
      <c r="D157" s="139">
        <f t="shared" ref="D157:E157" si="30">+D153+D152+D145+D141+D120+D65+D59+D56+D25</f>
        <v>937072795</v>
      </c>
      <c r="E157" s="139">
        <f t="shared" si="30"/>
        <v>986506115</v>
      </c>
      <c r="F157" s="139">
        <f t="shared" si="29"/>
        <v>-49433320</v>
      </c>
      <c r="G157" s="60" t="s">
        <v>1838</v>
      </c>
      <c r="H157" s="236"/>
      <c r="I157" s="139">
        <v>407625037.96000004</v>
      </c>
      <c r="K157" s="94"/>
      <c r="M157" s="98"/>
    </row>
    <row r="158" spans="1:13" ht="18.75">
      <c r="A158" s="222"/>
      <c r="B158" s="150"/>
      <c r="C158" s="153" t="s">
        <v>1378</v>
      </c>
      <c r="D158" s="152"/>
      <c r="E158" s="152"/>
      <c r="F158" s="152">
        <f t="shared" si="29"/>
        <v>0</v>
      </c>
      <c r="G158" s="60"/>
      <c r="H158" s="236"/>
      <c r="I158" s="152"/>
      <c r="K158" s="94"/>
      <c r="M158" s="98"/>
    </row>
    <row r="159" spans="1:13" ht="18.75">
      <c r="A159" s="222"/>
      <c r="B159" s="134" t="s">
        <v>463</v>
      </c>
      <c r="C159" s="135" t="s">
        <v>1379</v>
      </c>
      <c r="D159" s="136">
        <f>+D160+D191</f>
        <v>147238117</v>
      </c>
      <c r="E159" s="136">
        <f t="shared" ref="E159" si="31">+E160+E191</f>
        <v>170439000</v>
      </c>
      <c r="F159" s="136">
        <f t="shared" si="29"/>
        <v>-23200883</v>
      </c>
      <c r="G159" s="60" t="s">
        <v>1838</v>
      </c>
      <c r="H159" s="236"/>
      <c r="I159" s="136">
        <v>112781097</v>
      </c>
      <c r="K159" s="94"/>
      <c r="M159" s="98"/>
    </row>
    <row r="160" spans="1:13" ht="18.75">
      <c r="A160" s="222"/>
      <c r="B160" s="129" t="s">
        <v>464</v>
      </c>
      <c r="C160" s="130" t="s">
        <v>1380</v>
      </c>
      <c r="D160" s="128">
        <f t="shared" ref="D160" si="32">+D161+D169+D173+D177+D178+D179+D180+D181+D182</f>
        <v>143105117</v>
      </c>
      <c r="E160" s="128">
        <f t="shared" ref="E160" si="33">+E161+E169+E173+E177+E178+E179+E180+E181+E182</f>
        <v>165780000</v>
      </c>
      <c r="F160" s="128">
        <f t="shared" si="29"/>
        <v>-22674883</v>
      </c>
      <c r="G160" s="60" t="s">
        <v>1838</v>
      </c>
      <c r="H160" s="236"/>
      <c r="I160" s="128">
        <v>109994157</v>
      </c>
      <c r="K160" s="94"/>
      <c r="M160" s="98"/>
    </row>
    <row r="161" spans="1:13" ht="18.75">
      <c r="A161" s="222"/>
      <c r="B161" s="140" t="s">
        <v>465</v>
      </c>
      <c r="C161" s="141" t="s">
        <v>1381</v>
      </c>
      <c r="D161" s="142">
        <f t="shared" ref="D161" si="34">SUM(D162:D165)</f>
        <v>6351535</v>
      </c>
      <c r="E161" s="142">
        <f t="shared" ref="E161" si="35">SUM(E162:E165)</f>
        <v>12846898</v>
      </c>
      <c r="F161" s="142">
        <f t="shared" si="29"/>
        <v>-6495363</v>
      </c>
      <c r="G161" s="60" t="s">
        <v>1838</v>
      </c>
      <c r="H161" s="236"/>
      <c r="I161" s="142">
        <v>2951500</v>
      </c>
      <c r="K161" s="94"/>
      <c r="M161" s="98"/>
    </row>
    <row r="162" spans="1:13" ht="38.25">
      <c r="A162" s="224"/>
      <c r="B162" s="103" t="s">
        <v>466</v>
      </c>
      <c r="C162" s="104" t="s">
        <v>1382</v>
      </c>
      <c r="D162" s="97">
        <f>+ROUND('Alimentazione CE Costi'!E7+'Alimentazione CE Costi'!E8,2)</f>
        <v>4911277</v>
      </c>
      <c r="E162" s="97">
        <f>+ROUND('Alimentazione CE Costi'!H7+'Alimentazione CE Costi'!H8,2)</f>
        <v>11248985</v>
      </c>
      <c r="F162" s="97">
        <f t="shared" si="29"/>
        <v>-6337708</v>
      </c>
      <c r="G162" s="350"/>
      <c r="H162" s="236"/>
      <c r="I162" s="97">
        <v>0</v>
      </c>
      <c r="K162" s="94"/>
      <c r="M162" s="98"/>
    </row>
    <row r="163" spans="1:13" ht="18.75">
      <c r="A163" s="224"/>
      <c r="B163" s="103" t="s">
        <v>469</v>
      </c>
      <c r="C163" s="104" t="s">
        <v>1383</v>
      </c>
      <c r="D163" s="97">
        <f>+ROUND('Alimentazione CE Costi'!E10+'Alimentazione CE Costi'!E11,2)</f>
        <v>561258</v>
      </c>
      <c r="E163" s="97">
        <f>+ROUND('Alimentazione CE Costi'!H10+'Alimentazione CE Costi'!H11,2)</f>
        <v>607913</v>
      </c>
      <c r="F163" s="97">
        <f t="shared" si="29"/>
        <v>-46655</v>
      </c>
      <c r="G163" s="350"/>
      <c r="H163" s="236"/>
      <c r="I163" s="97">
        <v>0</v>
      </c>
      <c r="K163" s="94"/>
      <c r="M163" s="98"/>
    </row>
    <row r="164" spans="1:13" ht="18.75">
      <c r="A164" s="224"/>
      <c r="B164" s="103" t="s">
        <v>471</v>
      </c>
      <c r="C164" s="104" t="s">
        <v>1384</v>
      </c>
      <c r="D164" s="97">
        <f>+ROUND('Alimentazione CE Costi'!E13,2)</f>
        <v>879000</v>
      </c>
      <c r="E164" s="97">
        <f>+ROUND('Alimentazione CE Costi'!H13,2)</f>
        <v>990000</v>
      </c>
      <c r="F164" s="97">
        <f t="shared" si="29"/>
        <v>-111000</v>
      </c>
      <c r="G164" s="350"/>
      <c r="H164" s="236"/>
      <c r="I164" s="97">
        <v>0</v>
      </c>
      <c r="K164" s="94"/>
      <c r="M164" s="98"/>
    </row>
    <row r="165" spans="1:13" ht="18.75">
      <c r="A165" s="222"/>
      <c r="B165" s="143" t="s">
        <v>472</v>
      </c>
      <c r="C165" s="144" t="s">
        <v>1385</v>
      </c>
      <c r="D165" s="145">
        <f t="shared" ref="D165" si="36">SUM(D166:D168)</f>
        <v>0</v>
      </c>
      <c r="E165" s="145">
        <f t="shared" ref="E165" si="37">SUM(E166:E168)</f>
        <v>0</v>
      </c>
      <c r="F165" s="145">
        <f t="shared" si="29"/>
        <v>0</v>
      </c>
      <c r="G165" s="60" t="s">
        <v>1838</v>
      </c>
      <c r="H165" s="236"/>
      <c r="I165" s="145">
        <v>0</v>
      </c>
      <c r="K165" s="94"/>
      <c r="M165" s="98"/>
    </row>
    <row r="166" spans="1:13" ht="38.25">
      <c r="A166" s="224" t="s">
        <v>1253</v>
      </c>
      <c r="B166" s="103" t="s">
        <v>474</v>
      </c>
      <c r="C166" s="104" t="s">
        <v>1386</v>
      </c>
      <c r="D166" s="97">
        <f>+ROUND('Alimentazione CE Costi'!E16,2)</f>
        <v>0</v>
      </c>
      <c r="E166" s="97">
        <f>+ROUND('Alimentazione CE Costi'!H16,2)</f>
        <v>0</v>
      </c>
      <c r="F166" s="97">
        <f t="shared" si="29"/>
        <v>0</v>
      </c>
      <c r="G166" s="350"/>
      <c r="H166" s="236"/>
      <c r="I166" s="97">
        <v>0</v>
      </c>
      <c r="K166" s="94"/>
      <c r="M166" s="98"/>
    </row>
    <row r="167" spans="1:13" ht="38.25">
      <c r="A167" s="224" t="s">
        <v>1298</v>
      </c>
      <c r="B167" s="103" t="s">
        <v>476</v>
      </c>
      <c r="C167" s="104" t="s">
        <v>1387</v>
      </c>
      <c r="D167" s="97">
        <f>+ROUND('Alimentazione CE Costi'!E18,2)</f>
        <v>0</v>
      </c>
      <c r="E167" s="97">
        <f>+ROUND('Alimentazione CE Costi'!H18,2)</f>
        <v>0</v>
      </c>
      <c r="F167" s="97">
        <f t="shared" si="29"/>
        <v>0</v>
      </c>
      <c r="G167" s="350"/>
      <c r="H167" s="236"/>
      <c r="I167" s="97">
        <v>0</v>
      </c>
      <c r="K167" s="94"/>
      <c r="M167" s="98"/>
    </row>
    <row r="168" spans="1:13" ht="25.5">
      <c r="A168" s="224"/>
      <c r="B168" s="103" t="s">
        <v>478</v>
      </c>
      <c r="C168" s="104" t="s">
        <v>1388</v>
      </c>
      <c r="D168" s="97">
        <f>+ROUND('Alimentazione CE Costi'!E20,2)</f>
        <v>0</v>
      </c>
      <c r="E168" s="97">
        <f>+ROUND('Alimentazione CE Costi'!H20,2)</f>
        <v>0</v>
      </c>
      <c r="F168" s="97">
        <f t="shared" si="29"/>
        <v>0</v>
      </c>
      <c r="G168" s="350"/>
      <c r="H168" s="236"/>
      <c r="I168" s="97">
        <v>0</v>
      </c>
      <c r="K168" s="94"/>
      <c r="M168" s="98"/>
    </row>
    <row r="169" spans="1:13" ht="18.75">
      <c r="A169" s="222"/>
      <c r="B169" s="140" t="s">
        <v>479</v>
      </c>
      <c r="C169" s="141" t="s">
        <v>1389</v>
      </c>
      <c r="D169" s="142">
        <f t="shared" ref="D169" si="38">SUM(D170:D172)</f>
        <v>0</v>
      </c>
      <c r="E169" s="142">
        <f t="shared" ref="E169" si="39">SUM(E170:E172)</f>
        <v>0</v>
      </c>
      <c r="F169" s="142">
        <f t="shared" si="29"/>
        <v>0</v>
      </c>
      <c r="G169" s="60" t="s">
        <v>1838</v>
      </c>
      <c r="H169" s="236"/>
      <c r="I169" s="142">
        <v>0</v>
      </c>
      <c r="K169" s="94"/>
      <c r="M169" s="98"/>
    </row>
    <row r="170" spans="1:13" ht="25.5">
      <c r="A170" s="222" t="s">
        <v>1253</v>
      </c>
      <c r="B170" s="103" t="s">
        <v>480</v>
      </c>
      <c r="C170" s="104" t="s">
        <v>1390</v>
      </c>
      <c r="D170" s="97">
        <f>+ROUND('Alimentazione CE Costi'!E23,2)</f>
        <v>0</v>
      </c>
      <c r="E170" s="97">
        <f>+ROUND('Alimentazione CE Costi'!H23,2)</f>
        <v>0</v>
      </c>
      <c r="F170" s="97">
        <f t="shared" si="29"/>
        <v>0</v>
      </c>
      <c r="G170" s="60"/>
      <c r="H170" s="236"/>
      <c r="I170" s="97">
        <v>0</v>
      </c>
      <c r="K170" s="94"/>
      <c r="M170" s="98"/>
    </row>
    <row r="171" spans="1:13" ht="25.5">
      <c r="A171" s="222" t="s">
        <v>1298</v>
      </c>
      <c r="B171" s="103" t="s">
        <v>481</v>
      </c>
      <c r="C171" s="104" t="s">
        <v>1391</v>
      </c>
      <c r="D171" s="97">
        <f>+ROUND('Alimentazione CE Costi'!E25,2)</f>
        <v>0</v>
      </c>
      <c r="E171" s="97">
        <f>+ROUND('Alimentazione CE Costi'!H25,2)</f>
        <v>0</v>
      </c>
      <c r="F171" s="97">
        <f t="shared" si="29"/>
        <v>0</v>
      </c>
      <c r="G171" s="60"/>
      <c r="H171" s="236"/>
      <c r="I171" s="97">
        <v>0</v>
      </c>
      <c r="K171" s="94"/>
      <c r="M171" s="98"/>
    </row>
    <row r="172" spans="1:13" ht="18.75">
      <c r="A172" s="222"/>
      <c r="B172" s="103" t="s">
        <v>483</v>
      </c>
      <c r="C172" s="104" t="s">
        <v>1392</v>
      </c>
      <c r="D172" s="97">
        <f>+ROUND('Alimentazione CE Costi'!E27,2)</f>
        <v>0</v>
      </c>
      <c r="E172" s="97">
        <f>+ROUND('Alimentazione CE Costi'!H27,2)</f>
        <v>0</v>
      </c>
      <c r="F172" s="97">
        <f t="shared" si="29"/>
        <v>0</v>
      </c>
      <c r="G172" s="60"/>
      <c r="H172" s="236"/>
      <c r="I172" s="97">
        <v>0</v>
      </c>
      <c r="K172" s="94"/>
      <c r="M172" s="98"/>
    </row>
    <row r="173" spans="1:13" ht="18.75">
      <c r="A173" s="222"/>
      <c r="B173" s="140" t="s">
        <v>485</v>
      </c>
      <c r="C173" s="141" t="s">
        <v>1393</v>
      </c>
      <c r="D173" s="142">
        <f t="shared" ref="D173" si="40">SUM(D174:D176)</f>
        <v>30247000</v>
      </c>
      <c r="E173" s="142">
        <f t="shared" ref="E173" si="41">SUM(E174:E176)</f>
        <v>35326034</v>
      </c>
      <c r="F173" s="142">
        <f t="shared" si="29"/>
        <v>-5079034</v>
      </c>
      <c r="G173" s="352" t="s">
        <v>1838</v>
      </c>
      <c r="H173" s="236"/>
      <c r="I173" s="142">
        <v>27636000</v>
      </c>
      <c r="K173" s="94"/>
      <c r="M173" s="98"/>
    </row>
    <row r="174" spans="1:13" ht="18.75">
      <c r="A174" s="222"/>
      <c r="B174" s="103" t="s">
        <v>486</v>
      </c>
      <c r="C174" s="104" t="s">
        <v>1394</v>
      </c>
      <c r="D174" s="97">
        <f>+ROUND('Alimentazione CE Costi'!E30+'Alimentazione CE Costi'!E31,2)</f>
        <v>20450000</v>
      </c>
      <c r="E174" s="97">
        <f>+ROUND('Alimentazione CE Costi'!H30+'Alimentazione CE Costi'!H31,2)</f>
        <v>22181405</v>
      </c>
      <c r="F174" s="97">
        <f t="shared" si="29"/>
        <v>-1731405</v>
      </c>
      <c r="G174" s="60"/>
      <c r="H174" s="236"/>
      <c r="I174" s="97">
        <v>17839000</v>
      </c>
      <c r="K174" s="94"/>
      <c r="M174" s="98"/>
    </row>
    <row r="175" spans="1:13" ht="18.75">
      <c r="A175" s="222"/>
      <c r="B175" s="103" t="s">
        <v>488</v>
      </c>
      <c r="C175" s="104" t="s">
        <v>1395</v>
      </c>
      <c r="D175" s="97">
        <f>+ROUND('Alimentazione CE Costi'!E33+'Alimentazione CE Costi'!E34,2)</f>
        <v>3051000</v>
      </c>
      <c r="E175" s="97">
        <f>+ROUND('Alimentazione CE Costi'!H33+'Alimentazione CE Costi'!H34,2)</f>
        <v>5380387</v>
      </c>
      <c r="F175" s="97">
        <f t="shared" si="29"/>
        <v>-2329387</v>
      </c>
      <c r="G175" s="60"/>
      <c r="H175" s="236"/>
      <c r="I175" s="97">
        <v>3051000</v>
      </c>
      <c r="K175" s="94"/>
      <c r="M175" s="98"/>
    </row>
    <row r="176" spans="1:13" ht="18.75">
      <c r="A176" s="222"/>
      <c r="B176" s="103" t="s">
        <v>490</v>
      </c>
      <c r="C176" s="104" t="s">
        <v>1396</v>
      </c>
      <c r="D176" s="97">
        <f>+ROUND('Alimentazione CE Costi'!E36+'Alimentazione CE Costi'!E37,2)</f>
        <v>6746000</v>
      </c>
      <c r="E176" s="97">
        <f>+ROUND('Alimentazione CE Costi'!H36+'Alimentazione CE Costi'!H37,2)</f>
        <v>7764242</v>
      </c>
      <c r="F176" s="97">
        <f t="shared" si="29"/>
        <v>-1018242</v>
      </c>
      <c r="G176" s="60"/>
      <c r="H176" s="236"/>
      <c r="I176" s="97">
        <v>6746000</v>
      </c>
      <c r="K176" s="94"/>
      <c r="M176" s="98"/>
    </row>
    <row r="177" spans="1:13" ht="18.75">
      <c r="A177" s="222"/>
      <c r="B177" s="101" t="s">
        <v>492</v>
      </c>
      <c r="C177" s="102" t="s">
        <v>1397</v>
      </c>
      <c r="D177" s="107">
        <f>+ROUND('Alimentazione CE Costi'!E39+'Alimentazione CE Costi'!E40,2)</f>
        <v>0</v>
      </c>
      <c r="E177" s="107">
        <f>+ROUND('Alimentazione CE Costi'!H39+'Alimentazione CE Costi'!H40,2)</f>
        <v>247226</v>
      </c>
      <c r="F177" s="107">
        <f t="shared" si="29"/>
        <v>-247226</v>
      </c>
      <c r="G177" s="350"/>
      <c r="H177" s="236"/>
      <c r="I177" s="107">
        <v>0</v>
      </c>
      <c r="K177" s="94"/>
      <c r="M177" s="98"/>
    </row>
    <row r="178" spans="1:13" ht="18.75">
      <c r="A178" s="222"/>
      <c r="B178" s="101" t="s">
        <v>494</v>
      </c>
      <c r="C178" s="102" t="s">
        <v>1398</v>
      </c>
      <c r="D178" s="107">
        <f>+ROUND('Alimentazione CE Costi'!E42+'Alimentazione CE Costi'!E43,2)</f>
        <v>136000</v>
      </c>
      <c r="E178" s="107">
        <f>+ROUND('Alimentazione CE Costi'!H42+'Alimentazione CE Costi'!H43,2)</f>
        <v>479440</v>
      </c>
      <c r="F178" s="107">
        <f t="shared" si="29"/>
        <v>-343440</v>
      </c>
      <c r="G178" s="350"/>
      <c r="H178" s="236"/>
      <c r="I178" s="107">
        <v>0</v>
      </c>
      <c r="K178" s="94"/>
      <c r="M178" s="98"/>
    </row>
    <row r="179" spans="1:13" ht="18.75">
      <c r="A179" s="222"/>
      <c r="B179" s="101" t="s">
        <v>496</v>
      </c>
      <c r="C179" s="102" t="s">
        <v>1399</v>
      </c>
      <c r="D179" s="107">
        <f>+ROUND('Alimentazione CE Costi'!E45+'Alimentazione CE Costi'!E46,2)</f>
        <v>30150</v>
      </c>
      <c r="E179" s="107">
        <f>+ROUND('Alimentazione CE Costi'!H45+'Alimentazione CE Costi'!H46,2)</f>
        <v>35721</v>
      </c>
      <c r="F179" s="107">
        <f t="shared" si="29"/>
        <v>-5571</v>
      </c>
      <c r="G179" s="350"/>
      <c r="H179" s="236"/>
      <c r="I179" s="107">
        <v>16528</v>
      </c>
      <c r="K179" s="94"/>
      <c r="M179" s="98"/>
    </row>
    <row r="180" spans="1:13" ht="18.75">
      <c r="A180" s="222"/>
      <c r="B180" s="101" t="s">
        <v>498</v>
      </c>
      <c r="C180" s="102" t="s">
        <v>1400</v>
      </c>
      <c r="D180" s="107">
        <f>+ROUND('Alimentazione CE Costi'!E48+'Alimentazione CE Costi'!E49,2)</f>
        <v>600</v>
      </c>
      <c r="E180" s="107">
        <f>+ROUND('Alimentazione CE Costi'!H48+'Alimentazione CE Costi'!H49,2)</f>
        <v>634</v>
      </c>
      <c r="F180" s="107">
        <f t="shared" si="29"/>
        <v>-34</v>
      </c>
      <c r="G180" s="350"/>
      <c r="H180" s="236"/>
      <c r="I180" s="107">
        <v>0</v>
      </c>
      <c r="K180" s="94"/>
      <c r="M180" s="98"/>
    </row>
    <row r="181" spans="1:13" ht="18.75">
      <c r="A181" s="222"/>
      <c r="B181" s="101" t="s">
        <v>500</v>
      </c>
      <c r="C181" s="102" t="s">
        <v>1401</v>
      </c>
      <c r="D181" s="107">
        <f>+ROUND('Alimentazione CE Costi'!E51+'Alimentazione CE Costi'!E52,2)</f>
        <v>874000</v>
      </c>
      <c r="E181" s="107">
        <f>+ROUND('Alimentazione CE Costi'!H51+'Alimentazione CE Costi'!H52,2)</f>
        <v>794692</v>
      </c>
      <c r="F181" s="107">
        <f t="shared" si="29"/>
        <v>79308</v>
      </c>
      <c r="G181" s="350"/>
      <c r="H181" s="236"/>
      <c r="I181" s="107">
        <v>640000</v>
      </c>
      <c r="K181" s="94"/>
      <c r="M181" s="98"/>
    </row>
    <row r="182" spans="1:13" ht="25.5">
      <c r="A182" s="222" t="s">
        <v>1253</v>
      </c>
      <c r="B182" s="140" t="s">
        <v>501</v>
      </c>
      <c r="C182" s="141" t="s">
        <v>1402</v>
      </c>
      <c r="D182" s="142">
        <f>SUM(D183:D190)</f>
        <v>105465832</v>
      </c>
      <c r="E182" s="142">
        <f t="shared" ref="E182" si="42">SUM(E183:E190)</f>
        <v>116049355</v>
      </c>
      <c r="F182" s="142">
        <f t="shared" si="29"/>
        <v>-10583523</v>
      </c>
      <c r="G182" s="350" t="s">
        <v>1838</v>
      </c>
      <c r="H182" s="236"/>
      <c r="I182" s="142">
        <v>78750129</v>
      </c>
      <c r="K182" s="94"/>
      <c r="M182" s="98"/>
    </row>
    <row r="183" spans="1:13" ht="18.75">
      <c r="A183" s="222" t="s">
        <v>1253</v>
      </c>
      <c r="B183" s="101" t="s">
        <v>502</v>
      </c>
      <c r="C183" s="102" t="s">
        <v>1403</v>
      </c>
      <c r="D183" s="107">
        <f>+ROUND('Alimentazione CE Costi'!E55+'Alimentazione CE Costi'!E56+'Alimentazione CE Costi'!E57,2)</f>
        <v>73053582</v>
      </c>
      <c r="E183" s="107">
        <f>+ROUND('Alimentazione CE Costi'!H55+'Alimentazione CE Costi'!H56+'Alimentazione CE Costi'!H57,2)</f>
        <v>83832102</v>
      </c>
      <c r="F183" s="107">
        <f t="shared" si="29"/>
        <v>-10778520</v>
      </c>
      <c r="G183" s="350"/>
      <c r="H183" s="236"/>
      <c r="I183" s="107">
        <v>56611236</v>
      </c>
      <c r="K183" s="94"/>
      <c r="M183" s="98"/>
    </row>
    <row r="184" spans="1:13" ht="18.75">
      <c r="A184" s="222" t="s">
        <v>1253</v>
      </c>
      <c r="B184" s="101" t="s">
        <v>2289</v>
      </c>
      <c r="C184" s="102" t="s">
        <v>2290</v>
      </c>
      <c r="D184" s="107">
        <f>+ROUND('Alimentazione CE Costi'!E59,2)</f>
        <v>0</v>
      </c>
      <c r="E184" s="107">
        <f>+ROUND('Alimentazione CE Costi'!H59,2)</f>
        <v>0</v>
      </c>
      <c r="F184" s="107">
        <f t="shared" si="29"/>
        <v>0</v>
      </c>
      <c r="G184" s="350"/>
      <c r="H184" s="236"/>
      <c r="I184" s="107">
        <v>0</v>
      </c>
      <c r="K184" s="94"/>
      <c r="M184" s="98"/>
    </row>
    <row r="185" spans="1:13" ht="18.75">
      <c r="A185" s="222" t="s">
        <v>1253</v>
      </c>
      <c r="B185" s="101" t="s">
        <v>503</v>
      </c>
      <c r="C185" s="102" t="s">
        <v>1404</v>
      </c>
      <c r="D185" s="107">
        <f>+ROUND('Alimentazione CE Costi'!E61+'Alimentazione CE Costi'!E62+'Alimentazione CE Costi'!E63,2)</f>
        <v>26490000</v>
      </c>
      <c r="E185" s="107">
        <f>+ROUND('Alimentazione CE Costi'!H61+'Alimentazione CE Costi'!H62+'Alimentazione CE Costi'!H63,2)</f>
        <v>26262966</v>
      </c>
      <c r="F185" s="107">
        <f t="shared" si="29"/>
        <v>227034</v>
      </c>
      <c r="G185" s="350"/>
      <c r="H185" s="236"/>
      <c r="I185" s="107">
        <v>21573884</v>
      </c>
      <c r="K185" s="94"/>
      <c r="M185" s="98"/>
    </row>
    <row r="186" spans="1:13" ht="18.75">
      <c r="A186" s="222" t="s">
        <v>1253</v>
      </c>
      <c r="B186" s="101" t="s">
        <v>504</v>
      </c>
      <c r="C186" s="102" t="s">
        <v>1405</v>
      </c>
      <c r="D186" s="107">
        <f>+ROUND('Alimentazione CE Costi'!E65,2)</f>
        <v>866000</v>
      </c>
      <c r="E186" s="107">
        <f>+ROUND('Alimentazione CE Costi'!H65,2)</f>
        <v>870774</v>
      </c>
      <c r="F186" s="107">
        <f t="shared" si="29"/>
        <v>-4774</v>
      </c>
      <c r="G186" s="350"/>
      <c r="H186" s="236"/>
      <c r="I186" s="107">
        <v>200000</v>
      </c>
      <c r="K186" s="94"/>
      <c r="M186" s="98"/>
    </row>
    <row r="187" spans="1:13" ht="18.75">
      <c r="A187" s="222" t="s">
        <v>1253</v>
      </c>
      <c r="B187" s="101" t="s">
        <v>505</v>
      </c>
      <c r="C187" s="102" t="s">
        <v>1406</v>
      </c>
      <c r="D187" s="107">
        <f>+ROUND('Alimentazione CE Costi'!E67,2)</f>
        <v>4728000</v>
      </c>
      <c r="E187" s="107">
        <f>+ROUND('Alimentazione CE Costi'!H67,2)</f>
        <v>4527560</v>
      </c>
      <c r="F187" s="107">
        <f t="shared" si="29"/>
        <v>200440</v>
      </c>
      <c r="G187" s="350"/>
      <c r="H187" s="236"/>
      <c r="I187" s="107">
        <v>69113</v>
      </c>
      <c r="K187" s="94"/>
      <c r="M187" s="98"/>
    </row>
    <row r="188" spans="1:13" ht="18.75">
      <c r="A188" s="222" t="s">
        <v>1253</v>
      </c>
      <c r="B188" s="101" t="s">
        <v>506</v>
      </c>
      <c r="C188" s="102" t="s">
        <v>1407</v>
      </c>
      <c r="D188" s="107">
        <f>+ROUND('Alimentazione CE Costi'!E69,2)</f>
        <v>1850</v>
      </c>
      <c r="E188" s="107">
        <f>+ROUND('Alimentazione CE Costi'!H69,2)</f>
        <v>279</v>
      </c>
      <c r="F188" s="107">
        <f t="shared" si="29"/>
        <v>1571</v>
      </c>
      <c r="G188" s="350"/>
      <c r="H188" s="236"/>
      <c r="I188" s="107">
        <v>0</v>
      </c>
      <c r="K188" s="94"/>
      <c r="M188" s="98"/>
    </row>
    <row r="189" spans="1:13" ht="18.75">
      <c r="A189" s="222" t="s">
        <v>1253</v>
      </c>
      <c r="B189" s="101" t="s">
        <v>507</v>
      </c>
      <c r="C189" s="102" t="s">
        <v>1408</v>
      </c>
      <c r="D189" s="107">
        <f>+ROUND('Alimentazione CE Costi'!E71,2)</f>
        <v>2400</v>
      </c>
      <c r="E189" s="107">
        <f>+ROUND('Alimentazione CE Costi'!H71,2)</f>
        <v>2366</v>
      </c>
      <c r="F189" s="107">
        <f t="shared" si="29"/>
        <v>34</v>
      </c>
      <c r="G189" s="350"/>
      <c r="H189" s="236"/>
      <c r="I189" s="107">
        <v>0</v>
      </c>
      <c r="K189" s="94"/>
      <c r="M189" s="98"/>
    </row>
    <row r="190" spans="1:13" ht="18.75">
      <c r="A190" s="222" t="s">
        <v>1253</v>
      </c>
      <c r="B190" s="101" t="s">
        <v>508</v>
      </c>
      <c r="C190" s="102" t="s">
        <v>1409</v>
      </c>
      <c r="D190" s="107">
        <f>+ROUND('Alimentazione CE Costi'!E73,2)</f>
        <v>324000</v>
      </c>
      <c r="E190" s="107">
        <f>+ROUND('Alimentazione CE Costi'!H73,2)</f>
        <v>553308</v>
      </c>
      <c r="F190" s="107">
        <f t="shared" si="29"/>
        <v>-229308</v>
      </c>
      <c r="G190" s="350"/>
      <c r="H190" s="236"/>
      <c r="I190" s="107">
        <v>295896</v>
      </c>
      <c r="K190" s="94"/>
      <c r="M190" s="98"/>
    </row>
    <row r="191" spans="1:13" ht="18.75">
      <c r="A191" s="222"/>
      <c r="B191" s="129" t="s">
        <v>509</v>
      </c>
      <c r="C191" s="130" t="s">
        <v>1410</v>
      </c>
      <c r="D191" s="128">
        <f t="shared" ref="D191" si="43">SUM(D192:D198)</f>
        <v>4133000</v>
      </c>
      <c r="E191" s="128">
        <f t="shared" ref="E191" si="44">SUM(E192:E198)</f>
        <v>4659000</v>
      </c>
      <c r="F191" s="128">
        <f t="shared" si="29"/>
        <v>-526000</v>
      </c>
      <c r="G191" s="60" t="s">
        <v>1838</v>
      </c>
      <c r="H191" s="236"/>
      <c r="I191" s="128">
        <v>2786940</v>
      </c>
      <c r="K191" s="94"/>
      <c r="M191" s="98"/>
    </row>
    <row r="192" spans="1:13" ht="18.75">
      <c r="A192" s="222"/>
      <c r="B192" s="101" t="s">
        <v>511</v>
      </c>
      <c r="C192" s="102" t="s">
        <v>1411</v>
      </c>
      <c r="D192" s="97">
        <f>+ROUND('Alimentazione CE Costi'!E76+'Alimentazione CE Costi'!E77,2)</f>
        <v>36960</v>
      </c>
      <c r="E192" s="97">
        <f>+ROUND('Alimentazione CE Costi'!H76+'Alimentazione CE Costi'!H77,2)</f>
        <v>41955</v>
      </c>
      <c r="F192" s="97">
        <f t="shared" si="29"/>
        <v>-4995</v>
      </c>
      <c r="G192" s="60"/>
      <c r="H192" s="236"/>
      <c r="I192" s="97">
        <v>12352</v>
      </c>
      <c r="K192" s="94"/>
      <c r="M192" s="98"/>
    </row>
    <row r="193" spans="1:13" ht="25.5">
      <c r="A193" s="222"/>
      <c r="B193" s="101" t="s">
        <v>513</v>
      </c>
      <c r="C193" s="102" t="s">
        <v>1412</v>
      </c>
      <c r="D193" s="97">
        <f>+ROUND('Alimentazione CE Costi'!E79+'Alimentazione CE Costi'!E80,2)</f>
        <v>282000</v>
      </c>
      <c r="E193" s="97">
        <f>+ROUND('Alimentazione CE Costi'!H79+'Alimentazione CE Costi'!H80,2)</f>
        <v>326531</v>
      </c>
      <c r="F193" s="97">
        <f t="shared" si="29"/>
        <v>-44531</v>
      </c>
      <c r="G193" s="60"/>
      <c r="H193" s="236"/>
      <c r="I193" s="97">
        <v>177350</v>
      </c>
      <c r="K193" s="94"/>
      <c r="M193" s="98"/>
    </row>
    <row r="194" spans="1:13" ht="18.75">
      <c r="A194" s="222"/>
      <c r="B194" s="101" t="s">
        <v>515</v>
      </c>
      <c r="C194" s="102" t="s">
        <v>1413</v>
      </c>
      <c r="D194" s="97">
        <f>+ROUND('Alimentazione CE Costi'!E82+'Alimentazione CE Costi'!E83,2)</f>
        <v>417000</v>
      </c>
      <c r="E194" s="97">
        <f>+ROUND('Alimentazione CE Costi'!H82+'Alimentazione CE Costi'!H83,2)</f>
        <v>470000</v>
      </c>
      <c r="F194" s="97">
        <f t="shared" si="29"/>
        <v>-53000</v>
      </c>
      <c r="G194" s="60"/>
      <c r="H194" s="236"/>
      <c r="I194" s="97">
        <v>38025</v>
      </c>
      <c r="K194" s="94"/>
      <c r="M194" s="98"/>
    </row>
    <row r="195" spans="1:13" ht="18.75">
      <c r="A195" s="222"/>
      <c r="B195" s="101" t="s">
        <v>516</v>
      </c>
      <c r="C195" s="102" t="s">
        <v>1414</v>
      </c>
      <c r="D195" s="97">
        <f>+ROUND('Alimentazione CE Costi'!E85+'Alimentazione CE Costi'!E86+'Alimentazione CE Costi'!E87+'Alimentazione CE Costi'!E88,2)</f>
        <v>531000</v>
      </c>
      <c r="E195" s="97">
        <f>+ROUND('Alimentazione CE Costi'!H85+'Alimentazione CE Costi'!H86+'Alimentazione CE Costi'!H87+'Alimentazione CE Costi'!H88,2)</f>
        <v>662544</v>
      </c>
      <c r="F195" s="97">
        <f t="shared" si="29"/>
        <v>-131544</v>
      </c>
      <c r="G195" s="60"/>
      <c r="H195" s="236"/>
      <c r="I195" s="97">
        <v>182102</v>
      </c>
      <c r="K195" s="94"/>
      <c r="M195" s="98"/>
    </row>
    <row r="196" spans="1:13" ht="18.75">
      <c r="A196" s="222"/>
      <c r="B196" s="101" t="s">
        <v>520</v>
      </c>
      <c r="C196" s="102" t="s">
        <v>1415</v>
      </c>
      <c r="D196" s="97">
        <f>+ROUND('Alimentazione CE Costi'!E90+'Alimentazione CE Costi'!E91+'Alimentazione CE Costi'!E92,2)</f>
        <v>1069100</v>
      </c>
      <c r="E196" s="97">
        <f>+ROUND('Alimentazione CE Costi'!H90+'Alimentazione CE Costi'!H91+'Alimentazione CE Costi'!H92,2)</f>
        <v>1191184</v>
      </c>
      <c r="F196" s="97">
        <f t="shared" si="29"/>
        <v>-122084</v>
      </c>
      <c r="G196" s="60"/>
      <c r="H196" s="236"/>
      <c r="I196" s="97">
        <v>945800</v>
      </c>
      <c r="K196" s="94"/>
      <c r="M196" s="98"/>
    </row>
    <row r="197" spans="1:13" ht="18.75">
      <c r="A197" s="222"/>
      <c r="B197" s="101" t="s">
        <v>524</v>
      </c>
      <c r="C197" s="102" t="s">
        <v>1416</v>
      </c>
      <c r="D197" s="97">
        <f>+ROUND('Alimentazione CE Costi'!E94+'Alimentazione CE Costi'!E95,2)</f>
        <v>97500</v>
      </c>
      <c r="E197" s="97">
        <f>+ROUND('Alimentazione CE Costi'!H94+'Alimentazione CE Costi'!H95,2)</f>
        <v>108180</v>
      </c>
      <c r="F197" s="97">
        <f t="shared" si="29"/>
        <v>-10680</v>
      </c>
      <c r="G197" s="60"/>
      <c r="H197" s="236"/>
      <c r="I197" s="97">
        <v>53862</v>
      </c>
      <c r="K197" s="94"/>
      <c r="M197" s="98"/>
    </row>
    <row r="198" spans="1:13" ht="25.5">
      <c r="A198" s="222" t="s">
        <v>1253</v>
      </c>
      <c r="B198" s="101" t="s">
        <v>525</v>
      </c>
      <c r="C198" s="102" t="s">
        <v>1417</v>
      </c>
      <c r="D198" s="97">
        <f>+ROUND('Alimentazione CE Costi'!E97+'Alimentazione CE Costi'!E98+'Alimentazione CE Costi'!E99+'Alimentazione CE Costi'!E100+'Alimentazione CE Costi'!E101+'Alimentazione CE Costi'!E102,2)</f>
        <v>1699440</v>
      </c>
      <c r="E198" s="97">
        <f>+ROUND('Alimentazione CE Costi'!H97+'Alimentazione CE Costi'!H98+'Alimentazione CE Costi'!H99+'Alimentazione CE Costi'!H100+'Alimentazione CE Costi'!H101+'Alimentazione CE Costi'!H102,2)</f>
        <v>1858606</v>
      </c>
      <c r="F198" s="97">
        <f t="shared" si="29"/>
        <v>-159166</v>
      </c>
      <c r="G198" s="60"/>
      <c r="H198" s="236"/>
      <c r="I198" s="97">
        <v>1377449</v>
      </c>
      <c r="K198" s="94"/>
      <c r="M198" s="98"/>
    </row>
    <row r="199" spans="1:13" ht="18.75">
      <c r="A199" s="222"/>
      <c r="B199" s="134" t="s">
        <v>526</v>
      </c>
      <c r="C199" s="135" t="s">
        <v>1418</v>
      </c>
      <c r="D199" s="136">
        <f t="shared" ref="D199" si="45">+D200+D330</f>
        <v>389274850</v>
      </c>
      <c r="E199" s="136">
        <f t="shared" ref="E199" si="46">+E200+E330</f>
        <v>414358669</v>
      </c>
      <c r="F199" s="136">
        <f t="shared" si="29"/>
        <v>-25083819</v>
      </c>
      <c r="G199" s="60" t="s">
        <v>1838</v>
      </c>
      <c r="H199" s="236"/>
      <c r="I199" s="136">
        <v>58153127</v>
      </c>
      <c r="K199" s="94"/>
      <c r="M199" s="98"/>
    </row>
    <row r="200" spans="1:13" ht="18.75">
      <c r="A200" s="222"/>
      <c r="B200" s="129" t="s">
        <v>527</v>
      </c>
      <c r="C200" s="130" t="s">
        <v>1419</v>
      </c>
      <c r="D200" s="128">
        <f t="shared" ref="D200" si="47">+D201+D209+D213+D232+D238+D243+D248+D258+D264+D271+D277+D282+D291+D299+D307+D321+D329</f>
        <v>314414743</v>
      </c>
      <c r="E200" s="128">
        <f t="shared" ref="E200" si="48">+E201+E209+E213+E232+E238+E243+E248+E258+E264+E271+E277+E282+E291+E299+E307+E321+E329</f>
        <v>329141251</v>
      </c>
      <c r="F200" s="128">
        <f t="shared" si="29"/>
        <v>-14726508</v>
      </c>
      <c r="G200" s="60" t="s">
        <v>1838</v>
      </c>
      <c r="H200" s="236"/>
      <c r="I200" s="128">
        <v>14939749</v>
      </c>
      <c r="K200" s="94"/>
      <c r="M200" s="98"/>
    </row>
    <row r="201" spans="1:13" ht="25.5">
      <c r="A201" s="222"/>
      <c r="B201" s="154" t="s">
        <v>528</v>
      </c>
      <c r="C201" s="155" t="s">
        <v>1420</v>
      </c>
      <c r="D201" s="142">
        <f t="shared" ref="D201" si="49">+D202+D207+D208</f>
        <v>36977238</v>
      </c>
      <c r="E201" s="142">
        <f t="shared" ref="E201" si="50">+E202+E207+E208</f>
        <v>41888238</v>
      </c>
      <c r="F201" s="142">
        <f t="shared" si="29"/>
        <v>-4911000</v>
      </c>
      <c r="G201" s="60" t="s">
        <v>1838</v>
      </c>
      <c r="H201" s="236"/>
      <c r="I201" s="142">
        <v>0</v>
      </c>
      <c r="K201" s="94"/>
      <c r="M201" s="98"/>
    </row>
    <row r="202" spans="1:13" ht="18.75">
      <c r="A202" s="222"/>
      <c r="B202" s="146" t="s">
        <v>529</v>
      </c>
      <c r="C202" s="147" t="s">
        <v>1421</v>
      </c>
      <c r="D202" s="145">
        <f t="shared" ref="D202" si="51">SUM(D203:D206)</f>
        <v>36820000</v>
      </c>
      <c r="E202" s="145">
        <f t="shared" ref="E202" si="52">SUM(E203:E206)</f>
        <v>41731000</v>
      </c>
      <c r="F202" s="145">
        <f t="shared" si="29"/>
        <v>-4911000</v>
      </c>
      <c r="G202" s="60" t="s">
        <v>1838</v>
      </c>
      <c r="H202" s="236"/>
      <c r="I202" s="145">
        <v>0</v>
      </c>
      <c r="K202" s="94"/>
      <c r="M202" s="98"/>
    </row>
    <row r="203" spans="1:13" ht="18.75">
      <c r="A203" s="222"/>
      <c r="B203" s="101" t="s">
        <v>530</v>
      </c>
      <c r="C203" s="102" t="s">
        <v>1422</v>
      </c>
      <c r="D203" s="97">
        <f>+ROUND(SUM('Alimentazione CE Costi'!E108:E118),2)</f>
        <v>28501000</v>
      </c>
      <c r="E203" s="97">
        <f>+ROUND(SUM('Alimentazione CE Costi'!H108:H118),2)</f>
        <v>32220000</v>
      </c>
      <c r="F203" s="97">
        <f t="shared" si="29"/>
        <v>-3719000</v>
      </c>
      <c r="G203" s="60"/>
      <c r="H203" s="236"/>
      <c r="I203" s="97">
        <v>0</v>
      </c>
      <c r="K203" s="94"/>
      <c r="M203" s="98"/>
    </row>
    <row r="204" spans="1:13" ht="18.75">
      <c r="A204" s="222"/>
      <c r="B204" s="101" t="s">
        <v>531</v>
      </c>
      <c r="C204" s="102" t="s">
        <v>1423</v>
      </c>
      <c r="D204" s="97">
        <f>+ROUND(SUM('Alimentazione CE Costi'!E120:E130),2)</f>
        <v>4734000</v>
      </c>
      <c r="E204" s="97">
        <f>+ROUND(SUM('Alimentazione CE Costi'!H120:H130),2)</f>
        <v>5339000</v>
      </c>
      <c r="F204" s="97">
        <f t="shared" si="29"/>
        <v>-605000</v>
      </c>
      <c r="G204" s="60"/>
      <c r="H204" s="236"/>
      <c r="I204" s="97">
        <v>0</v>
      </c>
      <c r="K204" s="94"/>
      <c r="M204" s="98"/>
    </row>
    <row r="205" spans="1:13" ht="18.75">
      <c r="A205" s="222"/>
      <c r="B205" s="101" t="s">
        <v>532</v>
      </c>
      <c r="C205" s="102" t="s">
        <v>1424</v>
      </c>
      <c r="D205" s="97">
        <f>+ROUND(SUM('Alimentazione CE Costi'!E132:E145),2)</f>
        <v>3076000</v>
      </c>
      <c r="E205" s="97">
        <f>+ROUND(SUM('Alimentazione CE Costi'!H132:H145),2)</f>
        <v>3607000</v>
      </c>
      <c r="F205" s="97">
        <f t="shared" si="29"/>
        <v>-531000</v>
      </c>
      <c r="G205" s="60"/>
      <c r="H205" s="236"/>
      <c r="I205" s="97">
        <v>0</v>
      </c>
      <c r="K205" s="94"/>
      <c r="M205" s="98"/>
    </row>
    <row r="206" spans="1:13" ht="25.5">
      <c r="A206" s="222"/>
      <c r="B206" s="101" t="s">
        <v>546</v>
      </c>
      <c r="C206" s="102" t="s">
        <v>1425</v>
      </c>
      <c r="D206" s="97">
        <f>+ROUND(SUM('Alimentazione CE Costi'!E147:E154),2)</f>
        <v>509000</v>
      </c>
      <c r="E206" s="97">
        <f>+ROUND(SUM('Alimentazione CE Costi'!H147:H154),2)</f>
        <v>565000</v>
      </c>
      <c r="F206" s="97">
        <f t="shared" si="29"/>
        <v>-56000</v>
      </c>
      <c r="G206" s="60"/>
      <c r="H206" s="236"/>
      <c r="I206" s="97">
        <v>0</v>
      </c>
      <c r="K206" s="94"/>
      <c r="M206" s="98"/>
    </row>
    <row r="207" spans="1:13" ht="25.5">
      <c r="A207" s="222" t="s">
        <v>1253</v>
      </c>
      <c r="B207" s="101" t="s">
        <v>548</v>
      </c>
      <c r="C207" s="102" t="s">
        <v>1426</v>
      </c>
      <c r="D207" s="97">
        <f>+ROUND('Alimentazione CE Costi'!E156,2)</f>
        <v>0</v>
      </c>
      <c r="E207" s="97">
        <f>+ROUND('Alimentazione CE Costi'!H156,2)</f>
        <v>0</v>
      </c>
      <c r="F207" s="97">
        <f t="shared" si="29"/>
        <v>0</v>
      </c>
      <c r="G207" s="60"/>
      <c r="H207" s="236"/>
      <c r="I207" s="97">
        <v>0</v>
      </c>
      <c r="K207" s="94"/>
      <c r="M207" s="98"/>
    </row>
    <row r="208" spans="1:13" ht="25.5">
      <c r="A208" s="222" t="s">
        <v>1298</v>
      </c>
      <c r="B208" s="101" t="s">
        <v>549</v>
      </c>
      <c r="C208" s="102" t="s">
        <v>1427</v>
      </c>
      <c r="D208" s="97">
        <f>+ROUND('Alimentazione CE Costi'!E158,2)</f>
        <v>157238</v>
      </c>
      <c r="E208" s="97">
        <f>+ROUND('Alimentazione CE Costi'!H158,2)</f>
        <v>157238</v>
      </c>
      <c r="F208" s="97">
        <f t="shared" si="29"/>
        <v>0</v>
      </c>
      <c r="G208" s="60"/>
      <c r="H208" s="236"/>
      <c r="I208" s="97">
        <v>0</v>
      </c>
      <c r="K208" s="94"/>
      <c r="M208" s="98"/>
    </row>
    <row r="209" spans="1:13" ht="18.75">
      <c r="A209" s="222"/>
      <c r="B209" s="154" t="s">
        <v>550</v>
      </c>
      <c r="C209" s="155" t="s">
        <v>1428</v>
      </c>
      <c r="D209" s="142">
        <f t="shared" ref="D209" si="53">+D210+D211+D212</f>
        <v>42401775</v>
      </c>
      <c r="E209" s="142">
        <f t="shared" ref="E209" si="54">+E210+E211+E212</f>
        <v>48879623</v>
      </c>
      <c r="F209" s="142">
        <f t="shared" si="29"/>
        <v>-6477848</v>
      </c>
      <c r="G209" s="60" t="s">
        <v>1838</v>
      </c>
      <c r="H209" s="236"/>
      <c r="I209" s="142">
        <v>0</v>
      </c>
      <c r="K209" s="94"/>
      <c r="M209" s="98"/>
    </row>
    <row r="210" spans="1:13" ht="18.75">
      <c r="A210" s="222"/>
      <c r="B210" s="101" t="s">
        <v>551</v>
      </c>
      <c r="C210" s="102" t="s">
        <v>1429</v>
      </c>
      <c r="D210" s="97">
        <f>+ROUND('Alimentazione CE Costi'!E161+'Alimentazione CE Costi'!E162,2)</f>
        <v>42226322</v>
      </c>
      <c r="E210" s="97">
        <f>+ROUND('Alimentazione CE Costi'!H161+'Alimentazione CE Costi'!H162,2)</f>
        <v>48704170</v>
      </c>
      <c r="F210" s="97">
        <f t="shared" si="29"/>
        <v>-6477848</v>
      </c>
      <c r="G210" s="60"/>
      <c r="H210" s="236"/>
      <c r="I210" s="97">
        <v>0</v>
      </c>
      <c r="K210" s="94"/>
      <c r="M210" s="98"/>
    </row>
    <row r="211" spans="1:13" ht="25.5">
      <c r="A211" s="222" t="s">
        <v>1253</v>
      </c>
      <c r="B211" s="101" t="s">
        <v>554</v>
      </c>
      <c r="C211" s="102" t="s">
        <v>1430</v>
      </c>
      <c r="D211" s="97">
        <f>+ROUND('Alimentazione CE Costi'!E164,2)</f>
        <v>0</v>
      </c>
      <c r="E211" s="97">
        <f>+ROUND('Alimentazione CE Costi'!H164,2)</f>
        <v>0</v>
      </c>
      <c r="F211" s="97">
        <f t="shared" si="29"/>
        <v>0</v>
      </c>
      <c r="G211" s="60"/>
      <c r="H211" s="236"/>
      <c r="I211" s="97">
        <v>0</v>
      </c>
      <c r="K211" s="94"/>
      <c r="M211" s="98"/>
    </row>
    <row r="212" spans="1:13" ht="18.75">
      <c r="A212" s="224" t="s">
        <v>1298</v>
      </c>
      <c r="B212" s="101" t="s">
        <v>555</v>
      </c>
      <c r="C212" s="102" t="s">
        <v>1431</v>
      </c>
      <c r="D212" s="97">
        <f>+ROUND('Alimentazione CE Costi'!E166,2)</f>
        <v>175453</v>
      </c>
      <c r="E212" s="97">
        <f>+ROUND('Alimentazione CE Costi'!H166,2)</f>
        <v>175453</v>
      </c>
      <c r="F212" s="97">
        <f t="shared" si="29"/>
        <v>0</v>
      </c>
      <c r="G212" s="350"/>
      <c r="H212" s="236"/>
      <c r="I212" s="97">
        <v>0</v>
      </c>
      <c r="K212" s="94"/>
      <c r="M212" s="98"/>
    </row>
    <row r="213" spans="1:13" ht="25.5">
      <c r="A213" s="224"/>
      <c r="B213" s="154" t="s">
        <v>556</v>
      </c>
      <c r="C213" s="155" t="s">
        <v>1432</v>
      </c>
      <c r="D213" s="142">
        <f t="shared" ref="D213" si="55">+D214+D215+D216+D217+D218+D219+D220+D221+D230+D231</f>
        <v>35769182</v>
      </c>
      <c r="E213" s="142">
        <f t="shared" ref="E213" si="56">+E214+E215+E216+E217+E218+E219+E220+E221+E230+E231</f>
        <v>36806070</v>
      </c>
      <c r="F213" s="142">
        <f t="shared" si="29"/>
        <v>-1036888</v>
      </c>
      <c r="G213" s="60" t="s">
        <v>1838</v>
      </c>
      <c r="H213" s="236"/>
      <c r="I213" s="142">
        <v>0</v>
      </c>
      <c r="K213" s="94"/>
      <c r="M213" s="98"/>
    </row>
    <row r="214" spans="1:13" ht="25.5">
      <c r="A214" s="228" t="s">
        <v>1253</v>
      </c>
      <c r="B214" s="101" t="s">
        <v>557</v>
      </c>
      <c r="C214" s="102" t="s">
        <v>1433</v>
      </c>
      <c r="D214" s="97">
        <f>+ROUND('Alimentazione CE Costi'!E169+'Alimentazione CE Costi'!E170,2)</f>
        <v>10447142</v>
      </c>
      <c r="E214" s="97">
        <f>+ROUND('Alimentazione CE Costi'!H169+'Alimentazione CE Costi'!H170,2)</f>
        <v>10591110</v>
      </c>
      <c r="F214" s="97">
        <f t="shared" si="29"/>
        <v>-143968</v>
      </c>
      <c r="G214" s="350"/>
      <c r="H214" s="236"/>
      <c r="I214" s="97">
        <v>0</v>
      </c>
      <c r="K214" s="94"/>
      <c r="M214" s="98"/>
    </row>
    <row r="215" spans="1:13" ht="38.25">
      <c r="A215" s="228" t="s">
        <v>1253</v>
      </c>
      <c r="B215" s="101" t="s">
        <v>561</v>
      </c>
      <c r="C215" s="102" t="s">
        <v>1434</v>
      </c>
      <c r="D215" s="97">
        <f>+ROUND('Alimentazione CE Costi'!E172,2)</f>
        <v>0</v>
      </c>
      <c r="E215" s="97">
        <f>+ROUND('Alimentazione CE Costi'!H172,2)</f>
        <v>0</v>
      </c>
      <c r="F215" s="97">
        <f t="shared" si="29"/>
        <v>0</v>
      </c>
      <c r="G215" s="350"/>
      <c r="H215" s="236"/>
      <c r="I215" s="97">
        <v>0</v>
      </c>
      <c r="K215" s="94"/>
      <c r="M215" s="98"/>
    </row>
    <row r="216" spans="1:13" ht="18.75">
      <c r="A216" s="224"/>
      <c r="B216" s="101" t="s">
        <v>562</v>
      </c>
      <c r="C216" s="102" t="s">
        <v>1435</v>
      </c>
      <c r="D216" s="97">
        <f>+ROUND('Alimentazione CE Costi'!E174,2)</f>
        <v>0</v>
      </c>
      <c r="E216" s="97">
        <f>+ROUND('Alimentazione CE Costi'!H174,2)</f>
        <v>0</v>
      </c>
      <c r="F216" s="97">
        <f t="shared" si="29"/>
        <v>0</v>
      </c>
      <c r="G216" s="350"/>
      <c r="H216" s="236"/>
      <c r="I216" s="97">
        <v>0</v>
      </c>
      <c r="K216" s="94"/>
      <c r="M216" s="98"/>
    </row>
    <row r="217" spans="1:13" ht="25.5">
      <c r="A217" s="224"/>
      <c r="B217" s="101" t="s">
        <v>564</v>
      </c>
      <c r="C217" s="102" t="s">
        <v>1436</v>
      </c>
      <c r="D217" s="97">
        <f>+ROUND('Alimentazione CE Costi'!E176,2)</f>
        <v>0</v>
      </c>
      <c r="E217" s="97">
        <f>+ROUND('Alimentazione CE Costi'!H176,2)</f>
        <v>0</v>
      </c>
      <c r="F217" s="97">
        <f t="shared" si="29"/>
        <v>0</v>
      </c>
      <c r="G217" s="350"/>
      <c r="H217" s="236"/>
      <c r="I217" s="97">
        <v>0</v>
      </c>
      <c r="K217" s="94"/>
      <c r="M217" s="98"/>
    </row>
    <row r="218" spans="1:13" ht="18.75">
      <c r="A218" s="224" t="s">
        <v>1298</v>
      </c>
      <c r="B218" s="101" t="s">
        <v>565</v>
      </c>
      <c r="C218" s="102" t="s">
        <v>1437</v>
      </c>
      <c r="D218" s="97">
        <f>+ROUND('Alimentazione CE Costi'!E178,2)</f>
        <v>5170591</v>
      </c>
      <c r="E218" s="97">
        <f>+ROUND('Alimentazione CE Costi'!H178,2)</f>
        <v>5170591</v>
      </c>
      <c r="F218" s="97">
        <f t="shared" ref="F218:F281" si="57">+D218-E218</f>
        <v>0</v>
      </c>
      <c r="G218" s="350"/>
      <c r="H218" s="236"/>
      <c r="I218" s="97">
        <v>0</v>
      </c>
      <c r="K218" s="94"/>
      <c r="M218" s="98"/>
    </row>
    <row r="219" spans="1:13" ht="25.5">
      <c r="A219" s="224" t="s">
        <v>1298</v>
      </c>
      <c r="B219" s="101" t="s">
        <v>569</v>
      </c>
      <c r="C219" s="102" t="s">
        <v>1438</v>
      </c>
      <c r="D219" s="97">
        <f>+ROUND('Alimentazione CE Costi'!E180,2)</f>
        <v>0</v>
      </c>
      <c r="E219" s="97">
        <f>+ROUND('Alimentazione CE Costi'!H180,2)</f>
        <v>0</v>
      </c>
      <c r="F219" s="97">
        <f t="shared" si="57"/>
        <v>0</v>
      </c>
      <c r="G219" s="350"/>
      <c r="H219" s="236"/>
      <c r="I219" s="97">
        <v>0</v>
      </c>
      <c r="K219" s="94"/>
      <c r="M219" s="98"/>
    </row>
    <row r="220" spans="1:13" ht="18.75">
      <c r="A220" s="224"/>
      <c r="B220" s="101" t="s">
        <v>570</v>
      </c>
      <c r="C220" s="102" t="s">
        <v>1439</v>
      </c>
      <c r="D220" s="97">
        <f>+ROUND('Alimentazione CE Costi'!E182+'Alimentazione CE Costi'!E183+'Alimentazione CE Costi'!E184+'Alimentazione CE Costi'!E185+'Alimentazione CE Costi'!E186+'Alimentazione CE Costi'!E187+'Alimentazione CE Costi'!E188,2)</f>
        <v>1975000</v>
      </c>
      <c r="E220" s="97">
        <f>+ROUND('Alimentazione CE Costi'!H182+'Alimentazione CE Costi'!H183+'Alimentazione CE Costi'!H184+'Alimentazione CE Costi'!H185+'Alimentazione CE Costi'!H186+'Alimentazione CE Costi'!H187+'Alimentazione CE Costi'!H188,2)</f>
        <v>2225000</v>
      </c>
      <c r="F220" s="97">
        <f t="shared" si="57"/>
        <v>-250000</v>
      </c>
      <c r="G220" s="350"/>
      <c r="H220" s="236"/>
      <c r="I220" s="97">
        <v>0</v>
      </c>
      <c r="K220" s="94"/>
      <c r="M220" s="98"/>
    </row>
    <row r="221" spans="1:13" ht="18.75">
      <c r="A221" s="224"/>
      <c r="B221" s="146" t="s">
        <v>571</v>
      </c>
      <c r="C221" s="147" t="s">
        <v>1440</v>
      </c>
      <c r="D221" s="145">
        <f t="shared" ref="D221" si="58">SUM(D222:D229)</f>
        <v>18082781</v>
      </c>
      <c r="E221" s="145">
        <f t="shared" ref="E221" si="59">SUM(E222:E229)</f>
        <v>18725701</v>
      </c>
      <c r="F221" s="145">
        <f t="shared" si="57"/>
        <v>-642920</v>
      </c>
      <c r="G221" s="60" t="s">
        <v>1838</v>
      </c>
      <c r="H221" s="236"/>
      <c r="I221" s="145">
        <v>0</v>
      </c>
      <c r="K221" s="94"/>
      <c r="M221" s="98"/>
    </row>
    <row r="222" spans="1:13" ht="25.5">
      <c r="A222" s="224"/>
      <c r="B222" s="103" t="s">
        <v>573</v>
      </c>
      <c r="C222" s="104" t="s">
        <v>1441</v>
      </c>
      <c r="D222" s="97">
        <f>+ROUND('Alimentazione CE Costi'!E191,2)</f>
        <v>0</v>
      </c>
      <c r="E222" s="97">
        <f>+ROUND('Alimentazione CE Costi'!H191,2)</f>
        <v>0</v>
      </c>
      <c r="F222" s="97">
        <f t="shared" si="57"/>
        <v>0</v>
      </c>
      <c r="G222" s="350"/>
      <c r="H222" s="236"/>
      <c r="I222" s="97">
        <v>0</v>
      </c>
      <c r="K222" s="94"/>
      <c r="M222" s="98"/>
    </row>
    <row r="223" spans="1:13" ht="38.25">
      <c r="A223" s="224"/>
      <c r="B223" s="103" t="s">
        <v>574</v>
      </c>
      <c r="C223" s="104" t="s">
        <v>1442</v>
      </c>
      <c r="D223" s="97">
        <f>+ROUND('Alimentazione CE Costi'!E193,2)</f>
        <v>0</v>
      </c>
      <c r="E223" s="97">
        <f>+ROUND('Alimentazione CE Costi'!H193,2)</f>
        <v>0</v>
      </c>
      <c r="F223" s="97">
        <f t="shared" si="57"/>
        <v>0</v>
      </c>
      <c r="G223" s="350"/>
      <c r="H223" s="236"/>
      <c r="I223" s="97">
        <v>0</v>
      </c>
      <c r="K223" s="94"/>
      <c r="M223" s="98"/>
    </row>
    <row r="224" spans="1:13" ht="25.5">
      <c r="A224" s="224"/>
      <c r="B224" s="103" t="s">
        <v>576</v>
      </c>
      <c r="C224" s="104" t="s">
        <v>1443</v>
      </c>
      <c r="D224" s="97">
        <f>+ROUND('Alimentazione CE Costi'!E195,2)</f>
        <v>0</v>
      </c>
      <c r="E224" s="97">
        <f>+ROUND('Alimentazione CE Costi'!H195,2)</f>
        <v>0</v>
      </c>
      <c r="F224" s="97">
        <f t="shared" si="57"/>
        <v>0</v>
      </c>
      <c r="G224" s="350"/>
      <c r="H224" s="236"/>
      <c r="I224" s="97">
        <v>0</v>
      </c>
      <c r="K224" s="94"/>
      <c r="M224" s="98"/>
    </row>
    <row r="225" spans="1:13" ht="38.25">
      <c r="A225" s="224"/>
      <c r="B225" s="103" t="s">
        <v>578</v>
      </c>
      <c r="C225" s="104" t="s">
        <v>1444</v>
      </c>
      <c r="D225" s="97">
        <f>+ROUND('Alimentazione CE Costi'!E197,2)</f>
        <v>0</v>
      </c>
      <c r="E225" s="97">
        <f>+ROUND('Alimentazione CE Costi'!H197,2)</f>
        <v>0</v>
      </c>
      <c r="F225" s="97">
        <f t="shared" si="57"/>
        <v>0</v>
      </c>
      <c r="G225" s="350"/>
      <c r="H225" s="236"/>
      <c r="I225" s="97">
        <v>0</v>
      </c>
      <c r="K225" s="94"/>
      <c r="M225" s="98"/>
    </row>
    <row r="226" spans="1:13" ht="25.5">
      <c r="A226" s="224"/>
      <c r="B226" s="103" t="s">
        <v>580</v>
      </c>
      <c r="C226" s="104" t="s">
        <v>1445</v>
      </c>
      <c r="D226" s="97">
        <f>+ROUND('Alimentazione CE Costi'!E199,2)</f>
        <v>12449134</v>
      </c>
      <c r="E226" s="97">
        <f>+ROUND('Alimentazione CE Costi'!H199,2)</f>
        <v>12996012</v>
      </c>
      <c r="F226" s="97">
        <f t="shared" si="57"/>
        <v>-546878</v>
      </c>
      <c r="G226" s="350"/>
      <c r="H226" s="236"/>
      <c r="I226" s="97">
        <v>0</v>
      </c>
      <c r="K226" s="94"/>
      <c r="M226" s="98"/>
    </row>
    <row r="227" spans="1:13" ht="25.5">
      <c r="A227" s="224"/>
      <c r="B227" s="103" t="s">
        <v>582</v>
      </c>
      <c r="C227" s="104" t="s">
        <v>1446</v>
      </c>
      <c r="D227" s="97">
        <f>+ROUND('Alimentazione CE Costi'!E201,2)</f>
        <v>0</v>
      </c>
      <c r="E227" s="97">
        <f>+ROUND('Alimentazione CE Costi'!H201,2)</f>
        <v>0</v>
      </c>
      <c r="F227" s="97">
        <f t="shared" si="57"/>
        <v>0</v>
      </c>
      <c r="G227" s="350"/>
      <c r="H227" s="236"/>
      <c r="I227" s="97">
        <v>0</v>
      </c>
      <c r="K227" s="94"/>
      <c r="M227" s="98"/>
    </row>
    <row r="228" spans="1:13" ht="25.5">
      <c r="A228" s="224"/>
      <c r="B228" s="103" t="s">
        <v>584</v>
      </c>
      <c r="C228" s="104" t="s">
        <v>1447</v>
      </c>
      <c r="D228" s="97">
        <f>+ROUND('Alimentazione CE Costi'!E203,2)</f>
        <v>5633647</v>
      </c>
      <c r="E228" s="97">
        <f>+ROUND('Alimentazione CE Costi'!H203,2)</f>
        <v>5729689</v>
      </c>
      <c r="F228" s="97">
        <f t="shared" si="57"/>
        <v>-96042</v>
      </c>
      <c r="G228" s="350"/>
      <c r="H228" s="236"/>
      <c r="I228" s="97">
        <v>0</v>
      </c>
      <c r="K228" s="94"/>
      <c r="M228" s="98"/>
    </row>
    <row r="229" spans="1:13" ht="25.5">
      <c r="A229" s="224"/>
      <c r="B229" s="103" t="s">
        <v>586</v>
      </c>
      <c r="C229" s="104" t="s">
        <v>1448</v>
      </c>
      <c r="D229" s="97">
        <f>+ROUND('Alimentazione CE Costi'!E205,2)</f>
        <v>0</v>
      </c>
      <c r="E229" s="97">
        <f>+ROUND('Alimentazione CE Costi'!H205,2)</f>
        <v>0</v>
      </c>
      <c r="F229" s="97">
        <f t="shared" si="57"/>
        <v>0</v>
      </c>
      <c r="G229" s="350"/>
      <c r="H229" s="236"/>
      <c r="I229" s="97">
        <v>0</v>
      </c>
      <c r="K229" s="94"/>
      <c r="M229" s="98"/>
    </row>
    <row r="230" spans="1:13" ht="25.5">
      <c r="A230" s="224"/>
      <c r="B230" s="101" t="s">
        <v>587</v>
      </c>
      <c r="C230" s="102" t="s">
        <v>1449</v>
      </c>
      <c r="D230" s="97">
        <f>+ROUND('Alimentazione CE Costi'!E207,2)</f>
        <v>93668</v>
      </c>
      <c r="E230" s="97">
        <f>+ROUND('Alimentazione CE Costi'!H207,2)</f>
        <v>93668</v>
      </c>
      <c r="F230" s="97">
        <f t="shared" si="57"/>
        <v>0</v>
      </c>
      <c r="G230" s="350"/>
      <c r="H230" s="236"/>
      <c r="I230" s="97">
        <v>0</v>
      </c>
      <c r="K230" s="94"/>
      <c r="M230" s="98"/>
    </row>
    <row r="231" spans="1:13" ht="51">
      <c r="A231" s="224"/>
      <c r="B231" s="103" t="s">
        <v>589</v>
      </c>
      <c r="C231" s="104" t="s">
        <v>1450</v>
      </c>
      <c r="D231" s="97">
        <f>+ROUND('Alimentazione CE Costi'!E209,2)</f>
        <v>0</v>
      </c>
      <c r="E231" s="97">
        <f>+ROUND('Alimentazione CE Costi'!H209,2)</f>
        <v>0</v>
      </c>
      <c r="F231" s="97">
        <f t="shared" si="57"/>
        <v>0</v>
      </c>
      <c r="G231" s="350"/>
      <c r="H231" s="236"/>
      <c r="I231" s="97">
        <v>0</v>
      </c>
      <c r="K231" s="94"/>
      <c r="M231" s="98"/>
    </row>
    <row r="232" spans="1:13" ht="25.5">
      <c r="A232" s="222"/>
      <c r="B232" s="154" t="s">
        <v>590</v>
      </c>
      <c r="C232" s="155" t="s">
        <v>1451</v>
      </c>
      <c r="D232" s="142">
        <f t="shared" ref="D232" si="60">SUM(D233:D237)</f>
        <v>1584000</v>
      </c>
      <c r="E232" s="142">
        <f t="shared" ref="E232" si="61">SUM(E233:E237)</f>
        <v>1774000</v>
      </c>
      <c r="F232" s="142">
        <f t="shared" si="57"/>
        <v>-190000</v>
      </c>
      <c r="G232" s="60" t="s">
        <v>1838</v>
      </c>
      <c r="H232" s="236"/>
      <c r="I232" s="142">
        <v>0</v>
      </c>
      <c r="K232" s="94"/>
      <c r="M232" s="98"/>
    </row>
    <row r="233" spans="1:13" ht="25.5">
      <c r="A233" s="222" t="s">
        <v>1253</v>
      </c>
      <c r="B233" s="101" t="s">
        <v>591</v>
      </c>
      <c r="C233" s="102" t="s">
        <v>1452</v>
      </c>
      <c r="D233" s="97">
        <f>+ROUND('Alimentazione CE Costi'!E212,2)</f>
        <v>0</v>
      </c>
      <c r="E233" s="97">
        <f>+ROUND('Alimentazione CE Costi'!H212,2)</f>
        <v>0</v>
      </c>
      <c r="F233" s="97">
        <f t="shared" si="57"/>
        <v>0</v>
      </c>
      <c r="G233" s="60"/>
      <c r="H233" s="236"/>
      <c r="I233" s="97">
        <v>0</v>
      </c>
      <c r="K233" s="94"/>
      <c r="M233" s="98"/>
    </row>
    <row r="234" spans="1:13" ht="18.75">
      <c r="A234" s="226"/>
      <c r="B234" s="101" t="s">
        <v>592</v>
      </c>
      <c r="C234" s="102" t="s">
        <v>1453</v>
      </c>
      <c r="D234" s="97">
        <f>+ROUND('Alimentazione CE Costi'!E214,2)</f>
        <v>0</v>
      </c>
      <c r="E234" s="97">
        <f>+ROUND('Alimentazione CE Costi'!H214,2)</f>
        <v>0</v>
      </c>
      <c r="F234" s="97">
        <f t="shared" si="57"/>
        <v>0</v>
      </c>
      <c r="G234" s="60"/>
      <c r="H234" s="236"/>
      <c r="I234" s="97">
        <v>0</v>
      </c>
      <c r="K234" s="94"/>
      <c r="M234" s="98"/>
    </row>
    <row r="235" spans="1:13" ht="25.5">
      <c r="A235" s="226" t="s">
        <v>1302</v>
      </c>
      <c r="B235" s="101" t="s">
        <v>593</v>
      </c>
      <c r="C235" s="102" t="s">
        <v>1454</v>
      </c>
      <c r="D235" s="97">
        <f>+ROUND('Alimentazione CE Costi'!E216,2)</f>
        <v>0</v>
      </c>
      <c r="E235" s="97">
        <f>+ROUND('Alimentazione CE Costi'!H216,2)</f>
        <v>0</v>
      </c>
      <c r="F235" s="97">
        <f t="shared" si="57"/>
        <v>0</v>
      </c>
      <c r="G235" s="60"/>
      <c r="H235" s="236"/>
      <c r="I235" s="97">
        <v>0</v>
      </c>
      <c r="K235" s="94"/>
      <c r="M235" s="98"/>
    </row>
    <row r="236" spans="1:13" ht="18.75">
      <c r="A236" s="226"/>
      <c r="B236" s="101" t="s">
        <v>594</v>
      </c>
      <c r="C236" s="102" t="s">
        <v>1455</v>
      </c>
      <c r="D236" s="97">
        <f>+ROUND('Alimentazione CE Costi'!E218+'Alimentazione CE Costi'!E219,2)</f>
        <v>1562000</v>
      </c>
      <c r="E236" s="97">
        <f>+ROUND('Alimentazione CE Costi'!H218+'Alimentazione CE Costi'!H219,2)</f>
        <v>1749000</v>
      </c>
      <c r="F236" s="97">
        <f t="shared" si="57"/>
        <v>-187000</v>
      </c>
      <c r="G236" s="60"/>
      <c r="H236" s="236"/>
      <c r="I236" s="97">
        <v>0</v>
      </c>
      <c r="K236" s="94"/>
      <c r="M236" s="98"/>
    </row>
    <row r="237" spans="1:13" ht="18.75">
      <c r="A237" s="226"/>
      <c r="B237" s="101" t="s">
        <v>595</v>
      </c>
      <c r="C237" s="102" t="s">
        <v>1456</v>
      </c>
      <c r="D237" s="97">
        <f>+ROUND('Alimentazione CE Costi'!E221+'Alimentazione CE Costi'!E222,2)</f>
        <v>22000</v>
      </c>
      <c r="E237" s="97">
        <f>+ROUND('Alimentazione CE Costi'!H221+'Alimentazione CE Costi'!H222,2)</f>
        <v>25000</v>
      </c>
      <c r="F237" s="97">
        <f t="shared" si="57"/>
        <v>-3000</v>
      </c>
      <c r="G237" s="60"/>
      <c r="H237" s="236"/>
      <c r="I237" s="97">
        <v>0</v>
      </c>
      <c r="K237" s="94"/>
      <c r="M237" s="98"/>
    </row>
    <row r="238" spans="1:13" ht="25.5">
      <c r="A238" s="222"/>
      <c r="B238" s="154" t="s">
        <v>596</v>
      </c>
      <c r="C238" s="155" t="s">
        <v>1457</v>
      </c>
      <c r="D238" s="142">
        <f t="shared" ref="D238" si="62">SUM(D239:D242)</f>
        <v>7008257</v>
      </c>
      <c r="E238" s="142">
        <f t="shared" ref="E238" si="63">SUM(E239:E242)</f>
        <v>9447688</v>
      </c>
      <c r="F238" s="142">
        <f t="shared" si="57"/>
        <v>-2439431</v>
      </c>
      <c r="G238" s="60" t="s">
        <v>1838</v>
      </c>
      <c r="H238" s="236"/>
      <c r="I238" s="142">
        <v>0</v>
      </c>
      <c r="K238" s="94"/>
      <c r="M238" s="98"/>
    </row>
    <row r="239" spans="1:13" ht="25.5">
      <c r="A239" s="222" t="s">
        <v>1253</v>
      </c>
      <c r="B239" s="101" t="s">
        <v>597</v>
      </c>
      <c r="C239" s="102" t="s">
        <v>1458</v>
      </c>
      <c r="D239" s="97">
        <f>+ROUND('Alimentazione CE Costi'!E225,2)</f>
        <v>0</v>
      </c>
      <c r="E239" s="97">
        <f>+ROUND('Alimentazione CE Costi'!H225,2)</f>
        <v>688</v>
      </c>
      <c r="F239" s="97">
        <f t="shared" si="57"/>
        <v>-688</v>
      </c>
      <c r="G239" s="60"/>
      <c r="H239" s="236"/>
      <c r="I239" s="97">
        <v>0</v>
      </c>
      <c r="K239" s="94"/>
      <c r="M239" s="98"/>
    </row>
    <row r="240" spans="1:13" ht="18.75">
      <c r="A240" s="222"/>
      <c r="B240" s="101" t="s">
        <v>598</v>
      </c>
      <c r="C240" s="102" t="s">
        <v>1459</v>
      </c>
      <c r="D240" s="97">
        <f>+ROUND('Alimentazione CE Costi'!E227,2)</f>
        <v>0</v>
      </c>
      <c r="E240" s="97">
        <f>+ROUND('Alimentazione CE Costi'!H227,2)</f>
        <v>0</v>
      </c>
      <c r="F240" s="97">
        <f t="shared" si="57"/>
        <v>0</v>
      </c>
      <c r="G240" s="60"/>
      <c r="H240" s="236"/>
      <c r="I240" s="97">
        <v>0</v>
      </c>
      <c r="K240" s="94"/>
      <c r="M240" s="98"/>
    </row>
    <row r="241" spans="1:13" ht="18.75">
      <c r="A241" s="224" t="s">
        <v>1298</v>
      </c>
      <c r="B241" s="101" t="s">
        <v>599</v>
      </c>
      <c r="C241" s="102" t="s">
        <v>1460</v>
      </c>
      <c r="D241" s="97">
        <f>+ROUND('Alimentazione CE Costi'!E229,2)</f>
        <v>0</v>
      </c>
      <c r="E241" s="97">
        <f>+ROUND('Alimentazione CE Costi'!H229,2)</f>
        <v>0</v>
      </c>
      <c r="F241" s="97">
        <f t="shared" si="57"/>
        <v>0</v>
      </c>
      <c r="G241" s="350"/>
      <c r="H241" s="236"/>
      <c r="I241" s="97">
        <v>0</v>
      </c>
      <c r="K241" s="94"/>
      <c r="M241" s="98"/>
    </row>
    <row r="242" spans="1:13" ht="18.75">
      <c r="A242" s="224"/>
      <c r="B242" s="101" t="s">
        <v>600</v>
      </c>
      <c r="C242" s="102" t="s">
        <v>1461</v>
      </c>
      <c r="D242" s="97">
        <f>+ROUND('Alimentazione CE Costi'!E231+'Alimentazione CE Costi'!E232+'Alimentazione CE Costi'!E233,2)</f>
        <v>7008257</v>
      </c>
      <c r="E242" s="97">
        <f>+ROUND('Alimentazione CE Costi'!H231+'Alimentazione CE Costi'!H232+'Alimentazione CE Costi'!H233,2)</f>
        <v>9447000</v>
      </c>
      <c r="F242" s="97">
        <f t="shared" si="57"/>
        <v>-2438743</v>
      </c>
      <c r="G242" s="350"/>
      <c r="H242" s="236"/>
      <c r="I242" s="97">
        <v>0</v>
      </c>
      <c r="K242" s="94"/>
      <c r="M242" s="98"/>
    </row>
    <row r="243" spans="1:13" ht="25.5">
      <c r="A243" s="224"/>
      <c r="B243" s="154" t="s">
        <v>1462</v>
      </c>
      <c r="C243" s="155" t="s">
        <v>1463</v>
      </c>
      <c r="D243" s="142">
        <f t="shared" ref="D243" si="64">SUM(D244:D247)</f>
        <v>1774000</v>
      </c>
      <c r="E243" s="142">
        <f t="shared" ref="E243" si="65">SUM(E244:E247)</f>
        <v>5204000</v>
      </c>
      <c r="F243" s="142">
        <f t="shared" si="57"/>
        <v>-3430000</v>
      </c>
      <c r="G243" s="60" t="s">
        <v>1838</v>
      </c>
      <c r="H243" s="236"/>
      <c r="I243" s="142">
        <v>0</v>
      </c>
      <c r="K243" s="94"/>
      <c r="M243" s="98"/>
    </row>
    <row r="244" spans="1:13" ht="25.5">
      <c r="A244" s="224" t="s">
        <v>1253</v>
      </c>
      <c r="B244" s="101" t="s">
        <v>605</v>
      </c>
      <c r="C244" s="102" t="s">
        <v>1464</v>
      </c>
      <c r="D244" s="97">
        <f>+ROUND('Alimentazione CE Costi'!E236,2)</f>
        <v>0</v>
      </c>
      <c r="E244" s="97">
        <f>+ROUND('Alimentazione CE Costi'!H236,2)</f>
        <v>0</v>
      </c>
      <c r="F244" s="97">
        <f t="shared" si="57"/>
        <v>0</v>
      </c>
      <c r="G244" s="350"/>
      <c r="H244" s="236"/>
      <c r="I244" s="97">
        <v>0</v>
      </c>
      <c r="K244" s="94"/>
      <c r="M244" s="98"/>
    </row>
    <row r="245" spans="1:13" ht="18.75">
      <c r="A245" s="224"/>
      <c r="B245" s="101" t="s">
        <v>606</v>
      </c>
      <c r="C245" s="102" t="s">
        <v>1465</v>
      </c>
      <c r="D245" s="97">
        <f>+ROUND('Alimentazione CE Costi'!E238,2)</f>
        <v>0</v>
      </c>
      <c r="E245" s="97">
        <f>+ROUND('Alimentazione CE Costi'!H238,2)</f>
        <v>0</v>
      </c>
      <c r="F245" s="97">
        <f t="shared" si="57"/>
        <v>0</v>
      </c>
      <c r="G245" s="350"/>
      <c r="H245" s="236"/>
      <c r="I245" s="97">
        <v>0</v>
      </c>
      <c r="K245" s="94"/>
      <c r="M245" s="98"/>
    </row>
    <row r="246" spans="1:13" ht="18.75">
      <c r="A246" s="224" t="s">
        <v>1298</v>
      </c>
      <c r="B246" s="101" t="s">
        <v>607</v>
      </c>
      <c r="C246" s="102" t="s">
        <v>1466</v>
      </c>
      <c r="D246" s="97">
        <f>+ROUND('Alimentazione CE Costi'!E240,2)</f>
        <v>0</v>
      </c>
      <c r="E246" s="97">
        <f>+ROUND('Alimentazione CE Costi'!H240,2)</f>
        <v>0</v>
      </c>
      <c r="F246" s="97">
        <f t="shared" si="57"/>
        <v>0</v>
      </c>
      <c r="G246" s="350"/>
      <c r="H246" s="236"/>
      <c r="I246" s="97">
        <v>0</v>
      </c>
      <c r="K246" s="94"/>
      <c r="M246" s="98"/>
    </row>
    <row r="247" spans="1:13" ht="18.75">
      <c r="A247" s="224"/>
      <c r="B247" s="101" t="s">
        <v>608</v>
      </c>
      <c r="C247" s="102" t="s">
        <v>1467</v>
      </c>
      <c r="D247" s="97">
        <f>+ROUND('Alimentazione CE Costi'!E242+'Alimentazione CE Costi'!E243,2)</f>
        <v>1774000</v>
      </c>
      <c r="E247" s="97">
        <f>+ROUND('Alimentazione CE Costi'!H242+'Alimentazione CE Costi'!H243,2)</f>
        <v>5204000</v>
      </c>
      <c r="F247" s="97">
        <f t="shared" si="57"/>
        <v>-3430000</v>
      </c>
      <c r="G247" s="350"/>
      <c r="H247" s="236"/>
      <c r="I247" s="97">
        <v>0</v>
      </c>
      <c r="K247" s="94"/>
      <c r="M247" s="98"/>
    </row>
    <row r="248" spans="1:13" ht="25.5">
      <c r="A248" s="224"/>
      <c r="B248" s="154" t="s">
        <v>611</v>
      </c>
      <c r="C248" s="155" t="s">
        <v>1468</v>
      </c>
      <c r="D248" s="142">
        <f t="shared" ref="D248" si="66">SUM(D249:D252,D257)</f>
        <v>73966479</v>
      </c>
      <c r="E248" s="142">
        <f t="shared" ref="E248" si="67">SUM(E249:E252,E257)</f>
        <v>73791547</v>
      </c>
      <c r="F248" s="142">
        <f t="shared" si="57"/>
        <v>174932</v>
      </c>
      <c r="G248" s="60" t="s">
        <v>1838</v>
      </c>
      <c r="H248" s="236"/>
      <c r="I248" s="142">
        <v>0</v>
      </c>
      <c r="K248" s="94"/>
      <c r="M248" s="98"/>
    </row>
    <row r="249" spans="1:13" ht="25.5">
      <c r="A249" s="224" t="s">
        <v>1253</v>
      </c>
      <c r="B249" s="101" t="s">
        <v>612</v>
      </c>
      <c r="C249" s="102" t="s">
        <v>1469</v>
      </c>
      <c r="D249" s="97">
        <f>+ROUND('Alimentazione CE Costi'!E246+'Alimentazione CE Costi'!E247,2)</f>
        <v>32246712</v>
      </c>
      <c r="E249" s="97">
        <f>+ROUND('Alimentazione CE Costi'!H246+'Alimentazione CE Costi'!H247,2)</f>
        <v>31766546</v>
      </c>
      <c r="F249" s="97">
        <f t="shared" si="57"/>
        <v>480166</v>
      </c>
      <c r="G249" s="350"/>
      <c r="H249" s="236"/>
      <c r="I249" s="97">
        <v>0</v>
      </c>
      <c r="K249" s="94"/>
      <c r="M249" s="98"/>
    </row>
    <row r="250" spans="1:13" ht="18.75">
      <c r="A250" s="224"/>
      <c r="B250" s="101" t="s">
        <v>615</v>
      </c>
      <c r="C250" s="102" t="s">
        <v>1470</v>
      </c>
      <c r="D250" s="97">
        <f>+ROUND('Alimentazione CE Costi'!E249,2)</f>
        <v>0</v>
      </c>
      <c r="E250" s="97">
        <f>+ROUND('Alimentazione CE Costi'!H249,2)</f>
        <v>0</v>
      </c>
      <c r="F250" s="97">
        <f t="shared" si="57"/>
        <v>0</v>
      </c>
      <c r="G250" s="350"/>
      <c r="H250" s="236"/>
      <c r="I250" s="97">
        <v>0</v>
      </c>
      <c r="K250" s="94"/>
      <c r="M250" s="98"/>
    </row>
    <row r="251" spans="1:13" ht="18.75">
      <c r="A251" s="224" t="s">
        <v>1298</v>
      </c>
      <c r="B251" s="101" t="s">
        <v>616</v>
      </c>
      <c r="C251" s="102" t="s">
        <v>1471</v>
      </c>
      <c r="D251" s="97">
        <f>+ROUND('Alimentazione CE Costi'!E251,2)</f>
        <v>15218033</v>
      </c>
      <c r="E251" s="97">
        <f>+ROUND('Alimentazione CE Costi'!H251,2)</f>
        <v>15218033</v>
      </c>
      <c r="F251" s="97">
        <f t="shared" si="57"/>
        <v>0</v>
      </c>
      <c r="G251" s="350"/>
      <c r="H251" s="236"/>
      <c r="I251" s="97">
        <v>0</v>
      </c>
      <c r="K251" s="94"/>
      <c r="M251" s="98"/>
    </row>
    <row r="252" spans="1:13" ht="18.75">
      <c r="A252" s="224"/>
      <c r="B252" s="146" t="s">
        <v>619</v>
      </c>
      <c r="C252" s="147" t="s">
        <v>1472</v>
      </c>
      <c r="D252" s="145">
        <f t="shared" ref="D252" si="68">SUM(D253:D256)</f>
        <v>24920332</v>
      </c>
      <c r="E252" s="145">
        <f t="shared" ref="E252" si="69">SUM(E253:E256)</f>
        <v>25225566</v>
      </c>
      <c r="F252" s="145">
        <f t="shared" si="57"/>
        <v>-305234</v>
      </c>
      <c r="G252" s="60" t="s">
        <v>1838</v>
      </c>
      <c r="H252" s="236"/>
      <c r="I252" s="145">
        <v>0</v>
      </c>
      <c r="K252" s="94"/>
      <c r="M252" s="98"/>
    </row>
    <row r="253" spans="1:13" ht="25.5">
      <c r="A253" s="224"/>
      <c r="B253" s="103" t="s">
        <v>621</v>
      </c>
      <c r="C253" s="104" t="s">
        <v>1473</v>
      </c>
      <c r="D253" s="97">
        <f>+ROUND('Alimentazione CE Costi'!E254,2)</f>
        <v>0</v>
      </c>
      <c r="E253" s="97">
        <f>+ROUND('Alimentazione CE Costi'!H254,2)</f>
        <v>0</v>
      </c>
      <c r="F253" s="97">
        <f t="shared" si="57"/>
        <v>0</v>
      </c>
      <c r="G253" s="350"/>
      <c r="H253" s="236"/>
      <c r="I253" s="97">
        <v>0</v>
      </c>
      <c r="K253" s="94"/>
      <c r="M253" s="98"/>
    </row>
    <row r="254" spans="1:13" ht="25.5">
      <c r="A254" s="224"/>
      <c r="B254" s="103" t="s">
        <v>623</v>
      </c>
      <c r="C254" s="104" t="s">
        <v>1474</v>
      </c>
      <c r="D254" s="97">
        <f>+ROUND('Alimentazione CE Costi'!E256,2)</f>
        <v>0</v>
      </c>
      <c r="E254" s="97">
        <f>+ROUND('Alimentazione CE Costi'!H256,2)</f>
        <v>0</v>
      </c>
      <c r="F254" s="97">
        <f t="shared" si="57"/>
        <v>0</v>
      </c>
      <c r="G254" s="350"/>
      <c r="H254" s="236"/>
      <c r="I254" s="97">
        <v>0</v>
      </c>
      <c r="K254" s="94"/>
      <c r="M254" s="98"/>
    </row>
    <row r="255" spans="1:13" ht="25.5">
      <c r="A255" s="224"/>
      <c r="B255" s="103" t="s">
        <v>625</v>
      </c>
      <c r="C255" s="104" t="s">
        <v>1475</v>
      </c>
      <c r="D255" s="97">
        <f>+ROUND('Alimentazione CE Costi'!E258,2)</f>
        <v>24920332</v>
      </c>
      <c r="E255" s="97">
        <f>+ROUND('Alimentazione CE Costi'!H258,2)</f>
        <v>25225566</v>
      </c>
      <c r="F255" s="97">
        <f t="shared" si="57"/>
        <v>-305234</v>
      </c>
      <c r="G255" s="350"/>
      <c r="H255" s="236"/>
      <c r="I255" s="97">
        <v>0</v>
      </c>
      <c r="K255" s="94"/>
      <c r="M255" s="98"/>
    </row>
    <row r="256" spans="1:13" ht="25.5">
      <c r="A256" s="224"/>
      <c r="B256" s="103" t="s">
        <v>627</v>
      </c>
      <c r="C256" s="104" t="s">
        <v>1476</v>
      </c>
      <c r="D256" s="97">
        <f>+ROUND('Alimentazione CE Costi'!E260,2)</f>
        <v>0</v>
      </c>
      <c r="E256" s="97">
        <f>+ROUND('Alimentazione CE Costi'!H260,2)</f>
        <v>0</v>
      </c>
      <c r="F256" s="97">
        <f t="shared" si="57"/>
        <v>0</v>
      </c>
      <c r="G256" s="350"/>
      <c r="H256" s="236"/>
      <c r="I256" s="97">
        <v>0</v>
      </c>
      <c r="K256" s="94"/>
      <c r="M256" s="98"/>
    </row>
    <row r="257" spans="1:13" ht="25.5">
      <c r="A257" s="224"/>
      <c r="B257" s="101" t="s">
        <v>628</v>
      </c>
      <c r="C257" s="102" t="s">
        <v>1477</v>
      </c>
      <c r="D257" s="97">
        <f>+ROUND('Alimentazione CE Costi'!E262,2)</f>
        <v>1581402</v>
      </c>
      <c r="E257" s="97">
        <f>+ROUND('Alimentazione CE Costi'!H262,2)</f>
        <v>1581402</v>
      </c>
      <c r="F257" s="97">
        <f t="shared" si="57"/>
        <v>0</v>
      </c>
      <c r="G257" s="350"/>
      <c r="H257" s="236"/>
      <c r="I257" s="97">
        <v>0</v>
      </c>
      <c r="K257" s="94"/>
      <c r="M257" s="98"/>
    </row>
    <row r="258" spans="1:13" ht="25.5">
      <c r="A258" s="224"/>
      <c r="B258" s="154" t="s">
        <v>629</v>
      </c>
      <c r="C258" s="155" t="s">
        <v>1478</v>
      </c>
      <c r="D258" s="142">
        <f t="shared" ref="D258" si="70">SUM(D259:D263)</f>
        <v>6639000</v>
      </c>
      <c r="E258" s="142">
        <f t="shared" ref="E258" si="71">SUM(E259:E263)</f>
        <v>7482000</v>
      </c>
      <c r="F258" s="142">
        <f t="shared" si="57"/>
        <v>-843000</v>
      </c>
      <c r="G258" s="60" t="s">
        <v>1838</v>
      </c>
      <c r="H258" s="236"/>
      <c r="I258" s="142">
        <v>0</v>
      </c>
      <c r="K258" s="94"/>
      <c r="M258" s="98"/>
    </row>
    <row r="259" spans="1:13" ht="25.5">
      <c r="A259" s="224" t="s">
        <v>1253</v>
      </c>
      <c r="B259" s="101" t="s">
        <v>630</v>
      </c>
      <c r="C259" s="102" t="s">
        <v>1479</v>
      </c>
      <c r="D259" s="97">
        <f>+ROUND('Alimentazione CE Costi'!E265,2)</f>
        <v>0</v>
      </c>
      <c r="E259" s="97">
        <f>+ROUND('Alimentazione CE Costi'!H265,2)</f>
        <v>0</v>
      </c>
      <c r="F259" s="97">
        <f t="shared" si="57"/>
        <v>0</v>
      </c>
      <c r="G259" s="350"/>
      <c r="H259" s="236"/>
      <c r="I259" s="97">
        <v>0</v>
      </c>
      <c r="K259" s="94"/>
      <c r="M259" s="98"/>
    </row>
    <row r="260" spans="1:13" ht="18.75">
      <c r="A260" s="222"/>
      <c r="B260" s="101" t="s">
        <v>631</v>
      </c>
      <c r="C260" s="102" t="s">
        <v>1480</v>
      </c>
      <c r="D260" s="97">
        <f>+ROUND('Alimentazione CE Costi'!E267,2)</f>
        <v>0</v>
      </c>
      <c r="E260" s="97">
        <f>+ROUND('Alimentazione CE Costi'!H267,2)</f>
        <v>0</v>
      </c>
      <c r="F260" s="97">
        <f t="shared" si="57"/>
        <v>0</v>
      </c>
      <c r="G260" s="60"/>
      <c r="H260" s="236"/>
      <c r="I260" s="97">
        <v>0</v>
      </c>
      <c r="K260" s="94"/>
      <c r="M260" s="98"/>
    </row>
    <row r="261" spans="1:13" ht="25.5">
      <c r="A261" s="222" t="s">
        <v>1302</v>
      </c>
      <c r="B261" s="101" t="s">
        <v>632</v>
      </c>
      <c r="C261" s="102" t="s">
        <v>1481</v>
      </c>
      <c r="D261" s="97">
        <f>+ROUND('Alimentazione CE Costi'!E269,2)</f>
        <v>0</v>
      </c>
      <c r="E261" s="97">
        <f>+ROUND('Alimentazione CE Costi'!H269,2)</f>
        <v>0</v>
      </c>
      <c r="F261" s="97">
        <f t="shared" si="57"/>
        <v>0</v>
      </c>
      <c r="G261" s="60"/>
      <c r="H261" s="236"/>
      <c r="I261" s="97">
        <v>0</v>
      </c>
      <c r="K261" s="94"/>
      <c r="M261" s="98"/>
    </row>
    <row r="262" spans="1:13" ht="18.75">
      <c r="A262" s="222"/>
      <c r="B262" s="101" t="s">
        <v>633</v>
      </c>
      <c r="C262" s="102" t="s">
        <v>1482</v>
      </c>
      <c r="D262" s="97">
        <f>+ROUND('Alimentazione CE Costi'!E271,2)</f>
        <v>6506000</v>
      </c>
      <c r="E262" s="97">
        <f>+ROUND('Alimentazione CE Costi'!H271,2)</f>
        <v>7332000</v>
      </c>
      <c r="F262" s="97">
        <f t="shared" si="57"/>
        <v>-826000</v>
      </c>
      <c r="G262" s="60"/>
      <c r="H262" s="236"/>
      <c r="I262" s="97">
        <v>0</v>
      </c>
      <c r="K262" s="94"/>
      <c r="M262" s="98"/>
    </row>
    <row r="263" spans="1:13" ht="18.75">
      <c r="A263" s="226"/>
      <c r="B263" s="101" t="s">
        <v>634</v>
      </c>
      <c r="C263" s="102" t="s">
        <v>1483</v>
      </c>
      <c r="D263" s="97">
        <f>+ROUND('Alimentazione CE Costi'!E273,2)</f>
        <v>133000</v>
      </c>
      <c r="E263" s="97">
        <f>+ROUND('Alimentazione CE Costi'!H273,2)</f>
        <v>150000</v>
      </c>
      <c r="F263" s="97">
        <f t="shared" si="57"/>
        <v>-17000</v>
      </c>
      <c r="G263" s="60"/>
      <c r="H263" s="236"/>
      <c r="I263" s="97">
        <v>0</v>
      </c>
      <c r="K263" s="94"/>
      <c r="M263" s="98"/>
    </row>
    <row r="264" spans="1:13" ht="25.5">
      <c r="A264" s="222"/>
      <c r="B264" s="154" t="s">
        <v>635</v>
      </c>
      <c r="C264" s="155" t="s">
        <v>1484</v>
      </c>
      <c r="D264" s="142">
        <f t="shared" ref="D264" si="72">SUM(D265:D270)</f>
        <v>7689629</v>
      </c>
      <c r="E264" s="142">
        <f t="shared" ref="E264" si="73">SUM(E265:E270)</f>
        <v>8590243</v>
      </c>
      <c r="F264" s="142">
        <f t="shared" si="57"/>
        <v>-900614</v>
      </c>
      <c r="G264" s="60" t="s">
        <v>1838</v>
      </c>
      <c r="H264" s="236"/>
      <c r="I264" s="142">
        <v>0</v>
      </c>
      <c r="K264" s="94"/>
      <c r="M264" s="98"/>
    </row>
    <row r="265" spans="1:13" ht="25.5">
      <c r="A265" s="222" t="s">
        <v>1253</v>
      </c>
      <c r="B265" s="101" t="s">
        <v>636</v>
      </c>
      <c r="C265" s="102" t="s">
        <v>1485</v>
      </c>
      <c r="D265" s="97">
        <f>+ROUND('Alimentazione CE Costi'!E276+'Alimentazione CE Costi'!E277,2)</f>
        <v>3285114</v>
      </c>
      <c r="E265" s="97">
        <f>+ROUND('Alimentazione CE Costi'!H276+'Alimentazione CE Costi'!H277,2)</f>
        <v>3319820</v>
      </c>
      <c r="F265" s="97">
        <f t="shared" si="57"/>
        <v>-34706</v>
      </c>
      <c r="G265" s="60"/>
      <c r="H265" s="236"/>
      <c r="I265" s="97">
        <v>0</v>
      </c>
      <c r="K265" s="94"/>
      <c r="M265" s="98"/>
    </row>
    <row r="266" spans="1:13" ht="18.75">
      <c r="A266" s="222"/>
      <c r="B266" s="101" t="s">
        <v>639</v>
      </c>
      <c r="C266" s="102" t="s">
        <v>1486</v>
      </c>
      <c r="D266" s="97">
        <f>+ROUND('Alimentazione CE Costi'!E279,2)</f>
        <v>0</v>
      </c>
      <c r="E266" s="97">
        <f>+ROUND('Alimentazione CE Costi'!H279,2)</f>
        <v>0</v>
      </c>
      <c r="F266" s="97">
        <f t="shared" si="57"/>
        <v>0</v>
      </c>
      <c r="G266" s="60"/>
      <c r="H266" s="236"/>
      <c r="I266" s="97">
        <v>0</v>
      </c>
      <c r="K266" s="94"/>
      <c r="M266" s="98"/>
    </row>
    <row r="267" spans="1:13" ht="18.75">
      <c r="A267" s="222" t="s">
        <v>1298</v>
      </c>
      <c r="B267" s="101" t="s">
        <v>640</v>
      </c>
      <c r="C267" s="102" t="s">
        <v>1487</v>
      </c>
      <c r="D267" s="97">
        <f>+ROUND('Alimentazione CE Costi'!E281,2)</f>
        <v>1888423</v>
      </c>
      <c r="E267" s="97">
        <f>+ROUND('Alimentazione CE Costi'!H281,2)</f>
        <v>1888423</v>
      </c>
      <c r="F267" s="97">
        <f t="shared" si="57"/>
        <v>0</v>
      </c>
      <c r="G267" s="60"/>
      <c r="H267" s="236"/>
      <c r="I267" s="97">
        <v>0</v>
      </c>
      <c r="K267" s="94"/>
      <c r="M267" s="98"/>
    </row>
    <row r="268" spans="1:13" ht="18.75">
      <c r="A268" s="222"/>
      <c r="B268" s="101" t="s">
        <v>641</v>
      </c>
      <c r="C268" s="102" t="s">
        <v>1488</v>
      </c>
      <c r="D268" s="97">
        <f>+ROUND('Alimentazione CE Costi'!E283+'Alimentazione CE Costi'!E284,2)</f>
        <v>2516092</v>
      </c>
      <c r="E268" s="97">
        <f>+ROUND('Alimentazione CE Costi'!H283+'Alimentazione CE Costi'!H284,2)</f>
        <v>3382000</v>
      </c>
      <c r="F268" s="97">
        <f t="shared" si="57"/>
        <v>-865908</v>
      </c>
      <c r="G268" s="60"/>
      <c r="H268" s="236"/>
      <c r="I268" s="97">
        <v>0</v>
      </c>
      <c r="K268" s="94"/>
      <c r="M268" s="98"/>
    </row>
    <row r="269" spans="1:13" ht="18.75">
      <c r="A269" s="226"/>
      <c r="B269" s="101" t="s">
        <v>643</v>
      </c>
      <c r="C269" s="102" t="s">
        <v>1489</v>
      </c>
      <c r="D269" s="97">
        <f>+ROUND('Alimentazione CE Costi'!E286,2)</f>
        <v>0</v>
      </c>
      <c r="E269" s="97">
        <f>+ROUND('Alimentazione CE Costi'!H286,2)</f>
        <v>0</v>
      </c>
      <c r="F269" s="97">
        <f t="shared" si="57"/>
        <v>0</v>
      </c>
      <c r="G269" s="60"/>
      <c r="H269" s="236"/>
      <c r="I269" s="97">
        <v>0</v>
      </c>
      <c r="K269" s="94"/>
      <c r="M269" s="98"/>
    </row>
    <row r="270" spans="1:13" ht="25.5">
      <c r="A270" s="222"/>
      <c r="B270" s="101" t="s">
        <v>644</v>
      </c>
      <c r="C270" s="102" t="s">
        <v>1490</v>
      </c>
      <c r="D270" s="97">
        <f>+ROUND('Alimentazione CE Costi'!E288,2)</f>
        <v>0</v>
      </c>
      <c r="E270" s="97">
        <f>+ROUND('Alimentazione CE Costi'!H288,2)</f>
        <v>0</v>
      </c>
      <c r="F270" s="97">
        <f t="shared" si="57"/>
        <v>0</v>
      </c>
      <c r="G270" s="60"/>
      <c r="H270" s="236"/>
      <c r="I270" s="97">
        <v>0</v>
      </c>
      <c r="K270" s="94"/>
      <c r="M270" s="98"/>
    </row>
    <row r="271" spans="1:13" ht="25.5">
      <c r="A271" s="222"/>
      <c r="B271" s="154" t="s">
        <v>645</v>
      </c>
      <c r="C271" s="155" t="s">
        <v>1491</v>
      </c>
      <c r="D271" s="142">
        <f t="shared" ref="D271" si="74">SUM(D272:D276)</f>
        <v>331955</v>
      </c>
      <c r="E271" s="142">
        <f t="shared" ref="E271" si="75">SUM(E272:E276)</f>
        <v>377955</v>
      </c>
      <c r="F271" s="142">
        <f t="shared" si="57"/>
        <v>-46000</v>
      </c>
      <c r="G271" s="60" t="s">
        <v>1838</v>
      </c>
      <c r="H271" s="236"/>
      <c r="I271" s="142">
        <v>0</v>
      </c>
      <c r="K271" s="94"/>
      <c r="M271" s="98"/>
    </row>
    <row r="272" spans="1:13" ht="25.5">
      <c r="A272" s="222" t="s">
        <v>1253</v>
      </c>
      <c r="B272" s="101" t="s">
        <v>646</v>
      </c>
      <c r="C272" s="102" t="s">
        <v>1492</v>
      </c>
      <c r="D272" s="97">
        <f>+ROUND('Alimentazione CE Costi'!E291,2)</f>
        <v>0</v>
      </c>
      <c r="E272" s="97">
        <f>+ROUND('Alimentazione CE Costi'!H291,2)</f>
        <v>0</v>
      </c>
      <c r="F272" s="97">
        <f t="shared" si="57"/>
        <v>0</v>
      </c>
      <c r="G272" s="60"/>
      <c r="H272" s="236"/>
      <c r="I272" s="97">
        <v>0</v>
      </c>
      <c r="K272" s="94"/>
      <c r="M272" s="98"/>
    </row>
    <row r="273" spans="1:13" ht="25.5">
      <c r="A273" s="222"/>
      <c r="B273" s="101" t="s">
        <v>647</v>
      </c>
      <c r="C273" s="102" t="s">
        <v>1493</v>
      </c>
      <c r="D273" s="97">
        <f>+ROUND('Alimentazione CE Costi'!E293,2)</f>
        <v>0</v>
      </c>
      <c r="E273" s="97">
        <f>+ROUND('Alimentazione CE Costi'!H293,2)</f>
        <v>0</v>
      </c>
      <c r="F273" s="97">
        <f t="shared" si="57"/>
        <v>0</v>
      </c>
      <c r="G273" s="60"/>
      <c r="H273" s="236"/>
      <c r="I273" s="97">
        <v>0</v>
      </c>
      <c r="K273" s="94"/>
      <c r="M273" s="98"/>
    </row>
    <row r="274" spans="1:13" ht="18.75">
      <c r="A274" s="222" t="s">
        <v>1298</v>
      </c>
      <c r="B274" s="101" t="s">
        <v>648</v>
      </c>
      <c r="C274" s="102" t="s">
        <v>1494</v>
      </c>
      <c r="D274" s="97">
        <f>+ROUND('Alimentazione CE Costi'!E295,2)</f>
        <v>87955</v>
      </c>
      <c r="E274" s="97">
        <f>+ROUND('Alimentazione CE Costi'!H295,2)</f>
        <v>87955</v>
      </c>
      <c r="F274" s="97">
        <f t="shared" si="57"/>
        <v>0</v>
      </c>
      <c r="G274" s="60"/>
      <c r="H274" s="236"/>
      <c r="I274" s="97">
        <v>0</v>
      </c>
      <c r="K274" s="94"/>
      <c r="M274" s="98"/>
    </row>
    <row r="275" spans="1:13" ht="18.75">
      <c r="A275" s="222"/>
      <c r="B275" s="101" t="s">
        <v>649</v>
      </c>
      <c r="C275" s="102" t="s">
        <v>1495</v>
      </c>
      <c r="D275" s="97">
        <f>+ROUND('Alimentazione CE Costi'!E297,2)</f>
        <v>222000</v>
      </c>
      <c r="E275" s="97">
        <f>+ROUND('Alimentazione CE Costi'!H297,2)</f>
        <v>250000</v>
      </c>
      <c r="F275" s="97">
        <f t="shared" si="57"/>
        <v>-28000</v>
      </c>
      <c r="G275" s="60"/>
      <c r="H275" s="236"/>
      <c r="I275" s="97">
        <v>0</v>
      </c>
      <c r="K275" s="94"/>
      <c r="M275" s="98"/>
    </row>
    <row r="276" spans="1:13" ht="25.5">
      <c r="A276" s="222"/>
      <c r="B276" s="101" t="s">
        <v>650</v>
      </c>
      <c r="C276" s="102" t="s">
        <v>1496</v>
      </c>
      <c r="D276" s="97">
        <f>+ROUND('Alimentazione CE Costi'!E299,2)</f>
        <v>22000</v>
      </c>
      <c r="E276" s="97">
        <f>+ROUND('Alimentazione CE Costi'!H299,2)</f>
        <v>40000</v>
      </c>
      <c r="F276" s="97">
        <f t="shared" si="57"/>
        <v>-18000</v>
      </c>
      <c r="G276" s="60"/>
      <c r="H276" s="236"/>
      <c r="I276" s="97">
        <v>0</v>
      </c>
      <c r="K276" s="94"/>
      <c r="M276" s="98"/>
    </row>
    <row r="277" spans="1:13" ht="25.5">
      <c r="A277" s="222"/>
      <c r="B277" s="154" t="s">
        <v>651</v>
      </c>
      <c r="C277" s="155" t="s">
        <v>1497</v>
      </c>
      <c r="D277" s="142">
        <f t="shared" ref="D277" si="76">SUM(D278:D281)</f>
        <v>8047048</v>
      </c>
      <c r="E277" s="142">
        <f t="shared" ref="E277" si="77">SUM(E278:E281)</f>
        <v>9026048</v>
      </c>
      <c r="F277" s="142">
        <f t="shared" si="57"/>
        <v>-979000</v>
      </c>
      <c r="G277" s="60" t="s">
        <v>1838</v>
      </c>
      <c r="H277" s="236"/>
      <c r="I277" s="142">
        <v>706000</v>
      </c>
      <c r="K277" s="94"/>
      <c r="M277" s="98"/>
    </row>
    <row r="278" spans="1:13" ht="25.5">
      <c r="A278" s="222" t="s">
        <v>1253</v>
      </c>
      <c r="B278" s="101" t="s">
        <v>652</v>
      </c>
      <c r="C278" s="102" t="s">
        <v>1498</v>
      </c>
      <c r="D278" s="97">
        <f>+ROUND('Alimentazione CE Costi'!E302,2)</f>
        <v>0</v>
      </c>
      <c r="E278" s="97">
        <f>+ROUND('Alimentazione CE Costi'!H302,2)</f>
        <v>0</v>
      </c>
      <c r="F278" s="97">
        <f t="shared" si="57"/>
        <v>0</v>
      </c>
      <c r="G278" s="60"/>
      <c r="H278" s="236"/>
      <c r="I278" s="97">
        <v>0</v>
      </c>
      <c r="K278" s="94"/>
      <c r="M278" s="98"/>
    </row>
    <row r="279" spans="1:13" ht="25.5">
      <c r="A279" s="222"/>
      <c r="B279" s="101" t="s">
        <v>653</v>
      </c>
      <c r="C279" s="102" t="s">
        <v>1499</v>
      </c>
      <c r="D279" s="97">
        <f>+ROUND('Alimentazione CE Costi'!E304,2)</f>
        <v>0</v>
      </c>
      <c r="E279" s="97">
        <f>+ROUND('Alimentazione CE Costi'!H304,2)</f>
        <v>0</v>
      </c>
      <c r="F279" s="97">
        <f t="shared" si="57"/>
        <v>0</v>
      </c>
      <c r="G279" s="60"/>
      <c r="H279" s="236"/>
      <c r="I279" s="97">
        <v>0</v>
      </c>
      <c r="K279" s="94"/>
      <c r="M279" s="98"/>
    </row>
    <row r="280" spans="1:13" ht="18.75">
      <c r="A280" s="222" t="s">
        <v>1298</v>
      </c>
      <c r="B280" s="101" t="s">
        <v>654</v>
      </c>
      <c r="C280" s="102" t="s">
        <v>1500</v>
      </c>
      <c r="D280" s="97">
        <f>+ROUND('Alimentazione CE Costi'!E306,2)</f>
        <v>338048</v>
      </c>
      <c r="E280" s="97">
        <f>+ROUND('Alimentazione CE Costi'!H306,2)</f>
        <v>338048</v>
      </c>
      <c r="F280" s="97">
        <f t="shared" si="57"/>
        <v>0</v>
      </c>
      <c r="G280" s="60"/>
      <c r="H280" s="236"/>
      <c r="I280" s="97">
        <v>0</v>
      </c>
      <c r="K280" s="94"/>
      <c r="M280" s="98"/>
    </row>
    <row r="281" spans="1:13" ht="18.75">
      <c r="A281" s="222"/>
      <c r="B281" s="101" t="s">
        <v>655</v>
      </c>
      <c r="C281" s="102" t="s">
        <v>1501</v>
      </c>
      <c r="D281" s="97">
        <f>+ROUND('Alimentazione CE Costi'!E308+'Alimentazione CE Costi'!E309+'Alimentazione CE Costi'!E310+'Alimentazione CE Costi'!E311,2)</f>
        <v>7709000</v>
      </c>
      <c r="E281" s="97">
        <f>+ROUND('Alimentazione CE Costi'!H308+'Alimentazione CE Costi'!H309+'Alimentazione CE Costi'!H310+'Alimentazione CE Costi'!H311,2)</f>
        <v>8688000</v>
      </c>
      <c r="F281" s="97">
        <f t="shared" si="57"/>
        <v>-979000</v>
      </c>
      <c r="G281" s="60"/>
      <c r="H281" s="236"/>
      <c r="I281" s="97">
        <v>706000</v>
      </c>
      <c r="K281" s="94"/>
      <c r="M281" s="98"/>
    </row>
    <row r="282" spans="1:13" ht="25.5">
      <c r="A282" s="222"/>
      <c r="B282" s="154" t="s">
        <v>660</v>
      </c>
      <c r="C282" s="155" t="s">
        <v>1502</v>
      </c>
      <c r="D282" s="142">
        <f t="shared" ref="D282" si="78">+D283+D286+D288+D289+D290+D287</f>
        <v>60260735</v>
      </c>
      <c r="E282" s="142">
        <f t="shared" ref="E282" si="79">+E283+E286+E288+E289+E290+E287</f>
        <v>48718137</v>
      </c>
      <c r="F282" s="142">
        <f t="shared" ref="F282:F345" si="80">+D282-E282</f>
        <v>11542598</v>
      </c>
      <c r="G282" s="60" t="s">
        <v>1838</v>
      </c>
      <c r="H282" s="236"/>
      <c r="I282" s="142">
        <v>0</v>
      </c>
      <c r="K282" s="94"/>
      <c r="M282" s="98"/>
    </row>
    <row r="283" spans="1:13" ht="25.5">
      <c r="A283" s="222" t="s">
        <v>1253</v>
      </c>
      <c r="B283" s="146" t="s">
        <v>661</v>
      </c>
      <c r="C283" s="147" t="s">
        <v>1503</v>
      </c>
      <c r="D283" s="145">
        <f t="shared" ref="D283" si="81">+D284+D285</f>
        <v>0</v>
      </c>
      <c r="E283" s="145">
        <f t="shared" ref="E283" si="82">+E284+E285</f>
        <v>0</v>
      </c>
      <c r="F283" s="145">
        <f t="shared" si="80"/>
        <v>0</v>
      </c>
      <c r="G283" s="60" t="s">
        <v>1838</v>
      </c>
      <c r="H283" s="236"/>
      <c r="I283" s="145">
        <v>0</v>
      </c>
      <c r="K283" s="94"/>
      <c r="M283" s="98"/>
    </row>
    <row r="284" spans="1:13" ht="18.75">
      <c r="A284" s="224" t="s">
        <v>1253</v>
      </c>
      <c r="B284" s="103" t="s">
        <v>663</v>
      </c>
      <c r="C284" s="104" t="s">
        <v>1504</v>
      </c>
      <c r="D284" s="97">
        <f>+ROUND('Alimentazione CE Costi'!E315,2)</f>
        <v>0</v>
      </c>
      <c r="E284" s="97">
        <f>+ROUND('Alimentazione CE Costi'!H315,2)</f>
        <v>0</v>
      </c>
      <c r="F284" s="97">
        <f t="shared" si="80"/>
        <v>0</v>
      </c>
      <c r="G284" s="350"/>
      <c r="H284" s="236"/>
      <c r="I284" s="97">
        <v>0</v>
      </c>
      <c r="K284" s="94"/>
      <c r="M284" s="98"/>
    </row>
    <row r="285" spans="1:13" ht="25.5">
      <c r="A285" s="224" t="s">
        <v>1253</v>
      </c>
      <c r="B285" s="103" t="s">
        <v>664</v>
      </c>
      <c r="C285" s="104" t="s">
        <v>1505</v>
      </c>
      <c r="D285" s="97">
        <f>+ROUND('Alimentazione CE Costi'!E317,2)</f>
        <v>0</v>
      </c>
      <c r="E285" s="97">
        <f>+ROUND('Alimentazione CE Costi'!H317,2)</f>
        <v>0</v>
      </c>
      <c r="F285" s="97">
        <f t="shared" si="80"/>
        <v>0</v>
      </c>
      <c r="G285" s="350"/>
      <c r="H285" s="236"/>
      <c r="I285" s="97">
        <v>0</v>
      </c>
      <c r="K285" s="94"/>
      <c r="M285" s="98"/>
    </row>
    <row r="286" spans="1:13" ht="25.5">
      <c r="A286" s="222"/>
      <c r="B286" s="101" t="s">
        <v>665</v>
      </c>
      <c r="C286" s="102" t="s">
        <v>1506</v>
      </c>
      <c r="D286" s="97">
        <f>+ROUND('Alimentazione CE Costi'!E319+'Alimentazione CE Costi'!E320+'Alimentazione CE Costi'!E321+'Alimentazione CE Costi'!E322,2)</f>
        <v>28916502</v>
      </c>
      <c r="E286" s="97">
        <f>+ROUND('Alimentazione CE Costi'!H319+'Alimentazione CE Costi'!H320+'Alimentazione CE Costi'!H321+'Alimentazione CE Costi'!H322,2)</f>
        <v>16610000</v>
      </c>
      <c r="F286" s="97">
        <f t="shared" si="80"/>
        <v>12306502</v>
      </c>
      <c r="G286" s="60"/>
      <c r="H286" s="236"/>
      <c r="I286" s="97">
        <v>0</v>
      </c>
      <c r="K286" s="94"/>
      <c r="M286" s="98"/>
    </row>
    <row r="287" spans="1:13" ht="38.25">
      <c r="A287" s="222" t="s">
        <v>1298</v>
      </c>
      <c r="B287" s="101" t="s">
        <v>670</v>
      </c>
      <c r="C287" s="102" t="s">
        <v>1507</v>
      </c>
      <c r="D287" s="97">
        <f>+ROUND('Alimentazione CE Costi'!E324,2)</f>
        <v>85233</v>
      </c>
      <c r="E287" s="97">
        <f>+ROUND('Alimentazione CE Costi'!H324,2)</f>
        <v>85233</v>
      </c>
      <c r="F287" s="97">
        <f t="shared" si="80"/>
        <v>0</v>
      </c>
      <c r="G287" s="60"/>
      <c r="H287" s="236"/>
      <c r="I287" s="97">
        <v>0</v>
      </c>
      <c r="K287" s="94"/>
      <c r="M287" s="98"/>
    </row>
    <row r="288" spans="1:13" ht="25.5">
      <c r="A288" s="222" t="s">
        <v>1302</v>
      </c>
      <c r="B288" s="101" t="s">
        <v>671</v>
      </c>
      <c r="C288" s="102" t="s">
        <v>1508</v>
      </c>
      <c r="D288" s="97">
        <f>+ROUND('Alimentazione CE Costi'!E326+'Alimentazione CE Costi'!E327+'Alimentazione CE Costi'!E328,2)</f>
        <v>283000</v>
      </c>
      <c r="E288" s="97">
        <f>+ROUND('Alimentazione CE Costi'!H326+'Alimentazione CE Costi'!H327+'Alimentazione CE Costi'!H328,2)</f>
        <v>318904</v>
      </c>
      <c r="F288" s="97">
        <f t="shared" si="80"/>
        <v>-35904</v>
      </c>
      <c r="G288" s="60"/>
      <c r="H288" s="236"/>
      <c r="I288" s="97">
        <v>0</v>
      </c>
      <c r="K288" s="94"/>
      <c r="M288" s="98"/>
    </row>
    <row r="289" spans="1:13" ht="18.75">
      <c r="A289" s="222"/>
      <c r="B289" s="101" t="s">
        <v>672</v>
      </c>
      <c r="C289" s="102" t="s">
        <v>1509</v>
      </c>
      <c r="D289" s="97">
        <f>+ROUND('Alimentazione CE Costi'!E330+'Alimentazione CE Costi'!E331+'Alimentazione CE Costi'!E332+'Alimentazione CE Costi'!E333+'Alimentazione CE Costi'!E334+'Alimentazione CE Costi'!E335+'Alimentazione CE Costi'!E336+'Alimentazione CE Costi'!E337,2)</f>
        <v>29867000</v>
      </c>
      <c r="E289" s="97">
        <f>+ROUND('Alimentazione CE Costi'!H330+'Alimentazione CE Costi'!H331+'Alimentazione CE Costi'!H332+'Alimentazione CE Costi'!H333+'Alimentazione CE Costi'!H334+'Alimentazione CE Costi'!H335+'Alimentazione CE Costi'!H336+'Alimentazione CE Costi'!H337,2)</f>
        <v>30461000</v>
      </c>
      <c r="F289" s="97">
        <f t="shared" si="80"/>
        <v>-594000</v>
      </c>
      <c r="G289" s="60"/>
      <c r="H289" s="236"/>
      <c r="I289" s="97">
        <v>0</v>
      </c>
      <c r="K289" s="94"/>
      <c r="M289" s="98"/>
    </row>
    <row r="290" spans="1:13" ht="18.75">
      <c r="A290" s="222"/>
      <c r="B290" s="101" t="s">
        <v>677</v>
      </c>
      <c r="C290" s="102" t="s">
        <v>1510</v>
      </c>
      <c r="D290" s="97">
        <f>+ROUND('Alimentazione CE Costi'!E339+'Alimentazione CE Costi'!E340,2)</f>
        <v>1109000</v>
      </c>
      <c r="E290" s="97">
        <f>+ROUND('Alimentazione CE Costi'!H339+'Alimentazione CE Costi'!H340,2)</f>
        <v>1243000</v>
      </c>
      <c r="F290" s="97">
        <f t="shared" si="80"/>
        <v>-134000</v>
      </c>
      <c r="G290" s="60"/>
      <c r="H290" s="236"/>
      <c r="I290" s="97">
        <v>0</v>
      </c>
      <c r="K290" s="94"/>
      <c r="M290" s="98"/>
    </row>
    <row r="291" spans="1:13" ht="25.5">
      <c r="A291" s="226"/>
      <c r="B291" s="154" t="s">
        <v>679</v>
      </c>
      <c r="C291" s="155" t="s">
        <v>1511</v>
      </c>
      <c r="D291" s="142">
        <f t="shared" ref="D291" si="83">SUM(D292:D298)</f>
        <v>6156000</v>
      </c>
      <c r="E291" s="142">
        <f t="shared" ref="E291" si="84">SUM(E292:E298)</f>
        <v>6156000</v>
      </c>
      <c r="F291" s="142">
        <f t="shared" si="80"/>
        <v>0</v>
      </c>
      <c r="G291" s="60" t="s">
        <v>1838</v>
      </c>
      <c r="H291" s="236"/>
      <c r="I291" s="142">
        <v>5324000</v>
      </c>
      <c r="K291" s="94"/>
      <c r="M291" s="98"/>
    </row>
    <row r="292" spans="1:13" ht="25.5">
      <c r="A292" s="222"/>
      <c r="B292" s="101" t="s">
        <v>681</v>
      </c>
      <c r="C292" s="102" t="s">
        <v>1512</v>
      </c>
      <c r="D292" s="97">
        <f>+ROUND('Alimentazione CE Costi'!E343,2)</f>
        <v>458000</v>
      </c>
      <c r="E292" s="97">
        <f>+ROUND('Alimentazione CE Costi'!H343,2)</f>
        <v>458000</v>
      </c>
      <c r="F292" s="97">
        <f t="shared" si="80"/>
        <v>0</v>
      </c>
      <c r="G292" s="60"/>
      <c r="H292" s="236"/>
      <c r="I292" s="97">
        <v>458000</v>
      </c>
      <c r="K292" s="94"/>
      <c r="M292" s="98"/>
    </row>
    <row r="293" spans="1:13" ht="25.5">
      <c r="A293" s="222"/>
      <c r="B293" s="101" t="s">
        <v>683</v>
      </c>
      <c r="C293" s="102" t="s">
        <v>1513</v>
      </c>
      <c r="D293" s="97">
        <f>+ROUND('Alimentazione CE Costi'!E345,2)</f>
        <v>4387000</v>
      </c>
      <c r="E293" s="97">
        <f>+ROUND('Alimentazione CE Costi'!H345,2)</f>
        <v>4387000</v>
      </c>
      <c r="F293" s="97">
        <f t="shared" si="80"/>
        <v>0</v>
      </c>
      <c r="G293" s="60"/>
      <c r="H293" s="236"/>
      <c r="I293" s="97">
        <v>3887000</v>
      </c>
      <c r="K293" s="94"/>
      <c r="M293" s="98"/>
    </row>
    <row r="294" spans="1:13" ht="25.5">
      <c r="A294" s="222"/>
      <c r="B294" s="101" t="s">
        <v>685</v>
      </c>
      <c r="C294" s="102" t="s">
        <v>1514</v>
      </c>
      <c r="D294" s="97">
        <f>+ROUND('Alimentazione CE Costi'!E347,2)</f>
        <v>0</v>
      </c>
      <c r="E294" s="97">
        <f>+ROUND('Alimentazione CE Costi'!H347,2)</f>
        <v>0</v>
      </c>
      <c r="F294" s="97">
        <f t="shared" si="80"/>
        <v>0</v>
      </c>
      <c r="G294" s="60"/>
      <c r="H294" s="236"/>
      <c r="I294" s="97">
        <v>0</v>
      </c>
      <c r="K294" s="94"/>
      <c r="M294" s="98"/>
    </row>
    <row r="295" spans="1:13" ht="38.25">
      <c r="A295" s="222"/>
      <c r="B295" s="101" t="s">
        <v>686</v>
      </c>
      <c r="C295" s="102" t="s">
        <v>1515</v>
      </c>
      <c r="D295" s="97">
        <f>+ROUND('Alimentazione CE Costi'!E349+'Alimentazione CE Costi'!E350+'Alimentazione CE Costi'!E351+'Alimentazione CE Costi'!E352,2)</f>
        <v>479000</v>
      </c>
      <c r="E295" s="97">
        <f>+ROUND('Alimentazione CE Costi'!H349+'Alimentazione CE Costi'!H350+'Alimentazione CE Costi'!H351+'Alimentazione CE Costi'!H352,2)</f>
        <v>479000</v>
      </c>
      <c r="F295" s="97">
        <f t="shared" si="80"/>
        <v>0</v>
      </c>
      <c r="G295" s="60"/>
      <c r="H295" s="236"/>
      <c r="I295" s="97">
        <v>379000</v>
      </c>
      <c r="K295" s="94"/>
      <c r="M295" s="98"/>
    </row>
    <row r="296" spans="1:13" ht="51">
      <c r="A296" s="222" t="s">
        <v>1253</v>
      </c>
      <c r="B296" s="101" t="s">
        <v>690</v>
      </c>
      <c r="C296" s="102" t="s">
        <v>1516</v>
      </c>
      <c r="D296" s="97">
        <f>+ROUND('Alimentazione CE Costi'!E354+'Alimentazione CE Costi'!E355+'Alimentazione CE Costi'!E356+'Alimentazione CE Costi'!E357,2)</f>
        <v>0</v>
      </c>
      <c r="E296" s="97">
        <f>+ROUND('Alimentazione CE Costi'!H354+'Alimentazione CE Costi'!H355+'Alimentazione CE Costi'!H356+'Alimentazione CE Costi'!H357,2)</f>
        <v>0</v>
      </c>
      <c r="F296" s="97">
        <f t="shared" si="80"/>
        <v>0</v>
      </c>
      <c r="G296" s="60"/>
      <c r="H296" s="236"/>
      <c r="I296" s="97">
        <v>0</v>
      </c>
      <c r="K296" s="94"/>
      <c r="M296" s="98"/>
    </row>
    <row r="297" spans="1:13" ht="25.5">
      <c r="A297" s="222"/>
      <c r="B297" s="101" t="s">
        <v>691</v>
      </c>
      <c r="C297" s="102" t="s">
        <v>1517</v>
      </c>
      <c r="D297" s="97">
        <f>+ROUND(SUM('Alimentazione CE Costi'!E359:E369),2)</f>
        <v>832000</v>
      </c>
      <c r="E297" s="97">
        <f>+ROUND(SUM('Alimentazione CE Costi'!H359:H369),2)</f>
        <v>832000</v>
      </c>
      <c r="F297" s="97">
        <f t="shared" si="80"/>
        <v>0</v>
      </c>
      <c r="G297" s="60"/>
      <c r="H297" s="236"/>
      <c r="I297" s="97">
        <v>600000</v>
      </c>
      <c r="K297" s="94"/>
      <c r="M297" s="98"/>
    </row>
    <row r="298" spans="1:13" ht="38.25">
      <c r="A298" s="222" t="s">
        <v>1253</v>
      </c>
      <c r="B298" s="101" t="s">
        <v>698</v>
      </c>
      <c r="C298" s="102" t="s">
        <v>1518</v>
      </c>
      <c r="D298" s="97">
        <f>+ROUND(SUM('Alimentazione CE Costi'!E371:E379),2)</f>
        <v>0</v>
      </c>
      <c r="E298" s="97">
        <f>+ROUND(SUM('Alimentazione CE Costi'!H371:H379),2)</f>
        <v>0</v>
      </c>
      <c r="F298" s="97">
        <f t="shared" si="80"/>
        <v>0</v>
      </c>
      <c r="G298" s="60"/>
      <c r="H298" s="236"/>
      <c r="I298" s="97">
        <v>0</v>
      </c>
      <c r="K298" s="94"/>
      <c r="M298" s="98"/>
    </row>
    <row r="299" spans="1:13" ht="18.75">
      <c r="A299" s="222"/>
      <c r="B299" s="154" t="s">
        <v>699</v>
      </c>
      <c r="C299" s="155" t="s">
        <v>1519</v>
      </c>
      <c r="D299" s="142">
        <f t="shared" ref="D299" si="85">SUM(D300:D306)</f>
        <v>4709090</v>
      </c>
      <c r="E299" s="142">
        <f t="shared" ref="E299" si="86">SUM(E300:E306)</f>
        <v>9266510</v>
      </c>
      <c r="F299" s="142">
        <f t="shared" si="80"/>
        <v>-4557420</v>
      </c>
      <c r="G299" s="60" t="s">
        <v>1838</v>
      </c>
      <c r="H299" s="236"/>
      <c r="I299" s="142">
        <v>0</v>
      </c>
      <c r="K299" s="94"/>
      <c r="M299" s="98"/>
    </row>
    <row r="300" spans="1:13" ht="18.75">
      <c r="A300" s="226"/>
      <c r="B300" s="101" t="s">
        <v>701</v>
      </c>
      <c r="C300" s="102" t="s">
        <v>1520</v>
      </c>
      <c r="D300" s="97">
        <f>+ROUND('Alimentazione CE Costi'!E382,2)</f>
        <v>208000</v>
      </c>
      <c r="E300" s="97">
        <f>+ROUND('Alimentazione CE Costi'!H382,2)</f>
        <v>234000</v>
      </c>
      <c r="F300" s="97">
        <f t="shared" si="80"/>
        <v>-26000</v>
      </c>
      <c r="G300" s="60"/>
      <c r="H300" s="236"/>
      <c r="I300" s="97">
        <v>0</v>
      </c>
      <c r="K300" s="94"/>
      <c r="M300" s="98"/>
    </row>
    <row r="301" spans="1:13" ht="18.75">
      <c r="A301" s="226"/>
      <c r="B301" s="101" t="s">
        <v>703</v>
      </c>
      <c r="C301" s="102" t="s">
        <v>1521</v>
      </c>
      <c r="D301" s="97">
        <f>+ROUND('Alimentazione CE Costi'!E384,2)</f>
        <v>22000</v>
      </c>
      <c r="E301" s="97">
        <f>+ROUND('Alimentazione CE Costi'!H384,2)</f>
        <v>50000</v>
      </c>
      <c r="F301" s="97">
        <f t="shared" si="80"/>
        <v>-28000</v>
      </c>
      <c r="G301" s="60"/>
      <c r="H301" s="236"/>
      <c r="I301" s="97">
        <v>0</v>
      </c>
      <c r="K301" s="94"/>
      <c r="M301" s="98"/>
    </row>
    <row r="302" spans="1:13" ht="25.5">
      <c r="A302" s="222"/>
      <c r="B302" s="101" t="s">
        <v>705</v>
      </c>
      <c r="C302" s="102" t="s">
        <v>1522</v>
      </c>
      <c r="D302" s="97">
        <f>+ROUND('Alimentazione CE Costi'!E386,2)</f>
        <v>0</v>
      </c>
      <c r="E302" s="97">
        <f>+ROUND('Alimentazione CE Costi'!H386,2)</f>
        <v>0</v>
      </c>
      <c r="F302" s="97">
        <f t="shared" si="80"/>
        <v>0</v>
      </c>
      <c r="G302" s="60"/>
      <c r="H302" s="236"/>
      <c r="I302" s="97">
        <v>0</v>
      </c>
      <c r="K302" s="94"/>
      <c r="M302" s="98"/>
    </row>
    <row r="303" spans="1:13" ht="18.75">
      <c r="A303" s="226"/>
      <c r="B303" s="101" t="s">
        <v>707</v>
      </c>
      <c r="C303" s="102" t="s">
        <v>1523</v>
      </c>
      <c r="D303" s="97">
        <f>+ROUND('Alimentazione CE Costi'!E388,2)</f>
        <v>55000</v>
      </c>
      <c r="E303" s="97">
        <f>+ROUND('Alimentazione CE Costi'!H388,2)</f>
        <v>72086</v>
      </c>
      <c r="F303" s="97">
        <f t="shared" si="80"/>
        <v>-17086</v>
      </c>
      <c r="G303" s="60"/>
      <c r="H303" s="236"/>
      <c r="I303" s="97">
        <v>0</v>
      </c>
      <c r="K303" s="94"/>
      <c r="M303" s="98"/>
    </row>
    <row r="304" spans="1:13" ht="18.75">
      <c r="A304" s="226"/>
      <c r="B304" s="101" t="s">
        <v>709</v>
      </c>
      <c r="C304" s="102" t="s">
        <v>1524</v>
      </c>
      <c r="D304" s="97">
        <f>+ROUND(SUM('Alimentazione CE Costi'!E390:E399),2)</f>
        <v>3030000</v>
      </c>
      <c r="E304" s="97">
        <f>+ROUND(SUM('Alimentazione CE Costi'!H390:H399),2)</f>
        <v>7512531</v>
      </c>
      <c r="F304" s="97">
        <f t="shared" si="80"/>
        <v>-4482531</v>
      </c>
      <c r="G304" s="60"/>
      <c r="H304" s="236"/>
      <c r="I304" s="97">
        <v>0</v>
      </c>
      <c r="K304" s="94"/>
      <c r="M304" s="98"/>
    </row>
    <row r="305" spans="1:13" ht="25.5">
      <c r="A305" s="226" t="s">
        <v>1253</v>
      </c>
      <c r="B305" s="101" t="s">
        <v>719</v>
      </c>
      <c r="C305" s="102" t="s">
        <v>1525</v>
      </c>
      <c r="D305" s="97">
        <f>+ROUND('Alimentazione CE Costi'!E401+'Alimentazione CE Costi'!E402,2)</f>
        <v>1394090</v>
      </c>
      <c r="E305" s="97">
        <f>+ROUND('Alimentazione CE Costi'!H401+'Alimentazione CE Costi'!H402,2)</f>
        <v>1397893</v>
      </c>
      <c r="F305" s="97">
        <f t="shared" si="80"/>
        <v>-3803</v>
      </c>
      <c r="G305" s="60"/>
      <c r="H305" s="236"/>
      <c r="I305" s="97">
        <v>0</v>
      </c>
      <c r="K305" s="94"/>
      <c r="M305" s="98"/>
    </row>
    <row r="306" spans="1:13" ht="18.75">
      <c r="A306" s="222" t="s">
        <v>1253</v>
      </c>
      <c r="B306" s="101" t="s">
        <v>723</v>
      </c>
      <c r="C306" s="102" t="s">
        <v>1526</v>
      </c>
      <c r="D306" s="97">
        <f>+ROUND('Alimentazione CE Costi'!E404,2)</f>
        <v>0</v>
      </c>
      <c r="E306" s="97">
        <f>+ROUND('Alimentazione CE Costi'!H404,2)</f>
        <v>0</v>
      </c>
      <c r="F306" s="97">
        <f t="shared" si="80"/>
        <v>0</v>
      </c>
      <c r="G306" s="60"/>
      <c r="H306" s="236"/>
      <c r="I306" s="97">
        <v>0</v>
      </c>
      <c r="K306" s="94"/>
      <c r="M306" s="98"/>
    </row>
    <row r="307" spans="1:13" ht="25.5">
      <c r="A307" s="222"/>
      <c r="B307" s="154" t="s">
        <v>724</v>
      </c>
      <c r="C307" s="155" t="s">
        <v>1527</v>
      </c>
      <c r="D307" s="142">
        <f t="shared" ref="D307" si="87">SUM(D308:D310,D317)</f>
        <v>12088265</v>
      </c>
      <c r="E307" s="142">
        <f t="shared" ref="E307" si="88">SUM(E308:E310,E317)</f>
        <v>11726909</v>
      </c>
      <c r="F307" s="142">
        <f t="shared" si="80"/>
        <v>361356</v>
      </c>
      <c r="G307" s="60" t="s">
        <v>1838</v>
      </c>
      <c r="H307" s="236"/>
      <c r="I307" s="142">
        <v>5441080</v>
      </c>
      <c r="K307" s="94"/>
      <c r="M307" s="98"/>
    </row>
    <row r="308" spans="1:13" ht="25.5">
      <c r="A308" s="224" t="s">
        <v>1253</v>
      </c>
      <c r="B308" s="101" t="s">
        <v>726</v>
      </c>
      <c r="C308" s="102" t="s">
        <v>1528</v>
      </c>
      <c r="D308" s="97">
        <f>+ROUND('Alimentazione CE Costi'!E407,2)</f>
        <v>52000</v>
      </c>
      <c r="E308" s="97">
        <f>+ROUND('Alimentazione CE Costi'!H407,2)</f>
        <v>52380</v>
      </c>
      <c r="F308" s="97">
        <f t="shared" si="80"/>
        <v>-380</v>
      </c>
      <c r="G308" s="350"/>
      <c r="H308" s="236"/>
      <c r="I308" s="97">
        <v>0</v>
      </c>
      <c r="K308" s="94"/>
      <c r="M308" s="98"/>
    </row>
    <row r="309" spans="1:13" ht="25.5">
      <c r="A309" s="224"/>
      <c r="B309" s="101" t="s">
        <v>728</v>
      </c>
      <c r="C309" s="102" t="s">
        <v>1529</v>
      </c>
      <c r="D309" s="97">
        <f>+ROUND('Alimentazione CE Costi'!E409,2)</f>
        <v>0</v>
      </c>
      <c r="E309" s="97">
        <f>+ROUND('Alimentazione CE Costi'!H409,2)</f>
        <v>0</v>
      </c>
      <c r="F309" s="97">
        <f t="shared" si="80"/>
        <v>0</v>
      </c>
      <c r="G309" s="350"/>
      <c r="H309" s="236"/>
      <c r="I309" s="97">
        <v>0</v>
      </c>
      <c r="K309" s="94"/>
      <c r="M309" s="98"/>
    </row>
    <row r="310" spans="1:13" ht="25.5">
      <c r="A310" s="224"/>
      <c r="B310" s="146" t="s">
        <v>729</v>
      </c>
      <c r="C310" s="147" t="s">
        <v>1530</v>
      </c>
      <c r="D310" s="145">
        <f t="shared" ref="D310" si="89">SUM(D311:D316)</f>
        <v>11973265</v>
      </c>
      <c r="E310" s="145">
        <f t="shared" ref="E310" si="90">SUM(E311:E316)</f>
        <v>11600919</v>
      </c>
      <c r="F310" s="145">
        <f t="shared" si="80"/>
        <v>372346</v>
      </c>
      <c r="G310" s="60" t="s">
        <v>1838</v>
      </c>
      <c r="H310" s="236"/>
      <c r="I310" s="145">
        <v>5441080</v>
      </c>
      <c r="K310" s="94"/>
      <c r="M310" s="98"/>
    </row>
    <row r="311" spans="1:13" ht="25.5">
      <c r="A311" s="224"/>
      <c r="B311" s="103" t="s">
        <v>731</v>
      </c>
      <c r="C311" s="104" t="s">
        <v>1531</v>
      </c>
      <c r="D311" s="97">
        <f>+ROUND('Alimentazione CE Costi'!E412,2)</f>
        <v>3303900</v>
      </c>
      <c r="E311" s="97">
        <f>+ROUND('Alimentazione CE Costi'!H412,2)</f>
        <v>2230656</v>
      </c>
      <c r="F311" s="97">
        <f t="shared" si="80"/>
        <v>1073244</v>
      </c>
      <c r="G311" s="350"/>
      <c r="H311" s="236"/>
      <c r="I311" s="97">
        <v>0</v>
      </c>
      <c r="K311" s="94"/>
      <c r="M311" s="98"/>
    </row>
    <row r="312" spans="1:13" ht="25.5">
      <c r="A312" s="224"/>
      <c r="B312" s="103" t="s">
        <v>732</v>
      </c>
      <c r="C312" s="104" t="s">
        <v>1532</v>
      </c>
      <c r="D312" s="97">
        <f>+ROUND('Alimentazione CE Costi'!E414+'Alimentazione CE Costi'!E416+'Alimentazione CE Costi'!E415,2)</f>
        <v>1327650</v>
      </c>
      <c r="E312" s="97">
        <f>+ROUND('Alimentazione CE Costi'!H414+'Alimentazione CE Costi'!H416+'Alimentazione CE Costi'!H415,2)</f>
        <v>1082417</v>
      </c>
      <c r="F312" s="97">
        <f t="shared" si="80"/>
        <v>245233</v>
      </c>
      <c r="G312" s="350"/>
      <c r="H312" s="236"/>
      <c r="I312" s="97">
        <v>0</v>
      </c>
      <c r="K312" s="94"/>
      <c r="M312" s="98"/>
    </row>
    <row r="313" spans="1:13" ht="25.5">
      <c r="A313" s="224"/>
      <c r="B313" s="103" t="s">
        <v>736</v>
      </c>
      <c r="C313" s="104" t="s">
        <v>1533</v>
      </c>
      <c r="D313" s="97">
        <f>+ROUND('Alimentazione CE Costi'!E418+'Alimentazione CE Costi'!E419+'Alimentazione CE Costi'!E420+'Alimentazione CE Costi'!E421,2)</f>
        <v>1472529</v>
      </c>
      <c r="E313" s="97">
        <f>+ROUND('Alimentazione CE Costi'!H418+'Alimentazione CE Costi'!H419+'Alimentazione CE Costi'!H420+'Alimentazione CE Costi'!H421,2)</f>
        <v>1908000</v>
      </c>
      <c r="F313" s="97">
        <f t="shared" si="80"/>
        <v>-435471</v>
      </c>
      <c r="G313" s="350"/>
      <c r="H313" s="236"/>
      <c r="I313" s="97">
        <v>526293</v>
      </c>
      <c r="K313" s="94"/>
      <c r="M313" s="98"/>
    </row>
    <row r="314" spans="1:13" ht="25.5">
      <c r="A314" s="224"/>
      <c r="B314" s="103" t="s">
        <v>741</v>
      </c>
      <c r="C314" s="104" t="s">
        <v>1534</v>
      </c>
      <c r="D314" s="97">
        <f>+ROUND(SUM('Alimentazione CE Costi'!E423:E428),2)</f>
        <v>5146872</v>
      </c>
      <c r="E314" s="97">
        <f>+ROUND(SUM('Alimentazione CE Costi'!H423:H428),2)</f>
        <v>5172846</v>
      </c>
      <c r="F314" s="97">
        <f t="shared" si="80"/>
        <v>-25974</v>
      </c>
      <c r="G314" s="350"/>
      <c r="H314" s="236"/>
      <c r="I314" s="97">
        <v>4646872</v>
      </c>
      <c r="K314" s="94"/>
      <c r="M314" s="98"/>
    </row>
    <row r="315" spans="1:13" ht="18.75">
      <c r="A315" s="224"/>
      <c r="B315" s="103" t="s">
        <v>742</v>
      </c>
      <c r="C315" s="104" t="s">
        <v>1535</v>
      </c>
      <c r="D315" s="97">
        <f>+ROUND('Alimentazione CE Costi'!E430,2)</f>
        <v>91314</v>
      </c>
      <c r="E315" s="97">
        <f>+ROUND('Alimentazione CE Costi'!H430,2)</f>
        <v>234000</v>
      </c>
      <c r="F315" s="97">
        <f t="shared" si="80"/>
        <v>-142686</v>
      </c>
      <c r="G315" s="350"/>
      <c r="H315" s="236"/>
      <c r="I315" s="97">
        <v>0</v>
      </c>
      <c r="K315" s="94"/>
      <c r="M315" s="98"/>
    </row>
    <row r="316" spans="1:13" ht="25.5">
      <c r="A316" s="224"/>
      <c r="B316" s="103" t="s">
        <v>743</v>
      </c>
      <c r="C316" s="104" t="s">
        <v>1536</v>
      </c>
      <c r="D316" s="97">
        <f>+ROUND(SUM('Alimentazione CE Costi'!E432:E440),2)</f>
        <v>631000</v>
      </c>
      <c r="E316" s="97">
        <f>+ROUND(SUM('Alimentazione CE Costi'!H432:H440),2)</f>
        <v>973000</v>
      </c>
      <c r="F316" s="97">
        <f t="shared" si="80"/>
        <v>-342000</v>
      </c>
      <c r="G316" s="350"/>
      <c r="H316" s="236"/>
      <c r="I316" s="97">
        <v>267915</v>
      </c>
      <c r="K316" s="94"/>
      <c r="M316" s="98"/>
    </row>
    <row r="317" spans="1:13" ht="25.5">
      <c r="A317" s="224"/>
      <c r="B317" s="146" t="s">
        <v>752</v>
      </c>
      <c r="C317" s="147" t="s">
        <v>1537</v>
      </c>
      <c r="D317" s="145">
        <f t="shared" ref="D317" si="91">SUM(D318:D320)</f>
        <v>63000</v>
      </c>
      <c r="E317" s="145">
        <f t="shared" ref="E317" si="92">SUM(E318:E320)</f>
        <v>73610</v>
      </c>
      <c r="F317" s="145">
        <f t="shared" si="80"/>
        <v>-10610</v>
      </c>
      <c r="G317" s="60" t="s">
        <v>1838</v>
      </c>
      <c r="H317" s="236"/>
      <c r="I317" s="145">
        <v>0</v>
      </c>
      <c r="K317" s="94"/>
      <c r="M317" s="98"/>
    </row>
    <row r="318" spans="1:13" ht="25.5">
      <c r="A318" s="224" t="s">
        <v>1253</v>
      </c>
      <c r="B318" s="103" t="s">
        <v>754</v>
      </c>
      <c r="C318" s="104" t="s">
        <v>1538</v>
      </c>
      <c r="D318" s="97">
        <f>+ROUND('Alimentazione CE Costi'!E443,2)</f>
        <v>32000</v>
      </c>
      <c r="E318" s="97">
        <f>+ROUND('Alimentazione CE Costi'!H443,2)</f>
        <v>40610</v>
      </c>
      <c r="F318" s="97">
        <f t="shared" si="80"/>
        <v>-8610</v>
      </c>
      <c r="G318" s="350"/>
      <c r="H318" s="236"/>
      <c r="I318" s="97">
        <v>0</v>
      </c>
      <c r="K318" s="94"/>
      <c r="M318" s="98"/>
    </row>
    <row r="319" spans="1:13" ht="25.5">
      <c r="A319" s="224"/>
      <c r="B319" s="103" t="s">
        <v>756</v>
      </c>
      <c r="C319" s="104" t="s">
        <v>1539</v>
      </c>
      <c r="D319" s="97">
        <f>+ROUND('Alimentazione CE Costi'!E445,2)</f>
        <v>0</v>
      </c>
      <c r="E319" s="97">
        <f>+ROUND('Alimentazione CE Costi'!H445,2)</f>
        <v>0</v>
      </c>
      <c r="F319" s="97">
        <f t="shared" si="80"/>
        <v>0</v>
      </c>
      <c r="G319" s="350"/>
      <c r="H319" s="236"/>
      <c r="I319" s="97">
        <v>0</v>
      </c>
      <c r="K319" s="94"/>
      <c r="M319" s="98"/>
    </row>
    <row r="320" spans="1:13" ht="25.5">
      <c r="A320" s="224" t="s">
        <v>1302</v>
      </c>
      <c r="B320" s="103" t="s">
        <v>758</v>
      </c>
      <c r="C320" s="104" t="s">
        <v>1540</v>
      </c>
      <c r="D320" s="97">
        <f>+ROUND('Alimentazione CE Costi'!E447,2)</f>
        <v>31000</v>
      </c>
      <c r="E320" s="97">
        <f>+ROUND('Alimentazione CE Costi'!H447,2)</f>
        <v>33000</v>
      </c>
      <c r="F320" s="97">
        <f t="shared" si="80"/>
        <v>-2000</v>
      </c>
      <c r="G320" s="350"/>
      <c r="H320" s="236"/>
      <c r="I320" s="97">
        <v>0</v>
      </c>
      <c r="K320" s="94"/>
      <c r="M320" s="98"/>
    </row>
    <row r="321" spans="1:13" ht="25.5">
      <c r="A321" s="224"/>
      <c r="B321" s="154" t="s">
        <v>759</v>
      </c>
      <c r="C321" s="155" t="s">
        <v>1541</v>
      </c>
      <c r="D321" s="142">
        <f t="shared" ref="D321" si="93">SUM(D322:D328)</f>
        <v>9012090</v>
      </c>
      <c r="E321" s="142">
        <f t="shared" ref="E321" si="94">SUM(E322:E328)</f>
        <v>10006283</v>
      </c>
      <c r="F321" s="142">
        <f t="shared" si="80"/>
        <v>-994193</v>
      </c>
      <c r="G321" s="60" t="s">
        <v>1838</v>
      </c>
      <c r="H321" s="236"/>
      <c r="I321" s="142">
        <v>3468669</v>
      </c>
      <c r="K321" s="94"/>
      <c r="M321" s="98"/>
    </row>
    <row r="322" spans="1:13" ht="38.25">
      <c r="A322" s="228" t="s">
        <v>1253</v>
      </c>
      <c r="B322" s="101" t="s">
        <v>761</v>
      </c>
      <c r="C322" s="102" t="s">
        <v>1542</v>
      </c>
      <c r="D322" s="97">
        <f>+ROUND('Alimentazione CE Costi'!E450,2)</f>
        <v>127175</v>
      </c>
      <c r="E322" s="97">
        <f>+ROUND('Alimentazione CE Costi'!H450,2)</f>
        <v>127368</v>
      </c>
      <c r="F322" s="97">
        <f t="shared" si="80"/>
        <v>-193</v>
      </c>
      <c r="G322" s="350"/>
      <c r="H322" s="236"/>
      <c r="I322" s="97">
        <v>0</v>
      </c>
      <c r="K322" s="94"/>
      <c r="M322" s="98"/>
    </row>
    <row r="323" spans="1:13" ht="25.5">
      <c r="A323" s="224"/>
      <c r="B323" s="101" t="s">
        <v>763</v>
      </c>
      <c r="C323" s="102" t="s">
        <v>1543</v>
      </c>
      <c r="D323" s="97">
        <f>+ROUND('Alimentazione CE Costi'!E452,2)</f>
        <v>0</v>
      </c>
      <c r="E323" s="97">
        <f>+ROUND('Alimentazione CE Costi'!H452,2)</f>
        <v>0</v>
      </c>
      <c r="F323" s="97">
        <f t="shared" si="80"/>
        <v>0</v>
      </c>
      <c r="G323" s="350"/>
      <c r="H323" s="236"/>
      <c r="I323" s="97">
        <v>0</v>
      </c>
      <c r="K323" s="94"/>
      <c r="M323" s="98"/>
    </row>
    <row r="324" spans="1:13" ht="25.5">
      <c r="A324" s="224" t="s">
        <v>1302</v>
      </c>
      <c r="B324" s="101" t="s">
        <v>765</v>
      </c>
      <c r="C324" s="102" t="s">
        <v>1544</v>
      </c>
      <c r="D324" s="97">
        <f>+ROUND('Alimentazione CE Costi'!E454,2)</f>
        <v>0</v>
      </c>
      <c r="E324" s="97">
        <f>+ROUND('Alimentazione CE Costi'!H454,2)</f>
        <v>0</v>
      </c>
      <c r="F324" s="97">
        <f t="shared" si="80"/>
        <v>0</v>
      </c>
      <c r="G324" s="350"/>
      <c r="H324" s="236"/>
      <c r="I324" s="97">
        <v>0</v>
      </c>
      <c r="K324" s="94"/>
      <c r="M324" s="98"/>
    </row>
    <row r="325" spans="1:13" ht="18.75">
      <c r="A325" s="228"/>
      <c r="B325" s="101" t="s">
        <v>767</v>
      </c>
      <c r="C325" s="102" t="s">
        <v>1545</v>
      </c>
      <c r="D325" s="97">
        <f>+ROUND('Alimentazione CE Costi'!E456+'Alimentazione CE Costi'!E457+'Alimentazione CE Costi'!E458,2)</f>
        <v>7864000</v>
      </c>
      <c r="E325" s="97">
        <f>+ROUND('Alimentazione CE Costi'!H456+'Alimentazione CE Costi'!H457+'Alimentazione CE Costi'!H458,2)</f>
        <v>8858000</v>
      </c>
      <c r="F325" s="97">
        <f t="shared" si="80"/>
        <v>-994000</v>
      </c>
      <c r="G325" s="350"/>
      <c r="H325" s="236"/>
      <c r="I325" s="97">
        <v>3468669</v>
      </c>
      <c r="K325" s="94"/>
      <c r="M325" s="98"/>
    </row>
    <row r="326" spans="1:13" ht="25.5">
      <c r="A326" s="226"/>
      <c r="B326" s="101" t="s">
        <v>770</v>
      </c>
      <c r="C326" s="102" t="s">
        <v>1546</v>
      </c>
      <c r="D326" s="97">
        <f>+ROUND('Alimentazione CE Costi'!E460,2)</f>
        <v>1020915</v>
      </c>
      <c r="E326" s="97">
        <f>+ROUND('Alimentazione CE Costi'!H460,2)</f>
        <v>1020915</v>
      </c>
      <c r="F326" s="97">
        <f t="shared" si="80"/>
        <v>0</v>
      </c>
      <c r="G326" s="60"/>
      <c r="H326" s="236"/>
      <c r="I326" s="97">
        <v>0</v>
      </c>
      <c r="K326" s="94"/>
      <c r="M326" s="98"/>
    </row>
    <row r="327" spans="1:13" ht="25.5">
      <c r="A327" s="226" t="s">
        <v>1253</v>
      </c>
      <c r="B327" s="101" t="s">
        <v>772</v>
      </c>
      <c r="C327" s="102" t="s">
        <v>1547</v>
      </c>
      <c r="D327" s="97">
        <f>+ROUND('Alimentazione CE Costi'!E462,2)</f>
        <v>0</v>
      </c>
      <c r="E327" s="97">
        <f>+ROUND('Alimentazione CE Costi'!H462,2)</f>
        <v>0</v>
      </c>
      <c r="F327" s="97">
        <f t="shared" si="80"/>
        <v>0</v>
      </c>
      <c r="G327" s="60"/>
      <c r="H327" s="236"/>
      <c r="I327" s="97">
        <v>0</v>
      </c>
      <c r="K327" s="94"/>
      <c r="M327" s="98"/>
    </row>
    <row r="328" spans="1:13" ht="25.5">
      <c r="A328" s="226" t="s">
        <v>1302</v>
      </c>
      <c r="B328" s="101" t="s">
        <v>774</v>
      </c>
      <c r="C328" s="102" t="s">
        <v>1548</v>
      </c>
      <c r="D328" s="97">
        <f>+ROUND('Alimentazione CE Costi'!E464,2)</f>
        <v>0</v>
      </c>
      <c r="E328" s="97">
        <f>+ROUND('Alimentazione CE Costi'!H464,2)</f>
        <v>0</v>
      </c>
      <c r="F328" s="97">
        <f t="shared" si="80"/>
        <v>0</v>
      </c>
      <c r="G328" s="60"/>
      <c r="H328" s="236"/>
      <c r="I328" s="97">
        <v>0</v>
      </c>
      <c r="K328" s="94"/>
      <c r="M328" s="98"/>
    </row>
    <row r="329" spans="1:13" ht="25.5">
      <c r="A329" s="229" t="s">
        <v>1298</v>
      </c>
      <c r="B329" s="99" t="s">
        <v>775</v>
      </c>
      <c r="C329" s="100" t="s">
        <v>1549</v>
      </c>
      <c r="D329" s="97">
        <f>+ROUND('Alimentazione CE Costi'!E466,2)</f>
        <v>0</v>
      </c>
      <c r="E329" s="97">
        <f>+ROUND('Alimentazione CE Costi'!H466,2)</f>
        <v>0</v>
      </c>
      <c r="F329" s="97">
        <f t="shared" si="80"/>
        <v>0</v>
      </c>
      <c r="G329" s="60"/>
      <c r="H329" s="236"/>
      <c r="I329" s="97">
        <v>0</v>
      </c>
      <c r="K329" s="94"/>
      <c r="M329" s="98"/>
    </row>
    <row r="330" spans="1:13" ht="18.75">
      <c r="A330" s="226"/>
      <c r="B330" s="129" t="s">
        <v>777</v>
      </c>
      <c r="C330" s="130" t="s">
        <v>1550</v>
      </c>
      <c r="D330" s="128">
        <f t="shared" ref="D330" si="95">+D331+D351+D365</f>
        <v>74860107</v>
      </c>
      <c r="E330" s="128">
        <f t="shared" ref="E330" si="96">+E331+E351+E365</f>
        <v>85217418</v>
      </c>
      <c r="F330" s="128">
        <f t="shared" si="80"/>
        <v>-10357311</v>
      </c>
      <c r="G330" s="60" t="s">
        <v>1838</v>
      </c>
      <c r="H330" s="236"/>
      <c r="I330" s="128">
        <v>43213378</v>
      </c>
      <c r="K330" s="94"/>
      <c r="M330" s="98"/>
    </row>
    <row r="331" spans="1:13" ht="18.75">
      <c r="A331" s="222"/>
      <c r="B331" s="154" t="s">
        <v>778</v>
      </c>
      <c r="C331" s="155" t="s">
        <v>1551</v>
      </c>
      <c r="D331" s="142">
        <f t="shared" ref="D331" si="97">+D332+D333+D334+D337+D338+D339+D340+D341+D342+D343+D344+D347</f>
        <v>73533688</v>
      </c>
      <c r="E331" s="142">
        <f t="shared" ref="E331" si="98">+E332+E333+E334+E337+E338+E339+E340+E341+E342+E343+E344+E347</f>
        <v>82452183</v>
      </c>
      <c r="F331" s="142">
        <f t="shared" si="80"/>
        <v>-8918495</v>
      </c>
      <c r="G331" s="60" t="s">
        <v>1838</v>
      </c>
      <c r="H331" s="236"/>
      <c r="I331" s="142">
        <v>43213378</v>
      </c>
      <c r="K331" s="94"/>
      <c r="M331" s="98"/>
    </row>
    <row r="332" spans="1:13" ht="18.75">
      <c r="A332" s="222"/>
      <c r="B332" s="101" t="s">
        <v>780</v>
      </c>
      <c r="C332" s="102" t="s">
        <v>1552</v>
      </c>
      <c r="D332" s="97">
        <f>+ROUND('Alimentazione CE Costi'!E470,2)</f>
        <v>5844000</v>
      </c>
      <c r="E332" s="97">
        <f>+ROUND('Alimentazione CE Costi'!H470,2)</f>
        <v>6585000</v>
      </c>
      <c r="F332" s="97">
        <f t="shared" si="80"/>
        <v>-741000</v>
      </c>
      <c r="G332" s="60"/>
      <c r="H332" s="236"/>
      <c r="I332" s="97">
        <v>4838620</v>
      </c>
      <c r="K332" s="94"/>
      <c r="M332" s="98"/>
    </row>
    <row r="333" spans="1:13" ht="18.75">
      <c r="A333" s="222"/>
      <c r="B333" s="101" t="s">
        <v>782</v>
      </c>
      <c r="C333" s="102" t="s">
        <v>1553</v>
      </c>
      <c r="D333" s="97">
        <f>+ROUND('Alimentazione CE Costi'!E472,2)</f>
        <v>10196000</v>
      </c>
      <c r="E333" s="97">
        <f>+ROUND('Alimentazione CE Costi'!H472,2)</f>
        <v>11490000</v>
      </c>
      <c r="F333" s="97">
        <f t="shared" si="80"/>
        <v>-1294000</v>
      </c>
      <c r="G333" s="60"/>
      <c r="H333" s="236"/>
      <c r="I333" s="97">
        <v>5915332</v>
      </c>
      <c r="K333" s="94"/>
      <c r="M333" s="98"/>
    </row>
    <row r="334" spans="1:13" ht="18.75">
      <c r="A334" s="222"/>
      <c r="B334" s="146" t="s">
        <v>783</v>
      </c>
      <c r="C334" s="147" t="s">
        <v>1554</v>
      </c>
      <c r="D334" s="145">
        <f t="shared" ref="D334" si="99">+D335+D336</f>
        <v>8271000</v>
      </c>
      <c r="E334" s="145">
        <f t="shared" ref="E334" si="100">+E335+E336</f>
        <v>9320000</v>
      </c>
      <c r="F334" s="145">
        <f t="shared" si="80"/>
        <v>-1049000</v>
      </c>
      <c r="G334" s="60" t="s">
        <v>1838</v>
      </c>
      <c r="H334" s="236"/>
      <c r="I334" s="145">
        <v>6571000</v>
      </c>
      <c r="K334" s="94"/>
      <c r="M334" s="98"/>
    </row>
    <row r="335" spans="1:13" ht="18.75">
      <c r="A335" s="222"/>
      <c r="B335" s="101" t="s">
        <v>785</v>
      </c>
      <c r="C335" s="102" t="s">
        <v>1555</v>
      </c>
      <c r="D335" s="97">
        <f>+ROUND('Alimentazione CE Costi'!E475,2)</f>
        <v>1883000</v>
      </c>
      <c r="E335" s="97">
        <f>+ROUND('Alimentazione CE Costi'!H475,2)</f>
        <v>2122000</v>
      </c>
      <c r="F335" s="97">
        <f t="shared" si="80"/>
        <v>-239000</v>
      </c>
      <c r="G335" s="60"/>
      <c r="H335" s="236"/>
      <c r="I335" s="97">
        <v>783000</v>
      </c>
      <c r="K335" s="94"/>
      <c r="M335" s="98"/>
    </row>
    <row r="336" spans="1:13" ht="18.75">
      <c r="A336" s="222"/>
      <c r="B336" s="101" t="s">
        <v>787</v>
      </c>
      <c r="C336" s="102" t="s">
        <v>1556</v>
      </c>
      <c r="D336" s="97">
        <f>+ROUND('Alimentazione CE Costi'!E477,2)</f>
        <v>6388000</v>
      </c>
      <c r="E336" s="97">
        <f>+ROUND('Alimentazione CE Costi'!H477,2)</f>
        <v>7198000</v>
      </c>
      <c r="F336" s="97">
        <f t="shared" si="80"/>
        <v>-810000</v>
      </c>
      <c r="G336" s="60"/>
      <c r="H336" s="236"/>
      <c r="I336" s="97">
        <v>5788000</v>
      </c>
      <c r="K336" s="94"/>
      <c r="M336" s="98"/>
    </row>
    <row r="337" spans="1:13" ht="18.75">
      <c r="A337" s="222"/>
      <c r="B337" s="101" t="s">
        <v>789</v>
      </c>
      <c r="C337" s="102" t="s">
        <v>1557</v>
      </c>
      <c r="D337" s="97">
        <f>+ROUND('Alimentazione CE Costi'!E479,2)</f>
        <v>12912000</v>
      </c>
      <c r="E337" s="97">
        <f>+ROUND('Alimentazione CE Costi'!H479,2)</f>
        <v>14550000</v>
      </c>
      <c r="F337" s="97">
        <f t="shared" si="80"/>
        <v>-1638000</v>
      </c>
      <c r="G337" s="60"/>
      <c r="H337" s="236"/>
      <c r="I337" s="97">
        <v>7379000</v>
      </c>
      <c r="K337" s="94"/>
      <c r="M337" s="98"/>
    </row>
    <row r="338" spans="1:13" ht="18.75">
      <c r="A338" s="222"/>
      <c r="B338" s="101" t="s">
        <v>790</v>
      </c>
      <c r="C338" s="102" t="s">
        <v>1558</v>
      </c>
      <c r="D338" s="97">
        <f>+ROUND('Alimentazione CE Costi'!E481+'Alimentazione CE Costi'!E482+'Alimentazione CE Costi'!E483,2)</f>
        <v>2365000</v>
      </c>
      <c r="E338" s="97">
        <f>+ROUND('Alimentazione CE Costi'!H481+'Alimentazione CE Costi'!H482+'Alimentazione CE Costi'!H483,2)</f>
        <v>661000</v>
      </c>
      <c r="F338" s="97">
        <f t="shared" si="80"/>
        <v>1704000</v>
      </c>
      <c r="G338" s="60"/>
      <c r="H338" s="236"/>
      <c r="I338" s="97">
        <v>0</v>
      </c>
      <c r="K338" s="94"/>
      <c r="M338" s="98"/>
    </row>
    <row r="339" spans="1:13" ht="18.75">
      <c r="A339" s="222"/>
      <c r="B339" s="101" t="s">
        <v>795</v>
      </c>
      <c r="C339" s="102" t="s">
        <v>1559</v>
      </c>
      <c r="D339" s="97">
        <f>+ROUND('Alimentazione CE Costi'!E485,2)</f>
        <v>3509000</v>
      </c>
      <c r="E339" s="97">
        <f>+ROUND('Alimentazione CE Costi'!H485,2)</f>
        <v>3954000</v>
      </c>
      <c r="F339" s="97">
        <f t="shared" si="80"/>
        <v>-445000</v>
      </c>
      <c r="G339" s="60"/>
      <c r="H339" s="236"/>
      <c r="I339" s="97">
        <v>0</v>
      </c>
      <c r="K339" s="94"/>
      <c r="M339" s="98"/>
    </row>
    <row r="340" spans="1:13" ht="18.75">
      <c r="A340" s="222"/>
      <c r="B340" s="101" t="s">
        <v>797</v>
      </c>
      <c r="C340" s="102" t="s">
        <v>1560</v>
      </c>
      <c r="D340" s="97">
        <f>+ROUND('Alimentazione CE Costi'!E487,2)</f>
        <v>4477000</v>
      </c>
      <c r="E340" s="97">
        <f>+ROUND('Alimentazione CE Costi'!H487,2)</f>
        <v>5045000</v>
      </c>
      <c r="F340" s="97">
        <f t="shared" si="80"/>
        <v>-568000</v>
      </c>
      <c r="G340" s="60"/>
      <c r="H340" s="236"/>
      <c r="I340" s="97">
        <v>4108521</v>
      </c>
      <c r="K340" s="94"/>
      <c r="M340" s="98"/>
    </row>
    <row r="341" spans="1:13" ht="18.75">
      <c r="A341" s="222"/>
      <c r="B341" s="101" t="s">
        <v>798</v>
      </c>
      <c r="C341" s="102" t="s">
        <v>1561</v>
      </c>
      <c r="D341" s="97">
        <f>+ROUND('Alimentazione CE Costi'!E489+'Alimentazione CE Costi'!E490,2)</f>
        <v>216000</v>
      </c>
      <c r="E341" s="97">
        <f>+ROUND('Alimentazione CE Costi'!H489+'Alimentazione CE Costi'!H490,2)</f>
        <v>247000</v>
      </c>
      <c r="F341" s="97">
        <f t="shared" si="80"/>
        <v>-31000</v>
      </c>
      <c r="G341" s="60"/>
      <c r="H341" s="236"/>
      <c r="I341" s="97">
        <v>0</v>
      </c>
      <c r="K341" s="94"/>
      <c r="M341" s="98"/>
    </row>
    <row r="342" spans="1:13" ht="18.75">
      <c r="A342" s="222"/>
      <c r="B342" s="101" t="s">
        <v>802</v>
      </c>
      <c r="C342" s="102" t="s">
        <v>1562</v>
      </c>
      <c r="D342" s="97">
        <f>+ROUND('Alimentazione CE Costi'!E492,2)</f>
        <v>11913000</v>
      </c>
      <c r="E342" s="97">
        <f>+ROUND('Alimentazione CE Costi'!H492,2)</f>
        <v>13750000</v>
      </c>
      <c r="F342" s="97">
        <f t="shared" si="80"/>
        <v>-1837000</v>
      </c>
      <c r="G342" s="60"/>
      <c r="H342" s="236"/>
      <c r="I342" s="97">
        <v>9913000</v>
      </c>
      <c r="K342" s="94"/>
      <c r="M342" s="98"/>
    </row>
    <row r="343" spans="1:13" ht="18.75">
      <c r="A343" s="222"/>
      <c r="B343" s="101" t="s">
        <v>804</v>
      </c>
      <c r="C343" s="102" t="s">
        <v>1563</v>
      </c>
      <c r="D343" s="97">
        <f>+ROUND('Alimentazione CE Costi'!E494+'Alimentazione CE Costi'!E495+'Alimentazione CE Costi'!E496+'Alimentazione CE Costi'!E497+'Alimentazione CE Costi'!E498,2)</f>
        <v>1722000</v>
      </c>
      <c r="E343" s="97">
        <f>+ROUND('Alimentazione CE Costi'!H494+'Alimentazione CE Costi'!H495+'Alimentazione CE Costi'!H496+'Alimentazione CE Costi'!H497+'Alimentazione CE Costi'!H498,2)</f>
        <v>1941000</v>
      </c>
      <c r="F343" s="97">
        <f t="shared" si="80"/>
        <v>-219000</v>
      </c>
      <c r="G343" s="60"/>
      <c r="H343" s="236"/>
      <c r="I343" s="97">
        <v>1107222</v>
      </c>
      <c r="K343" s="94"/>
      <c r="M343" s="98"/>
    </row>
    <row r="344" spans="1:13" ht="18.75">
      <c r="A344" s="226"/>
      <c r="B344" s="146" t="s">
        <v>809</v>
      </c>
      <c r="C344" s="147" t="s">
        <v>1564</v>
      </c>
      <c r="D344" s="145">
        <f t="shared" ref="D344" si="101">+D345+D346</f>
        <v>719000</v>
      </c>
      <c r="E344" s="145">
        <f t="shared" ref="E344" si="102">+E345+E346</f>
        <v>810000</v>
      </c>
      <c r="F344" s="145">
        <f t="shared" si="80"/>
        <v>-91000</v>
      </c>
      <c r="G344" s="60" t="s">
        <v>1838</v>
      </c>
      <c r="H344" s="236"/>
      <c r="I344" s="145">
        <v>0</v>
      </c>
      <c r="K344" s="94"/>
      <c r="M344" s="98"/>
    </row>
    <row r="345" spans="1:13" ht="18.75">
      <c r="A345" s="226"/>
      <c r="B345" s="103" t="s">
        <v>810</v>
      </c>
      <c r="C345" s="104" t="s">
        <v>1565</v>
      </c>
      <c r="D345" s="97">
        <f>+ROUND('Alimentazione CE Costi'!E501,2)</f>
        <v>0</v>
      </c>
      <c r="E345" s="97">
        <f>+ROUND('Alimentazione CE Costi'!H501,2)</f>
        <v>0</v>
      </c>
      <c r="F345" s="97">
        <f t="shared" si="80"/>
        <v>0</v>
      </c>
      <c r="G345" s="60"/>
      <c r="H345" s="236"/>
      <c r="I345" s="97">
        <v>0</v>
      </c>
      <c r="K345" s="94"/>
      <c r="M345" s="98"/>
    </row>
    <row r="346" spans="1:13" ht="25.5">
      <c r="A346" s="226"/>
      <c r="B346" s="103" t="s">
        <v>812</v>
      </c>
      <c r="C346" s="104" t="s">
        <v>1566</v>
      </c>
      <c r="D346" s="97">
        <f>+ROUND('Alimentazione CE Costi'!E503,2)</f>
        <v>719000</v>
      </c>
      <c r="E346" s="97">
        <f>+ROUND('Alimentazione CE Costi'!H503,2)</f>
        <v>810000</v>
      </c>
      <c r="F346" s="97">
        <f t="shared" ref="F346:F409" si="103">+D346-E346</f>
        <v>-91000</v>
      </c>
      <c r="G346" s="60"/>
      <c r="H346" s="236"/>
      <c r="I346" s="97">
        <v>0</v>
      </c>
      <c r="K346" s="94"/>
      <c r="M346" s="98"/>
    </row>
    <row r="347" spans="1:13" ht="18.75">
      <c r="A347" s="226"/>
      <c r="B347" s="146" t="s">
        <v>813</v>
      </c>
      <c r="C347" s="147" t="s">
        <v>1567</v>
      </c>
      <c r="D347" s="145">
        <f t="shared" ref="D347" si="104">+D348+D349+D350</f>
        <v>11389688</v>
      </c>
      <c r="E347" s="145">
        <f t="shared" ref="E347" si="105">+E348+E349+E350</f>
        <v>14099183</v>
      </c>
      <c r="F347" s="145">
        <f t="shared" si="103"/>
        <v>-2709495</v>
      </c>
      <c r="G347" s="60" t="s">
        <v>1838</v>
      </c>
      <c r="H347" s="236"/>
      <c r="I347" s="145">
        <v>3380683</v>
      </c>
      <c r="K347" s="94"/>
      <c r="M347" s="98"/>
    </row>
    <row r="348" spans="1:13" ht="25.5">
      <c r="A348" s="226" t="s">
        <v>1253</v>
      </c>
      <c r="B348" s="103" t="s">
        <v>815</v>
      </c>
      <c r="C348" s="104" t="s">
        <v>1568</v>
      </c>
      <c r="D348" s="97">
        <f>+ROUND('Alimentazione CE Costi'!E506,2)</f>
        <v>2016688</v>
      </c>
      <c r="E348" s="97">
        <f>+ROUND('Alimentazione CE Costi'!H506,2)</f>
        <v>1960166</v>
      </c>
      <c r="F348" s="97">
        <f t="shared" si="103"/>
        <v>56522</v>
      </c>
      <c r="G348" s="60"/>
      <c r="H348" s="236"/>
      <c r="I348" s="97">
        <v>0</v>
      </c>
      <c r="K348" s="94"/>
      <c r="M348" s="98"/>
    </row>
    <row r="349" spans="1:13" ht="25.5">
      <c r="A349" s="222"/>
      <c r="B349" s="103" t="s">
        <v>816</v>
      </c>
      <c r="C349" s="104" t="s">
        <v>1569</v>
      </c>
      <c r="D349" s="97">
        <f>+ROUND('Alimentazione CE Costi'!E508+'Alimentazione CE Costi'!E509,2)</f>
        <v>9000</v>
      </c>
      <c r="E349" s="97">
        <f>+ROUND('Alimentazione CE Costi'!H508+'Alimentazione CE Costi'!H509,2)</f>
        <v>60000</v>
      </c>
      <c r="F349" s="97">
        <f t="shared" si="103"/>
        <v>-51000</v>
      </c>
      <c r="G349" s="60"/>
      <c r="H349" s="236"/>
      <c r="I349" s="97">
        <v>0</v>
      </c>
      <c r="K349" s="94"/>
      <c r="M349" s="98"/>
    </row>
    <row r="350" spans="1:13" ht="18.75">
      <c r="A350" s="226"/>
      <c r="B350" s="103" t="s">
        <v>820</v>
      </c>
      <c r="C350" s="104" t="s">
        <v>1570</v>
      </c>
      <c r="D350" s="97">
        <f>+ROUND(SUM('Alimentazione CE Costi'!E511:E525),2)</f>
        <v>9364000</v>
      </c>
      <c r="E350" s="97">
        <f>+ROUND(SUM('Alimentazione CE Costi'!H511:H525),2)</f>
        <v>12079017</v>
      </c>
      <c r="F350" s="97">
        <f t="shared" si="103"/>
        <v>-2715017</v>
      </c>
      <c r="G350" s="60"/>
      <c r="H350" s="236"/>
      <c r="I350" s="97">
        <v>0</v>
      </c>
      <c r="K350" s="94"/>
      <c r="M350" s="98"/>
    </row>
    <row r="351" spans="1:13" ht="25.5">
      <c r="A351" s="222"/>
      <c r="B351" s="154" t="s">
        <v>835</v>
      </c>
      <c r="C351" s="155" t="s">
        <v>1571</v>
      </c>
      <c r="D351" s="142">
        <f t="shared" ref="D351" si="106">+D352+D353+D354+D361</f>
        <v>1060419</v>
      </c>
      <c r="E351" s="142">
        <f t="shared" ref="E351" si="107">+E352+E353+E354+E361</f>
        <v>2365235</v>
      </c>
      <c r="F351" s="142">
        <f t="shared" si="103"/>
        <v>-1304816</v>
      </c>
      <c r="G351" s="60" t="s">
        <v>1838</v>
      </c>
      <c r="H351" s="236"/>
      <c r="I351" s="142">
        <v>0</v>
      </c>
      <c r="K351" s="94"/>
      <c r="M351" s="98"/>
    </row>
    <row r="352" spans="1:13" ht="25.5">
      <c r="A352" s="222" t="s">
        <v>1253</v>
      </c>
      <c r="B352" s="101" t="s">
        <v>837</v>
      </c>
      <c r="C352" s="102" t="s">
        <v>1572</v>
      </c>
      <c r="D352" s="97">
        <f>+ROUND('Alimentazione CE Costi'!E528,2)</f>
        <v>0</v>
      </c>
      <c r="E352" s="97">
        <f>+ROUND('Alimentazione CE Costi'!H528,2)</f>
        <v>0</v>
      </c>
      <c r="F352" s="97">
        <f t="shared" si="103"/>
        <v>0</v>
      </c>
      <c r="G352" s="60"/>
      <c r="H352" s="236"/>
      <c r="I352" s="97">
        <v>0</v>
      </c>
      <c r="K352" s="94"/>
      <c r="M352" s="98"/>
    </row>
    <row r="353" spans="1:13" ht="25.5">
      <c r="A353" s="222"/>
      <c r="B353" s="101" t="s">
        <v>839</v>
      </c>
      <c r="C353" s="102" t="s">
        <v>1573</v>
      </c>
      <c r="D353" s="97">
        <f>+ROUND('Alimentazione CE Costi'!E530,2)</f>
        <v>0</v>
      </c>
      <c r="E353" s="97">
        <f>+ROUND('Alimentazione CE Costi'!H530,2)</f>
        <v>0</v>
      </c>
      <c r="F353" s="97">
        <f t="shared" si="103"/>
        <v>0</v>
      </c>
      <c r="G353" s="60"/>
      <c r="H353" s="236"/>
      <c r="I353" s="97">
        <v>0</v>
      </c>
      <c r="K353" s="94"/>
      <c r="M353" s="98"/>
    </row>
    <row r="354" spans="1:13" ht="25.5">
      <c r="A354" s="222"/>
      <c r="B354" s="146" t="s">
        <v>840</v>
      </c>
      <c r="C354" s="147" t="s">
        <v>1574</v>
      </c>
      <c r="D354" s="145">
        <f t="shared" ref="D354" si="108">SUM(D355:D360)</f>
        <v>1060419</v>
      </c>
      <c r="E354" s="145">
        <f t="shared" ref="E354" si="109">SUM(E355:E360)</f>
        <v>2365235</v>
      </c>
      <c r="F354" s="145">
        <f t="shared" si="103"/>
        <v>-1304816</v>
      </c>
      <c r="G354" s="60" t="s">
        <v>1838</v>
      </c>
      <c r="H354" s="236"/>
      <c r="I354" s="145">
        <v>0</v>
      </c>
      <c r="K354" s="94"/>
      <c r="M354" s="98"/>
    </row>
    <row r="355" spans="1:13" ht="18.75">
      <c r="A355" s="222"/>
      <c r="B355" s="103" t="s">
        <v>841</v>
      </c>
      <c r="C355" s="104" t="s">
        <v>1575</v>
      </c>
      <c r="D355" s="97">
        <f>+ROUND(SUM('Alimentazione CE Costi'!E533:E537),2)</f>
        <v>75000</v>
      </c>
      <c r="E355" s="97">
        <f>+ROUND(SUM('Alimentazione CE Costi'!H533:H537),2)</f>
        <v>217235</v>
      </c>
      <c r="F355" s="97">
        <f t="shared" si="103"/>
        <v>-142235</v>
      </c>
      <c r="G355" s="60"/>
      <c r="H355" s="236"/>
      <c r="I355" s="97">
        <v>0</v>
      </c>
      <c r="K355" s="94"/>
      <c r="M355" s="98"/>
    </row>
    <row r="356" spans="1:13" ht="25.5">
      <c r="A356" s="222"/>
      <c r="B356" s="103" t="s">
        <v>848</v>
      </c>
      <c r="C356" s="104" t="s">
        <v>1576</v>
      </c>
      <c r="D356" s="97">
        <f>+ROUND('Alimentazione CE Costi'!E539,2)</f>
        <v>120413</v>
      </c>
      <c r="E356" s="97">
        <f>+ROUND('Alimentazione CE Costi'!H539,2)</f>
        <v>57000</v>
      </c>
      <c r="F356" s="97">
        <f t="shared" si="103"/>
        <v>63413</v>
      </c>
      <c r="G356" s="60"/>
      <c r="H356" s="236"/>
      <c r="I356" s="97">
        <v>0</v>
      </c>
      <c r="K356" s="94"/>
      <c r="M356" s="98"/>
    </row>
    <row r="357" spans="1:13" ht="25.5">
      <c r="A357" s="222"/>
      <c r="B357" s="103" t="s">
        <v>849</v>
      </c>
      <c r="C357" s="104" t="s">
        <v>1577</v>
      </c>
      <c r="D357" s="97">
        <f>+ROUND('Alimentazione CE Costi'!E541,2)</f>
        <v>0</v>
      </c>
      <c r="E357" s="97">
        <f>+ROUND('Alimentazione CE Costi'!H541,2)</f>
        <v>0</v>
      </c>
      <c r="F357" s="97">
        <f t="shared" si="103"/>
        <v>0</v>
      </c>
      <c r="G357" s="60"/>
      <c r="H357" s="236"/>
      <c r="I357" s="97">
        <v>0</v>
      </c>
      <c r="K357" s="94"/>
      <c r="M357" s="98"/>
    </row>
    <row r="358" spans="1:13" ht="18.75">
      <c r="A358" s="222"/>
      <c r="B358" s="103" t="s">
        <v>850</v>
      </c>
      <c r="C358" s="104" t="s">
        <v>1578</v>
      </c>
      <c r="D358" s="97">
        <f>+ROUND('Alimentazione CE Costi'!E543,2)</f>
        <v>856006</v>
      </c>
      <c r="E358" s="97">
        <f>+ROUND('Alimentazione CE Costi'!H543,2)</f>
        <v>1995000</v>
      </c>
      <c r="F358" s="97">
        <f t="shared" si="103"/>
        <v>-1138994</v>
      </c>
      <c r="G358" s="60"/>
      <c r="H358" s="236"/>
      <c r="I358" s="97">
        <v>0</v>
      </c>
      <c r="K358" s="94"/>
      <c r="M358" s="98"/>
    </row>
    <row r="359" spans="1:13" ht="25.5">
      <c r="A359" s="222"/>
      <c r="B359" s="103" t="s">
        <v>851</v>
      </c>
      <c r="C359" s="104" t="s">
        <v>1579</v>
      </c>
      <c r="D359" s="107">
        <f>+ROUND('Alimentazione CE Costi'!E545+'Alimentazione CE Costi'!E546+'Alimentazione CE Costi'!E547+'Alimentazione CE Costi'!E548+'Alimentazione CE Costi'!E549,2)</f>
        <v>9000</v>
      </c>
      <c r="E359" s="107">
        <f>+ROUND('Alimentazione CE Costi'!H545+'Alimentazione CE Costi'!H546+'Alimentazione CE Costi'!H547+'Alimentazione CE Costi'!H548+'Alimentazione CE Costi'!H549,2)</f>
        <v>96000</v>
      </c>
      <c r="F359" s="107">
        <f t="shared" si="103"/>
        <v>-87000</v>
      </c>
      <c r="G359" s="60"/>
      <c r="H359" s="236"/>
      <c r="I359" s="107">
        <v>0</v>
      </c>
      <c r="K359" s="94"/>
      <c r="M359" s="98"/>
    </row>
    <row r="360" spans="1:13" ht="51">
      <c r="A360" s="222"/>
      <c r="B360" s="103" t="s">
        <v>856</v>
      </c>
      <c r="C360" s="104" t="s">
        <v>1580</v>
      </c>
      <c r="D360" s="97">
        <f>+ROUND('Alimentazione CE Costi'!E551,2)</f>
        <v>0</v>
      </c>
      <c r="E360" s="97">
        <f>+ROUND('Alimentazione CE Costi'!H551,2)</f>
        <v>0</v>
      </c>
      <c r="F360" s="97">
        <f t="shared" si="103"/>
        <v>0</v>
      </c>
      <c r="G360" s="60"/>
      <c r="H360" s="236"/>
      <c r="I360" s="97">
        <v>0</v>
      </c>
      <c r="K360" s="94"/>
      <c r="M360" s="98"/>
    </row>
    <row r="361" spans="1:13" ht="25.5">
      <c r="A361" s="222"/>
      <c r="B361" s="146" t="s">
        <v>857</v>
      </c>
      <c r="C361" s="147" t="s">
        <v>1581</v>
      </c>
      <c r="D361" s="145">
        <f t="shared" ref="D361" si="110">SUM(D362:D364)</f>
        <v>0</v>
      </c>
      <c r="E361" s="145">
        <f t="shared" ref="E361" si="111">SUM(E362:E364)</f>
        <v>0</v>
      </c>
      <c r="F361" s="145">
        <f t="shared" si="103"/>
        <v>0</v>
      </c>
      <c r="G361" s="60" t="s">
        <v>1838</v>
      </c>
      <c r="H361" s="236"/>
      <c r="I361" s="145">
        <v>0</v>
      </c>
      <c r="K361" s="94"/>
      <c r="M361" s="98"/>
    </row>
    <row r="362" spans="1:13" ht="38.25">
      <c r="A362" s="222" t="s">
        <v>1253</v>
      </c>
      <c r="B362" s="103" t="s">
        <v>859</v>
      </c>
      <c r="C362" s="104" t="s">
        <v>1582</v>
      </c>
      <c r="D362" s="97">
        <f>+ROUND('Alimentazione CE Costi'!E554,2)</f>
        <v>0</v>
      </c>
      <c r="E362" s="97">
        <f>+ROUND('Alimentazione CE Costi'!H554,2)</f>
        <v>0</v>
      </c>
      <c r="F362" s="97">
        <f t="shared" si="103"/>
        <v>0</v>
      </c>
      <c r="G362" s="60"/>
      <c r="H362" s="236"/>
      <c r="I362" s="97">
        <v>0</v>
      </c>
      <c r="K362" s="94"/>
      <c r="M362" s="98"/>
    </row>
    <row r="363" spans="1:13" ht="38.25">
      <c r="A363" s="222"/>
      <c r="B363" s="103" t="s">
        <v>861</v>
      </c>
      <c r="C363" s="104" t="s">
        <v>1583</v>
      </c>
      <c r="D363" s="97">
        <f>+ROUND('Alimentazione CE Costi'!E556,2)</f>
        <v>0</v>
      </c>
      <c r="E363" s="97">
        <f>+ROUND('Alimentazione CE Costi'!H556,2)</f>
        <v>0</v>
      </c>
      <c r="F363" s="97">
        <f t="shared" si="103"/>
        <v>0</v>
      </c>
      <c r="G363" s="60"/>
      <c r="H363" s="236"/>
      <c r="I363" s="97">
        <v>0</v>
      </c>
      <c r="K363" s="94"/>
      <c r="M363" s="98"/>
    </row>
    <row r="364" spans="1:13" ht="38.25">
      <c r="A364" s="222" t="s">
        <v>1302</v>
      </c>
      <c r="B364" s="103" t="s">
        <v>863</v>
      </c>
      <c r="C364" s="104" t="s">
        <v>1584</v>
      </c>
      <c r="D364" s="97">
        <f>+ROUND('Alimentazione CE Costi'!E558,2)</f>
        <v>0</v>
      </c>
      <c r="E364" s="97">
        <f>+ROUND('Alimentazione CE Costi'!H558,2)</f>
        <v>0</v>
      </c>
      <c r="F364" s="97">
        <f t="shared" si="103"/>
        <v>0</v>
      </c>
      <c r="G364" s="60"/>
      <c r="H364" s="236"/>
      <c r="I364" s="97">
        <v>0</v>
      </c>
      <c r="K364" s="94"/>
      <c r="M364" s="98"/>
    </row>
    <row r="365" spans="1:13" ht="18.75">
      <c r="A365" s="222"/>
      <c r="B365" s="154" t="s">
        <v>864</v>
      </c>
      <c r="C365" s="155" t="s">
        <v>1585</v>
      </c>
      <c r="D365" s="142">
        <f t="shared" ref="D365" si="112">+D366+D367</f>
        <v>266000</v>
      </c>
      <c r="E365" s="142">
        <f t="shared" ref="E365" si="113">+E366+E367</f>
        <v>400000</v>
      </c>
      <c r="F365" s="142">
        <f t="shared" si="103"/>
        <v>-134000</v>
      </c>
      <c r="G365" s="60" t="s">
        <v>1838</v>
      </c>
      <c r="H365" s="236"/>
      <c r="I365" s="142">
        <v>0</v>
      </c>
      <c r="K365" s="94"/>
      <c r="M365" s="98"/>
    </row>
    <row r="366" spans="1:13" ht="18.75">
      <c r="A366" s="222"/>
      <c r="B366" s="101" t="s">
        <v>866</v>
      </c>
      <c r="C366" s="102" t="s">
        <v>1586</v>
      </c>
      <c r="D366" s="97">
        <f>+ROUND('Alimentazione CE Costi'!E561,2)</f>
        <v>0</v>
      </c>
      <c r="E366" s="97">
        <f>+ROUND('Alimentazione CE Costi'!H561,2)</f>
        <v>0</v>
      </c>
      <c r="F366" s="97">
        <f t="shared" si="103"/>
        <v>0</v>
      </c>
      <c r="G366" s="60"/>
      <c r="H366" s="236"/>
      <c r="I366" s="97">
        <v>0</v>
      </c>
      <c r="K366" s="94"/>
      <c r="M366" s="98"/>
    </row>
    <row r="367" spans="1:13" ht="18.75">
      <c r="A367" s="222"/>
      <c r="B367" s="101" t="s">
        <v>868</v>
      </c>
      <c r="C367" s="102" t="s">
        <v>1587</v>
      </c>
      <c r="D367" s="97">
        <f>+ROUND('Alimentazione CE Costi'!E563,2)</f>
        <v>266000</v>
      </c>
      <c r="E367" s="97">
        <f>+ROUND('Alimentazione CE Costi'!H563,2)</f>
        <v>400000</v>
      </c>
      <c r="F367" s="97">
        <f t="shared" si="103"/>
        <v>-134000</v>
      </c>
      <c r="G367" s="60"/>
      <c r="H367" s="236"/>
      <c r="I367" s="97">
        <v>0</v>
      </c>
      <c r="K367" s="94"/>
      <c r="M367" s="98"/>
    </row>
    <row r="368" spans="1:13" ht="25.5">
      <c r="A368" s="222"/>
      <c r="B368" s="134" t="s">
        <v>1588</v>
      </c>
      <c r="C368" s="135" t="s">
        <v>1589</v>
      </c>
      <c r="D368" s="136">
        <f t="shared" ref="D368" si="114">SUM(D369:D375)</f>
        <v>15460000</v>
      </c>
      <c r="E368" s="136">
        <f t="shared" ref="E368" si="115">SUM(E369:E375)</f>
        <v>17533000</v>
      </c>
      <c r="F368" s="136">
        <f t="shared" si="103"/>
        <v>-2073000</v>
      </c>
      <c r="G368" s="60" t="s">
        <v>1838</v>
      </c>
      <c r="H368" s="236"/>
      <c r="I368" s="136">
        <v>5427192.4699999997</v>
      </c>
      <c r="K368" s="94"/>
      <c r="M368" s="98"/>
    </row>
    <row r="369" spans="1:13" ht="25.5">
      <c r="A369" s="222"/>
      <c r="B369" s="99" t="s">
        <v>870</v>
      </c>
      <c r="C369" s="100" t="s">
        <v>1590</v>
      </c>
      <c r="D369" s="97">
        <f>+ROUND('Alimentazione CE Costi'!E566,2)</f>
        <v>754000</v>
      </c>
      <c r="E369" s="97">
        <f>+ROUND('Alimentazione CE Costi'!H566,2)</f>
        <v>850000</v>
      </c>
      <c r="F369" s="97">
        <f t="shared" si="103"/>
        <v>-96000</v>
      </c>
      <c r="G369" s="60"/>
      <c r="H369" s="236"/>
      <c r="I369" s="97">
        <v>41217.519999999997</v>
      </c>
      <c r="K369" s="94"/>
      <c r="M369" s="98"/>
    </row>
    <row r="370" spans="1:13" ht="25.5">
      <c r="A370" s="226"/>
      <c r="B370" s="99" t="s">
        <v>871</v>
      </c>
      <c r="C370" s="100" t="s">
        <v>1591</v>
      </c>
      <c r="D370" s="97">
        <f>+ROUND('Alimentazione CE Costi'!E568+'Alimentazione CE Costi'!E569+'Alimentazione CE Costi'!E570,2)</f>
        <v>5200000</v>
      </c>
      <c r="E370" s="97">
        <f>+ROUND('Alimentazione CE Costi'!H568+'Alimentazione CE Costi'!H569+'Alimentazione CE Costi'!H570,2)</f>
        <v>5860000</v>
      </c>
      <c r="F370" s="97">
        <f t="shared" si="103"/>
        <v>-660000</v>
      </c>
      <c r="G370" s="60"/>
      <c r="H370" s="236"/>
      <c r="I370" s="97">
        <v>217785.95</v>
      </c>
      <c r="K370" s="94"/>
      <c r="M370" s="98"/>
    </row>
    <row r="371" spans="1:13" ht="25.5">
      <c r="A371" s="226"/>
      <c r="B371" s="99" t="s">
        <v>876</v>
      </c>
      <c r="C371" s="100" t="s">
        <v>1592</v>
      </c>
      <c r="D371" s="97">
        <f>+ROUND('Alimentazione CE Costi'!E572,2)</f>
        <v>5907000</v>
      </c>
      <c r="E371" s="97">
        <f>+ROUND('Alimentazione CE Costi'!H572,2)</f>
        <v>6657000</v>
      </c>
      <c r="F371" s="97">
        <f t="shared" si="103"/>
        <v>-750000</v>
      </c>
      <c r="G371" s="60"/>
      <c r="H371" s="236"/>
      <c r="I371" s="97">
        <v>5009100</v>
      </c>
      <c r="K371" s="94"/>
      <c r="M371" s="98"/>
    </row>
    <row r="372" spans="1:13" ht="18.75">
      <c r="A372" s="226"/>
      <c r="B372" s="99" t="s">
        <v>878</v>
      </c>
      <c r="C372" s="100" t="s">
        <v>1593</v>
      </c>
      <c r="D372" s="97">
        <f>+ROUND('Alimentazione CE Costi'!E574,2)</f>
        <v>142000</v>
      </c>
      <c r="E372" s="97">
        <f>+ROUND('Alimentazione CE Costi'!H574,2)</f>
        <v>160000</v>
      </c>
      <c r="F372" s="97">
        <f t="shared" si="103"/>
        <v>-18000</v>
      </c>
      <c r="G372" s="60"/>
      <c r="H372" s="236"/>
      <c r="I372" s="97">
        <v>0</v>
      </c>
      <c r="K372" s="94"/>
      <c r="M372" s="98"/>
    </row>
    <row r="373" spans="1:13" ht="18.75">
      <c r="A373" s="226"/>
      <c r="B373" s="99" t="s">
        <v>880</v>
      </c>
      <c r="C373" s="100" t="s">
        <v>1594</v>
      </c>
      <c r="D373" s="97">
        <f>+ROUND('Alimentazione CE Costi'!E576,2)</f>
        <v>399000</v>
      </c>
      <c r="E373" s="97">
        <f>+ROUND('Alimentazione CE Costi'!H576,2)</f>
        <v>470000</v>
      </c>
      <c r="F373" s="97">
        <f t="shared" si="103"/>
        <v>-71000</v>
      </c>
      <c r="G373" s="60"/>
      <c r="H373" s="236"/>
      <c r="I373" s="97">
        <v>22689</v>
      </c>
      <c r="K373" s="94"/>
      <c r="M373" s="98"/>
    </row>
    <row r="374" spans="1:13" ht="18.75">
      <c r="A374" s="226"/>
      <c r="B374" s="99" t="s">
        <v>882</v>
      </c>
      <c r="C374" s="100" t="s">
        <v>1595</v>
      </c>
      <c r="D374" s="97">
        <f>+ROUND('Alimentazione CE Costi'!E578+'Alimentazione CE Costi'!E579+'Alimentazione CE Costi'!E580,2)</f>
        <v>3058000</v>
      </c>
      <c r="E374" s="97">
        <f>+ROUND('Alimentazione CE Costi'!H578+'Alimentazione CE Costi'!H579+'Alimentazione CE Costi'!H580,2)</f>
        <v>3536000</v>
      </c>
      <c r="F374" s="97">
        <f t="shared" si="103"/>
        <v>-478000</v>
      </c>
      <c r="G374" s="60"/>
      <c r="H374" s="236"/>
      <c r="I374" s="97">
        <v>136400</v>
      </c>
      <c r="K374" s="94"/>
      <c r="M374" s="98"/>
    </row>
    <row r="375" spans="1:13" ht="25.5">
      <c r="A375" s="230" t="s">
        <v>1253</v>
      </c>
      <c r="B375" s="99" t="s">
        <v>886</v>
      </c>
      <c r="C375" s="100" t="s">
        <v>1596</v>
      </c>
      <c r="D375" s="97">
        <f>+ROUND('Alimentazione CE Costi'!E582,2)</f>
        <v>0</v>
      </c>
      <c r="E375" s="97">
        <f>+ROUND('Alimentazione CE Costi'!H582,2)</f>
        <v>0</v>
      </c>
      <c r="F375" s="97">
        <f t="shared" si="103"/>
        <v>0</v>
      </c>
      <c r="G375" s="60"/>
      <c r="H375" s="236"/>
      <c r="I375" s="97">
        <v>0</v>
      </c>
      <c r="K375" s="94"/>
      <c r="M375" s="98"/>
    </row>
    <row r="376" spans="1:13" ht="18.75">
      <c r="A376" s="222"/>
      <c r="B376" s="134" t="s">
        <v>887</v>
      </c>
      <c r="C376" s="135" t="s">
        <v>1597</v>
      </c>
      <c r="D376" s="136">
        <f t="shared" ref="D376" si="116">+D377+D378+D381+D384+D385</f>
        <v>4979000</v>
      </c>
      <c r="E376" s="136">
        <f t="shared" ref="E376" si="117">+E377+E378+E381+E384+E385</f>
        <v>4129000</v>
      </c>
      <c r="F376" s="136">
        <f t="shared" si="103"/>
        <v>850000</v>
      </c>
      <c r="G376" s="60" t="s">
        <v>1838</v>
      </c>
      <c r="H376" s="236"/>
      <c r="I376" s="136">
        <v>2208984</v>
      </c>
      <c r="K376" s="94"/>
      <c r="M376" s="98"/>
    </row>
    <row r="377" spans="1:13" ht="18.75">
      <c r="A377" s="222"/>
      <c r="B377" s="99" t="s">
        <v>888</v>
      </c>
      <c r="C377" s="100" t="s">
        <v>1598</v>
      </c>
      <c r="D377" s="97">
        <f>+ROUND('Alimentazione CE Costi'!E585+'Alimentazione CE Costi'!E586,2)</f>
        <v>435000</v>
      </c>
      <c r="E377" s="97">
        <f>+ROUND('Alimentazione CE Costi'!H585+'Alimentazione CE Costi'!H586,2)</f>
        <v>390000</v>
      </c>
      <c r="F377" s="97">
        <f t="shared" si="103"/>
        <v>45000</v>
      </c>
      <c r="G377" s="60"/>
      <c r="H377" s="236"/>
      <c r="I377" s="97">
        <v>0</v>
      </c>
      <c r="K377" s="94"/>
      <c r="M377" s="98"/>
    </row>
    <row r="378" spans="1:13" ht="18.75">
      <c r="A378" s="222"/>
      <c r="B378" s="129" t="s">
        <v>891</v>
      </c>
      <c r="C378" s="130" t="s">
        <v>1599</v>
      </c>
      <c r="D378" s="128">
        <f t="shared" ref="D378" si="118">+D379+D380</f>
        <v>4171000</v>
      </c>
      <c r="E378" s="128">
        <f t="shared" ref="E378" si="119">+E379+E380</f>
        <v>3492000</v>
      </c>
      <c r="F378" s="128">
        <f t="shared" si="103"/>
        <v>679000</v>
      </c>
      <c r="G378" s="60" t="s">
        <v>1838</v>
      </c>
      <c r="H378" s="236"/>
      <c r="I378" s="128">
        <v>2208984</v>
      </c>
      <c r="K378" s="94"/>
      <c r="M378" s="98"/>
    </row>
    <row r="379" spans="1:13" ht="18.75">
      <c r="A379" s="222"/>
      <c r="B379" s="101" t="s">
        <v>893</v>
      </c>
      <c r="C379" s="102" t="s">
        <v>1600</v>
      </c>
      <c r="D379" s="97">
        <f>+ROUND('Alimentazione CE Costi'!E589,2)</f>
        <v>1946000</v>
      </c>
      <c r="E379" s="97">
        <f>+ROUND('Alimentazione CE Costi'!H589,2)</f>
        <v>2193000</v>
      </c>
      <c r="F379" s="97">
        <f t="shared" si="103"/>
        <v>-247000</v>
      </c>
      <c r="G379" s="60"/>
      <c r="H379" s="236"/>
      <c r="I379" s="97">
        <v>1662376</v>
      </c>
      <c r="K379" s="94"/>
      <c r="M379" s="98"/>
    </row>
    <row r="380" spans="1:13" ht="18.75">
      <c r="A380" s="222"/>
      <c r="B380" s="101" t="s">
        <v>894</v>
      </c>
      <c r="C380" s="102" t="s">
        <v>1601</v>
      </c>
      <c r="D380" s="97">
        <f>+ROUND('Alimentazione CE Costi'!E591+'Alimentazione CE Costi'!E592+'Alimentazione CE Costi'!E593+'Alimentazione CE Costi'!E594,2)</f>
        <v>2225000</v>
      </c>
      <c r="E380" s="97">
        <f>+ROUND('Alimentazione CE Costi'!H591+'Alimentazione CE Costi'!H592+'Alimentazione CE Costi'!H593+'Alimentazione CE Costi'!H594,2)</f>
        <v>1299000</v>
      </c>
      <c r="F380" s="97">
        <f t="shared" si="103"/>
        <v>926000</v>
      </c>
      <c r="G380" s="60"/>
      <c r="H380" s="236"/>
      <c r="I380" s="97">
        <v>546608</v>
      </c>
      <c r="K380" s="94"/>
      <c r="M380" s="98"/>
    </row>
    <row r="381" spans="1:13" ht="18.75">
      <c r="A381" s="222"/>
      <c r="B381" s="129" t="s">
        <v>899</v>
      </c>
      <c r="C381" s="130" t="s">
        <v>1602</v>
      </c>
      <c r="D381" s="128">
        <f t="shared" ref="D381" si="120">+D382+D383</f>
        <v>0</v>
      </c>
      <c r="E381" s="128">
        <f t="shared" ref="E381" si="121">+E382+E383</f>
        <v>0</v>
      </c>
      <c r="F381" s="128">
        <f t="shared" si="103"/>
        <v>0</v>
      </c>
      <c r="G381" s="60" t="s">
        <v>1838</v>
      </c>
      <c r="H381" s="236"/>
      <c r="I381" s="128">
        <v>0</v>
      </c>
      <c r="K381" s="94"/>
      <c r="M381" s="98"/>
    </row>
    <row r="382" spans="1:13" ht="18.75">
      <c r="A382" s="222"/>
      <c r="B382" s="101" t="s">
        <v>900</v>
      </c>
      <c r="C382" s="102" t="s">
        <v>1603</v>
      </c>
      <c r="D382" s="97">
        <f>+ROUND('Alimentazione CE Costi'!E597+'Alimentazione CE Costi'!E598,2)</f>
        <v>0</v>
      </c>
      <c r="E382" s="97">
        <f>+ROUND('Alimentazione CE Costi'!H597+'Alimentazione CE Costi'!H598,2)</f>
        <v>0</v>
      </c>
      <c r="F382" s="97">
        <f t="shared" si="103"/>
        <v>0</v>
      </c>
      <c r="G382" s="60"/>
      <c r="H382" s="236"/>
      <c r="I382" s="97">
        <v>0</v>
      </c>
      <c r="K382" s="94"/>
      <c r="M382" s="98"/>
    </row>
    <row r="383" spans="1:13" ht="18.75">
      <c r="A383" s="222"/>
      <c r="B383" s="101" t="s">
        <v>901</v>
      </c>
      <c r="C383" s="102" t="s">
        <v>1604</v>
      </c>
      <c r="D383" s="97">
        <f>+ROUND('Alimentazione CE Costi'!E600+'Alimentazione CE Costi'!E601,2)</f>
        <v>0</v>
      </c>
      <c r="E383" s="97">
        <f>+ROUND('Alimentazione CE Costi'!H600+'Alimentazione CE Costi'!H601,2)</f>
        <v>0</v>
      </c>
      <c r="F383" s="97">
        <f t="shared" si="103"/>
        <v>0</v>
      </c>
      <c r="G383" s="60"/>
      <c r="H383" s="236"/>
      <c r="I383" s="97">
        <v>0</v>
      </c>
      <c r="K383" s="94"/>
      <c r="M383" s="98"/>
    </row>
    <row r="384" spans="1:13" ht="18.75">
      <c r="A384" s="224"/>
      <c r="B384" s="99" t="s">
        <v>903</v>
      </c>
      <c r="C384" s="100" t="s">
        <v>1605</v>
      </c>
      <c r="D384" s="97">
        <f>+ROUND('Alimentazione CE Costi'!E603,2)</f>
        <v>373000</v>
      </c>
      <c r="E384" s="97">
        <f>+ROUND('Alimentazione CE Costi'!H603,2)</f>
        <v>247000</v>
      </c>
      <c r="F384" s="97">
        <f t="shared" si="103"/>
        <v>126000</v>
      </c>
      <c r="G384" s="350"/>
      <c r="H384" s="236"/>
      <c r="I384" s="97">
        <v>0</v>
      </c>
      <c r="K384" s="94"/>
      <c r="M384" s="98"/>
    </row>
    <row r="385" spans="1:13" ht="25.5">
      <c r="A385" s="231" t="s">
        <v>1253</v>
      </c>
      <c r="B385" s="99" t="s">
        <v>905</v>
      </c>
      <c r="C385" s="100" t="s">
        <v>1606</v>
      </c>
      <c r="D385" s="97">
        <f>+ROUND('Alimentazione CE Costi'!E605,2)</f>
        <v>0</v>
      </c>
      <c r="E385" s="97">
        <f>+ROUND('Alimentazione CE Costi'!H605,2)</f>
        <v>0</v>
      </c>
      <c r="F385" s="97">
        <f t="shared" si="103"/>
        <v>0</v>
      </c>
      <c r="G385" s="350"/>
      <c r="H385" s="236"/>
      <c r="I385" s="97">
        <v>0</v>
      </c>
      <c r="K385" s="94"/>
      <c r="M385" s="98"/>
    </row>
    <row r="386" spans="1:13" ht="18.75">
      <c r="A386" s="222"/>
      <c r="B386" s="156" t="s">
        <v>1607</v>
      </c>
      <c r="C386" s="157" t="s">
        <v>1608</v>
      </c>
      <c r="D386" s="158">
        <f t="shared" ref="D386" si="122">+D387+D401+D410+D419</f>
        <v>321317973</v>
      </c>
      <c r="E386" s="158">
        <f t="shared" ref="E386" si="123">+E387+E401+E410+E419</f>
        <v>319883690</v>
      </c>
      <c r="F386" s="158">
        <f t="shared" si="103"/>
        <v>1434283</v>
      </c>
      <c r="G386" s="60" t="s">
        <v>1838</v>
      </c>
      <c r="H386" s="236"/>
      <c r="I386" s="158">
        <v>191473298</v>
      </c>
      <c r="K386" s="94"/>
      <c r="M386" s="98"/>
    </row>
    <row r="387" spans="1:13" ht="18.75">
      <c r="A387" s="222"/>
      <c r="B387" s="134" t="s">
        <v>906</v>
      </c>
      <c r="C387" s="135" t="s">
        <v>1609</v>
      </c>
      <c r="D387" s="136">
        <f t="shared" ref="D387" si="124">+D388+D397</f>
        <v>250032096</v>
      </c>
      <c r="E387" s="136">
        <f t="shared" ref="E387" si="125">+E388+E397</f>
        <v>245548308</v>
      </c>
      <c r="F387" s="136">
        <f t="shared" si="103"/>
        <v>4483788</v>
      </c>
      <c r="G387" s="60" t="s">
        <v>1838</v>
      </c>
      <c r="H387" s="236"/>
      <c r="I387" s="136">
        <v>180133437</v>
      </c>
      <c r="K387" s="94"/>
      <c r="M387" s="98"/>
    </row>
    <row r="388" spans="1:13" ht="18.75">
      <c r="A388" s="222"/>
      <c r="B388" s="129" t="s">
        <v>907</v>
      </c>
      <c r="C388" s="130" t="s">
        <v>1610</v>
      </c>
      <c r="D388" s="128">
        <f t="shared" ref="D388" si="126">+D389+D393</f>
        <v>108976539</v>
      </c>
      <c r="E388" s="128">
        <f t="shared" ref="E388" si="127">+E389+E393</f>
        <v>105203407</v>
      </c>
      <c r="F388" s="128">
        <f t="shared" si="103"/>
        <v>3773132</v>
      </c>
      <c r="G388" s="60" t="s">
        <v>1838</v>
      </c>
      <c r="H388" s="236"/>
      <c r="I388" s="128">
        <v>82983392</v>
      </c>
      <c r="K388" s="94"/>
      <c r="M388" s="98"/>
    </row>
    <row r="389" spans="1:13" ht="18.75">
      <c r="A389" s="222"/>
      <c r="B389" s="140" t="s">
        <v>908</v>
      </c>
      <c r="C389" s="141" t="s">
        <v>1611</v>
      </c>
      <c r="D389" s="142">
        <f t="shared" ref="D389" si="128">SUM(D390:D392)</f>
        <v>96935718</v>
      </c>
      <c r="E389" s="142">
        <f t="shared" ref="E389" si="129">SUM(E390:E392)</f>
        <v>93067182</v>
      </c>
      <c r="F389" s="142">
        <f t="shared" si="103"/>
        <v>3868536</v>
      </c>
      <c r="G389" s="60" t="s">
        <v>1838</v>
      </c>
      <c r="H389" s="236"/>
      <c r="I389" s="142">
        <v>80426695</v>
      </c>
      <c r="K389" s="94"/>
      <c r="M389" s="98"/>
    </row>
    <row r="390" spans="1:13" ht="25.5">
      <c r="A390" s="226"/>
      <c r="B390" s="101" t="s">
        <v>909</v>
      </c>
      <c r="C390" s="102" t="s">
        <v>1612</v>
      </c>
      <c r="D390" s="97">
        <f>+ROUND(SUM('Alimentazione CE Costi'!E610:E617),2)</f>
        <v>91230491</v>
      </c>
      <c r="E390" s="97">
        <f>+ROUND(SUM('Alimentazione CE Costi'!H610:H617),2)</f>
        <v>88340847</v>
      </c>
      <c r="F390" s="97">
        <f t="shared" si="103"/>
        <v>2889644</v>
      </c>
      <c r="G390" s="60"/>
      <c r="H390" s="236"/>
      <c r="I390" s="97">
        <v>0</v>
      </c>
      <c r="K390" s="94"/>
      <c r="M390" s="98"/>
    </row>
    <row r="391" spans="1:13" ht="25.5">
      <c r="A391" s="226"/>
      <c r="B391" s="101" t="s">
        <v>910</v>
      </c>
      <c r="C391" s="102" t="s">
        <v>1613</v>
      </c>
      <c r="D391" s="97">
        <f>+ROUND(SUM('Alimentazione CE Costi'!E619:E626),2)</f>
        <v>5705227</v>
      </c>
      <c r="E391" s="97">
        <f>+ROUND(SUM('Alimentazione CE Costi'!H619:H626),2)</f>
        <v>4726335</v>
      </c>
      <c r="F391" s="97">
        <f t="shared" si="103"/>
        <v>978892</v>
      </c>
      <c r="G391" s="60"/>
      <c r="H391" s="236"/>
      <c r="I391" s="97">
        <v>0</v>
      </c>
      <c r="K391" s="94"/>
      <c r="M391" s="98"/>
    </row>
    <row r="392" spans="1:13" ht="18.75">
      <c r="A392" s="226"/>
      <c r="B392" s="101" t="s">
        <v>912</v>
      </c>
      <c r="C392" s="102" t="s">
        <v>1614</v>
      </c>
      <c r="D392" s="97">
        <f>+ROUND('Alimentazione CE Costi'!E628,2)</f>
        <v>0</v>
      </c>
      <c r="E392" s="97">
        <f>+ROUND('Alimentazione CE Costi'!H628,2)</f>
        <v>0</v>
      </c>
      <c r="F392" s="97">
        <f t="shared" si="103"/>
        <v>0</v>
      </c>
      <c r="G392" s="60"/>
      <c r="H392" s="236"/>
      <c r="I392" s="97">
        <v>0</v>
      </c>
      <c r="K392" s="94"/>
      <c r="M392" s="98"/>
    </row>
    <row r="393" spans="1:13" ht="18.75">
      <c r="A393" s="222"/>
      <c r="B393" s="140" t="s">
        <v>913</v>
      </c>
      <c r="C393" s="141" t="s">
        <v>1615</v>
      </c>
      <c r="D393" s="142">
        <f t="shared" ref="D393" si="130">SUM(D394:D396)</f>
        <v>12040821</v>
      </c>
      <c r="E393" s="142">
        <f t="shared" ref="E393" si="131">SUM(E394:E396)</f>
        <v>12136225</v>
      </c>
      <c r="F393" s="142">
        <f t="shared" si="103"/>
        <v>-95404</v>
      </c>
      <c r="G393" s="60" t="s">
        <v>1838</v>
      </c>
      <c r="H393" s="236"/>
      <c r="I393" s="142">
        <v>2556697</v>
      </c>
      <c r="K393" s="94"/>
      <c r="M393" s="98"/>
    </row>
    <row r="394" spans="1:13" ht="25.5">
      <c r="A394" s="226"/>
      <c r="B394" s="101" t="s">
        <v>914</v>
      </c>
      <c r="C394" s="102" t="s">
        <v>1616</v>
      </c>
      <c r="D394" s="97">
        <f>+ROUND(SUM('Alimentazione CE Costi'!E631:E638),2)</f>
        <v>11671913</v>
      </c>
      <c r="E394" s="97">
        <f>+ROUND(SUM('Alimentazione CE Costi'!H631:H638),2)</f>
        <v>11774246</v>
      </c>
      <c r="F394" s="97">
        <f t="shared" si="103"/>
        <v>-102333</v>
      </c>
      <c r="G394" s="60"/>
      <c r="H394" s="236"/>
      <c r="I394" s="97">
        <v>0</v>
      </c>
      <c r="K394" s="94"/>
      <c r="M394" s="98"/>
    </row>
    <row r="395" spans="1:13" ht="25.5">
      <c r="A395" s="226"/>
      <c r="B395" s="101" t="s">
        <v>915</v>
      </c>
      <c r="C395" s="102" t="s">
        <v>1617</v>
      </c>
      <c r="D395" s="97">
        <f>+ROUND(SUM('Alimentazione CE Costi'!E640:E647),2)</f>
        <v>368908</v>
      </c>
      <c r="E395" s="97">
        <f>+ROUND(SUM('Alimentazione CE Costi'!H640:H647),2)</f>
        <v>361979</v>
      </c>
      <c r="F395" s="97">
        <f t="shared" si="103"/>
        <v>6929</v>
      </c>
      <c r="G395" s="60"/>
      <c r="H395" s="236"/>
      <c r="I395" s="97">
        <v>0</v>
      </c>
      <c r="K395" s="94"/>
      <c r="M395" s="98"/>
    </row>
    <row r="396" spans="1:13" ht="18.75">
      <c r="A396" s="226"/>
      <c r="B396" s="101" t="s">
        <v>916</v>
      </c>
      <c r="C396" s="102" t="s">
        <v>1618</v>
      </c>
      <c r="D396" s="97">
        <f>+ROUND('Alimentazione CE Costi'!E649,2)</f>
        <v>0</v>
      </c>
      <c r="E396" s="97">
        <f>+ROUND('Alimentazione CE Costi'!H649,2)</f>
        <v>0</v>
      </c>
      <c r="F396" s="97">
        <f t="shared" si="103"/>
        <v>0</v>
      </c>
      <c r="G396" s="60"/>
      <c r="H396" s="236"/>
      <c r="I396" s="97">
        <v>0</v>
      </c>
      <c r="K396" s="94"/>
      <c r="M396" s="98"/>
    </row>
    <row r="397" spans="1:13" ht="18.75">
      <c r="A397" s="222"/>
      <c r="B397" s="154" t="s">
        <v>917</v>
      </c>
      <c r="C397" s="155" t="s">
        <v>1619</v>
      </c>
      <c r="D397" s="142">
        <f t="shared" ref="D397" si="132">SUM(D398:D400)</f>
        <v>141055557</v>
      </c>
      <c r="E397" s="142">
        <f t="shared" ref="E397" si="133">SUM(E398:E400)</f>
        <v>140344901</v>
      </c>
      <c r="F397" s="142">
        <f t="shared" si="103"/>
        <v>710656</v>
      </c>
      <c r="G397" s="60" t="s">
        <v>1838</v>
      </c>
      <c r="H397" s="236"/>
      <c r="I397" s="142">
        <v>97150045</v>
      </c>
      <c r="K397" s="94"/>
      <c r="M397" s="98"/>
    </row>
    <row r="398" spans="1:13" ht="25.5">
      <c r="A398" s="226"/>
      <c r="B398" s="101" t="s">
        <v>918</v>
      </c>
      <c r="C398" s="102" t="s">
        <v>1620</v>
      </c>
      <c r="D398" s="97">
        <f>+ROUND(SUM('Alimentazione CE Costi'!E652:E664),2)</f>
        <v>137710432</v>
      </c>
      <c r="E398" s="97">
        <f>+ROUND(SUM('Alimentazione CE Costi'!H652:H664),2)</f>
        <v>134303887</v>
      </c>
      <c r="F398" s="97">
        <f t="shared" si="103"/>
        <v>3406545</v>
      </c>
      <c r="G398" s="60"/>
      <c r="H398" s="236"/>
      <c r="I398" s="97">
        <v>0</v>
      </c>
      <c r="K398" s="94"/>
      <c r="M398" s="98"/>
    </row>
    <row r="399" spans="1:13" ht="25.5">
      <c r="A399" s="226"/>
      <c r="B399" s="101" t="s">
        <v>919</v>
      </c>
      <c r="C399" s="102" t="s">
        <v>1621</v>
      </c>
      <c r="D399" s="97">
        <f>+ROUND(SUM('Alimentazione CE Costi'!E666:E707),2)</f>
        <v>3345125</v>
      </c>
      <c r="E399" s="97">
        <f>+ROUND(SUM('Alimentazione CE Costi'!H666:H707),2)</f>
        <v>6041014</v>
      </c>
      <c r="F399" s="97">
        <f t="shared" si="103"/>
        <v>-2695889</v>
      </c>
      <c r="G399" s="60"/>
      <c r="H399" s="236"/>
      <c r="I399" s="97">
        <v>0</v>
      </c>
      <c r="K399" s="94"/>
      <c r="M399" s="98"/>
    </row>
    <row r="400" spans="1:13" ht="18.75">
      <c r="A400" s="226"/>
      <c r="B400" s="101" t="s">
        <v>921</v>
      </c>
      <c r="C400" s="102" t="s">
        <v>1622</v>
      </c>
      <c r="D400" s="97">
        <f>+ROUND('Alimentazione CE Costi'!E709,2)</f>
        <v>0</v>
      </c>
      <c r="E400" s="97">
        <f>+ROUND('Alimentazione CE Costi'!H709,2)</f>
        <v>0</v>
      </c>
      <c r="F400" s="97">
        <f t="shared" si="103"/>
        <v>0</v>
      </c>
      <c r="G400" s="60"/>
      <c r="H400" s="236"/>
      <c r="I400" s="97">
        <v>0</v>
      </c>
      <c r="K400" s="94"/>
      <c r="M400" s="98"/>
    </row>
    <row r="401" spans="1:13" ht="18.75">
      <c r="A401" s="222"/>
      <c r="B401" s="134" t="s">
        <v>922</v>
      </c>
      <c r="C401" s="135" t="s">
        <v>1623</v>
      </c>
      <c r="D401" s="136">
        <f t="shared" ref="D401" si="134">+D402+D406</f>
        <v>1554787</v>
      </c>
      <c r="E401" s="136">
        <f t="shared" ref="E401" si="135">+E402+E406</f>
        <v>1466213</v>
      </c>
      <c r="F401" s="136">
        <f t="shared" si="103"/>
        <v>88574</v>
      </c>
      <c r="G401" s="60" t="s">
        <v>1838</v>
      </c>
      <c r="H401" s="236"/>
      <c r="I401" s="136">
        <v>0</v>
      </c>
      <c r="K401" s="94"/>
      <c r="M401" s="98"/>
    </row>
    <row r="402" spans="1:13" ht="25.5">
      <c r="A402" s="222"/>
      <c r="B402" s="129" t="s">
        <v>923</v>
      </c>
      <c r="C402" s="130" t="s">
        <v>1624</v>
      </c>
      <c r="D402" s="128">
        <f t="shared" ref="D402" si="136">SUM(D403:D405)</f>
        <v>1554787</v>
      </c>
      <c r="E402" s="128">
        <f t="shared" ref="E402" si="137">SUM(E403:E405)</f>
        <v>1466213</v>
      </c>
      <c r="F402" s="128">
        <f t="shared" si="103"/>
        <v>88574</v>
      </c>
      <c r="G402" s="60" t="s">
        <v>1838</v>
      </c>
      <c r="H402" s="236"/>
      <c r="I402" s="128">
        <v>0</v>
      </c>
      <c r="K402" s="94"/>
      <c r="M402" s="98"/>
    </row>
    <row r="403" spans="1:13" ht="25.5">
      <c r="A403" s="226"/>
      <c r="B403" s="101" t="s">
        <v>924</v>
      </c>
      <c r="C403" s="102" t="s">
        <v>1625</v>
      </c>
      <c r="D403" s="97">
        <f>+ROUND(SUM('Alimentazione CE Costi'!E713:E720),2)</f>
        <v>1275253</v>
      </c>
      <c r="E403" s="97">
        <f>+ROUND(SUM('Alimentazione CE Costi'!H713:H720),2)</f>
        <v>1180410</v>
      </c>
      <c r="F403" s="97">
        <f t="shared" si="103"/>
        <v>94843</v>
      </c>
      <c r="G403" s="60"/>
      <c r="H403" s="236"/>
      <c r="I403" s="97">
        <v>0</v>
      </c>
      <c r="K403" s="94"/>
      <c r="M403" s="98"/>
    </row>
    <row r="404" spans="1:13" ht="25.5">
      <c r="A404" s="226"/>
      <c r="B404" s="101" t="s">
        <v>925</v>
      </c>
      <c r="C404" s="102" t="s">
        <v>1626</v>
      </c>
      <c r="D404" s="97">
        <f>+ROUND(SUM('Alimentazione CE Costi'!E722:E729),2)</f>
        <v>279534</v>
      </c>
      <c r="E404" s="97">
        <f>+ROUND(SUM('Alimentazione CE Costi'!H722:H729),2)</f>
        <v>285803</v>
      </c>
      <c r="F404" s="97">
        <f t="shared" si="103"/>
        <v>-6269</v>
      </c>
      <c r="G404" s="60"/>
      <c r="H404" s="236"/>
      <c r="I404" s="97">
        <v>0</v>
      </c>
      <c r="K404" s="94"/>
      <c r="M404" s="98"/>
    </row>
    <row r="405" spans="1:13" ht="25.5">
      <c r="A405" s="226"/>
      <c r="B405" s="101" t="s">
        <v>927</v>
      </c>
      <c r="C405" s="102" t="s">
        <v>1627</v>
      </c>
      <c r="D405" s="97">
        <f>+ROUND('Alimentazione CE Costi'!E731,2)</f>
        <v>0</v>
      </c>
      <c r="E405" s="97">
        <f>+ROUND('Alimentazione CE Costi'!H731,2)</f>
        <v>0</v>
      </c>
      <c r="F405" s="97">
        <f t="shared" si="103"/>
        <v>0</v>
      </c>
      <c r="G405" s="60"/>
      <c r="H405" s="236"/>
      <c r="I405" s="97">
        <v>0</v>
      </c>
      <c r="K405" s="94"/>
      <c r="M405" s="98"/>
    </row>
    <row r="406" spans="1:13" ht="25.5">
      <c r="A406" s="222"/>
      <c r="B406" s="129" t="s">
        <v>928</v>
      </c>
      <c r="C406" s="130" t="s">
        <v>1628</v>
      </c>
      <c r="D406" s="128">
        <f t="shared" ref="D406" si="138">SUM(D407:D409)</f>
        <v>0</v>
      </c>
      <c r="E406" s="128">
        <f t="shared" ref="E406" si="139">SUM(E407:E409)</f>
        <v>0</v>
      </c>
      <c r="F406" s="128">
        <f t="shared" si="103"/>
        <v>0</v>
      </c>
      <c r="G406" s="60" t="s">
        <v>1838</v>
      </c>
      <c r="H406" s="236"/>
      <c r="I406" s="128">
        <v>0</v>
      </c>
      <c r="K406" s="94"/>
      <c r="M406" s="98"/>
    </row>
    <row r="407" spans="1:13" ht="25.5">
      <c r="A407" s="226"/>
      <c r="B407" s="101" t="s">
        <v>929</v>
      </c>
      <c r="C407" s="102" t="s">
        <v>1629</v>
      </c>
      <c r="D407" s="97">
        <f>+ROUND(SUM('Alimentazione CE Costi'!E734:E746),2)</f>
        <v>0</v>
      </c>
      <c r="E407" s="97">
        <f>+ROUND(SUM('Alimentazione CE Costi'!H734:H746),2)</f>
        <v>0</v>
      </c>
      <c r="F407" s="97">
        <f t="shared" si="103"/>
        <v>0</v>
      </c>
      <c r="G407" s="60"/>
      <c r="H407" s="236"/>
      <c r="I407" s="97">
        <v>0</v>
      </c>
      <c r="K407" s="94"/>
      <c r="M407" s="98"/>
    </row>
    <row r="408" spans="1:13" ht="25.5">
      <c r="A408" s="226"/>
      <c r="B408" s="101" t="s">
        <v>930</v>
      </c>
      <c r="C408" s="102" t="s">
        <v>1630</v>
      </c>
      <c r="D408" s="97">
        <f>+ROUND(SUM('Alimentazione CE Costi'!E748:E760),2)</f>
        <v>0</v>
      </c>
      <c r="E408" s="97">
        <f>+ROUND(SUM('Alimentazione CE Costi'!H748:H760),2)</f>
        <v>0</v>
      </c>
      <c r="F408" s="97">
        <f t="shared" si="103"/>
        <v>0</v>
      </c>
      <c r="G408" s="60"/>
      <c r="H408" s="236"/>
      <c r="I408" s="97">
        <v>0</v>
      </c>
      <c r="K408" s="94"/>
      <c r="M408" s="98"/>
    </row>
    <row r="409" spans="1:13" ht="25.5">
      <c r="A409" s="226"/>
      <c r="B409" s="101" t="s">
        <v>932</v>
      </c>
      <c r="C409" s="102" t="s">
        <v>1631</v>
      </c>
      <c r="D409" s="97">
        <f>+ROUND('Alimentazione CE Costi'!E762,2)</f>
        <v>0</v>
      </c>
      <c r="E409" s="97">
        <f>+ROUND('Alimentazione CE Costi'!H762,2)</f>
        <v>0</v>
      </c>
      <c r="F409" s="97">
        <f t="shared" si="103"/>
        <v>0</v>
      </c>
      <c r="G409" s="60"/>
      <c r="H409" s="236"/>
      <c r="I409" s="97">
        <v>0</v>
      </c>
      <c r="K409" s="94"/>
      <c r="M409" s="98"/>
    </row>
    <row r="410" spans="1:13" ht="18.75">
      <c r="A410" s="222"/>
      <c r="B410" s="134" t="s">
        <v>933</v>
      </c>
      <c r="C410" s="135" t="s">
        <v>1632</v>
      </c>
      <c r="D410" s="136">
        <f t="shared" ref="D410" si="140">+D411+D415</f>
        <v>51742596</v>
      </c>
      <c r="E410" s="136">
        <f t="shared" ref="E410" si="141">+E411+E415</f>
        <v>53417839</v>
      </c>
      <c r="F410" s="136">
        <f t="shared" ref="F410:F473" si="142">+D410-E410</f>
        <v>-1675243</v>
      </c>
      <c r="G410" s="60" t="s">
        <v>1838</v>
      </c>
      <c r="H410" s="236"/>
      <c r="I410" s="136">
        <v>9486636</v>
      </c>
      <c r="K410" s="94"/>
      <c r="M410" s="98"/>
    </row>
    <row r="411" spans="1:13" ht="18.75">
      <c r="A411" s="222"/>
      <c r="B411" s="129" t="s">
        <v>934</v>
      </c>
      <c r="C411" s="130" t="s">
        <v>1633</v>
      </c>
      <c r="D411" s="128">
        <f t="shared" ref="D411" si="143">SUM(D412:D414)</f>
        <v>76407</v>
      </c>
      <c r="E411" s="128">
        <f t="shared" ref="E411" si="144">SUM(E412:E414)</f>
        <v>174974</v>
      </c>
      <c r="F411" s="128">
        <f t="shared" si="142"/>
        <v>-98567</v>
      </c>
      <c r="G411" s="60" t="s">
        <v>1838</v>
      </c>
      <c r="H411" s="236"/>
      <c r="I411" s="128">
        <v>0</v>
      </c>
      <c r="K411" s="94"/>
      <c r="M411" s="98"/>
    </row>
    <row r="412" spans="1:13" ht="25.5">
      <c r="A412" s="226"/>
      <c r="B412" s="101" t="s">
        <v>935</v>
      </c>
      <c r="C412" s="102" t="s">
        <v>1634</v>
      </c>
      <c r="D412" s="97">
        <f>+ROUND(SUM('Alimentazione CE Costi'!E766:E773),2)</f>
        <v>76407</v>
      </c>
      <c r="E412" s="97">
        <f>+ROUND(SUM('Alimentazione CE Costi'!H766:H773),2)</f>
        <v>120872</v>
      </c>
      <c r="F412" s="97">
        <f t="shared" si="142"/>
        <v>-44465</v>
      </c>
      <c r="G412" s="60"/>
      <c r="H412" s="236"/>
      <c r="I412" s="97">
        <v>0</v>
      </c>
      <c r="K412" s="94"/>
      <c r="M412" s="98"/>
    </row>
    <row r="413" spans="1:13" ht="25.5">
      <c r="A413" s="226"/>
      <c r="B413" s="101" t="s">
        <v>936</v>
      </c>
      <c r="C413" s="102" t="s">
        <v>1635</v>
      </c>
      <c r="D413" s="97">
        <f>+ROUND(SUM('Alimentazione CE Costi'!E775:E782),2)</f>
        <v>0</v>
      </c>
      <c r="E413" s="97">
        <f>+ROUND(SUM('Alimentazione CE Costi'!H775:H782),2)</f>
        <v>54102</v>
      </c>
      <c r="F413" s="97">
        <f t="shared" si="142"/>
        <v>-54102</v>
      </c>
      <c r="G413" s="60"/>
      <c r="H413" s="236"/>
      <c r="I413" s="97">
        <v>0</v>
      </c>
      <c r="K413" s="94"/>
      <c r="M413" s="98"/>
    </row>
    <row r="414" spans="1:13" ht="18.75">
      <c r="A414" s="226"/>
      <c r="B414" s="101" t="s">
        <v>938</v>
      </c>
      <c r="C414" s="102" t="s">
        <v>1636</v>
      </c>
      <c r="D414" s="97">
        <f>+ROUND('Alimentazione CE Costi'!E784,2)</f>
        <v>0</v>
      </c>
      <c r="E414" s="97">
        <f>+ROUND('Alimentazione CE Costi'!H784,2)</f>
        <v>0</v>
      </c>
      <c r="F414" s="97">
        <f t="shared" si="142"/>
        <v>0</v>
      </c>
      <c r="G414" s="60"/>
      <c r="H414" s="236"/>
      <c r="I414" s="97">
        <v>0</v>
      </c>
      <c r="K414" s="94"/>
      <c r="M414" s="98"/>
    </row>
    <row r="415" spans="1:13" ht="18.75">
      <c r="A415" s="222"/>
      <c r="B415" s="129" t="s">
        <v>939</v>
      </c>
      <c r="C415" s="130" t="s">
        <v>1637</v>
      </c>
      <c r="D415" s="128">
        <f t="shared" ref="D415" si="145">SUM(D416:D418)</f>
        <v>51666189</v>
      </c>
      <c r="E415" s="128">
        <f t="shared" ref="E415" si="146">SUM(E416:E418)</f>
        <v>53242865</v>
      </c>
      <c r="F415" s="128">
        <f t="shared" si="142"/>
        <v>-1576676</v>
      </c>
      <c r="G415" s="60" t="s">
        <v>1838</v>
      </c>
      <c r="H415" s="236"/>
      <c r="I415" s="128">
        <v>9486636</v>
      </c>
      <c r="K415" s="94"/>
      <c r="M415" s="98"/>
    </row>
    <row r="416" spans="1:13" ht="25.5">
      <c r="A416" s="226"/>
      <c r="B416" s="101" t="s">
        <v>940</v>
      </c>
      <c r="C416" s="102" t="s">
        <v>1638</v>
      </c>
      <c r="D416" s="97">
        <f>+ROUND(SUM('Alimentazione CE Costi'!E787:E814),2)</f>
        <v>47080645</v>
      </c>
      <c r="E416" s="97">
        <f>+ROUND(SUM('Alimentazione CE Costi'!H787:H814),2)</f>
        <v>48470031</v>
      </c>
      <c r="F416" s="97">
        <f t="shared" si="142"/>
        <v>-1389386</v>
      </c>
      <c r="G416" s="60"/>
      <c r="H416" s="236"/>
      <c r="I416" s="97">
        <v>0</v>
      </c>
      <c r="K416" s="94"/>
      <c r="M416" s="98"/>
    </row>
    <row r="417" spans="1:13" ht="25.5">
      <c r="A417" s="226"/>
      <c r="B417" s="101" t="s">
        <v>941</v>
      </c>
      <c r="C417" s="102" t="s">
        <v>1639</v>
      </c>
      <c r="D417" s="97">
        <f>+ROUND(SUM('Alimentazione CE Costi'!E816:E843),2)</f>
        <v>4585544</v>
      </c>
      <c r="E417" s="97">
        <f>+ROUND(SUM('Alimentazione CE Costi'!H816:H843),2)</f>
        <v>4772834</v>
      </c>
      <c r="F417" s="97">
        <f t="shared" si="142"/>
        <v>-187290</v>
      </c>
      <c r="G417" s="60"/>
      <c r="H417" s="236"/>
      <c r="I417" s="97">
        <v>0</v>
      </c>
      <c r="K417" s="94"/>
      <c r="M417" s="98"/>
    </row>
    <row r="418" spans="1:13" ht="18.75">
      <c r="A418" s="226"/>
      <c r="B418" s="101" t="s">
        <v>943</v>
      </c>
      <c r="C418" s="102" t="s">
        <v>1640</v>
      </c>
      <c r="D418" s="97">
        <f>+ROUND('Alimentazione CE Costi'!E845,2)</f>
        <v>0</v>
      </c>
      <c r="E418" s="97">
        <f>+ROUND('Alimentazione CE Costi'!H845,2)</f>
        <v>0</v>
      </c>
      <c r="F418" s="97">
        <f t="shared" si="142"/>
        <v>0</v>
      </c>
      <c r="G418" s="60"/>
      <c r="H418" s="236"/>
      <c r="I418" s="97">
        <v>0</v>
      </c>
      <c r="K418" s="94"/>
      <c r="M418" s="98"/>
    </row>
    <row r="419" spans="1:13" ht="18.75">
      <c r="A419" s="222"/>
      <c r="B419" s="134" t="s">
        <v>944</v>
      </c>
      <c r="C419" s="135" t="s">
        <v>1641</v>
      </c>
      <c r="D419" s="136">
        <f t="shared" ref="D419" si="147">+D420+D424</f>
        <v>17988494</v>
      </c>
      <c r="E419" s="136">
        <f t="shared" ref="E419" si="148">+E420+E424</f>
        <v>19451330</v>
      </c>
      <c r="F419" s="136">
        <f t="shared" si="142"/>
        <v>-1462836</v>
      </c>
      <c r="G419" s="60" t="s">
        <v>1838</v>
      </c>
      <c r="H419" s="236"/>
      <c r="I419" s="136">
        <v>1853225</v>
      </c>
      <c r="K419" s="94"/>
      <c r="M419" s="98"/>
    </row>
    <row r="420" spans="1:13" ht="25.5">
      <c r="A420" s="222"/>
      <c r="B420" s="129" t="s">
        <v>945</v>
      </c>
      <c r="C420" s="130" t="s">
        <v>1642</v>
      </c>
      <c r="D420" s="128">
        <f t="shared" ref="D420" si="149">SUM(D421:D423)</f>
        <v>1753612</v>
      </c>
      <c r="E420" s="128">
        <f t="shared" ref="E420" si="150">SUM(E421:E423)</f>
        <v>1803059</v>
      </c>
      <c r="F420" s="128">
        <f t="shared" si="142"/>
        <v>-49447</v>
      </c>
      <c r="G420" s="60" t="s">
        <v>1838</v>
      </c>
      <c r="H420" s="236"/>
      <c r="I420" s="128">
        <v>0</v>
      </c>
      <c r="K420" s="94"/>
      <c r="M420" s="98"/>
    </row>
    <row r="421" spans="1:13" ht="25.5">
      <c r="A421" s="226"/>
      <c r="B421" s="101" t="s">
        <v>946</v>
      </c>
      <c r="C421" s="102" t="s">
        <v>1643</v>
      </c>
      <c r="D421" s="97">
        <f>+ROUND(SUM('Alimentazione CE Costi'!E849:E856),2)</f>
        <v>1422793</v>
      </c>
      <c r="E421" s="97">
        <f>+ROUND(SUM('Alimentazione CE Costi'!H849:H856),2)</f>
        <v>1562047</v>
      </c>
      <c r="F421" s="97">
        <f t="shared" si="142"/>
        <v>-139254</v>
      </c>
      <c r="G421" s="60"/>
      <c r="H421" s="236"/>
      <c r="I421" s="97">
        <v>0</v>
      </c>
      <c r="K421" s="94"/>
      <c r="M421" s="98"/>
    </row>
    <row r="422" spans="1:13" ht="25.5">
      <c r="A422" s="226"/>
      <c r="B422" s="101" t="s">
        <v>947</v>
      </c>
      <c r="C422" s="102" t="s">
        <v>1644</v>
      </c>
      <c r="D422" s="97">
        <f>+ROUND(SUM('Alimentazione CE Costi'!E858:E865),2)</f>
        <v>330819</v>
      </c>
      <c r="E422" s="97">
        <f>+ROUND(SUM('Alimentazione CE Costi'!H858:H865),2)</f>
        <v>241012</v>
      </c>
      <c r="F422" s="97">
        <f t="shared" si="142"/>
        <v>89807</v>
      </c>
      <c r="G422" s="60"/>
      <c r="H422" s="236"/>
      <c r="I422" s="97">
        <v>0</v>
      </c>
      <c r="K422" s="94"/>
      <c r="M422" s="98"/>
    </row>
    <row r="423" spans="1:13" ht="25.5">
      <c r="A423" s="226"/>
      <c r="B423" s="101" t="s">
        <v>949</v>
      </c>
      <c r="C423" s="102" t="s">
        <v>1645</v>
      </c>
      <c r="D423" s="97">
        <f>+ROUND('Alimentazione CE Costi'!E867,2)</f>
        <v>0</v>
      </c>
      <c r="E423" s="97">
        <f>+ROUND('Alimentazione CE Costi'!H867,2)</f>
        <v>0</v>
      </c>
      <c r="F423" s="97">
        <f t="shared" si="142"/>
        <v>0</v>
      </c>
      <c r="G423" s="60"/>
      <c r="H423" s="236"/>
      <c r="I423" s="97">
        <v>0</v>
      </c>
      <c r="K423" s="94"/>
      <c r="M423" s="98"/>
    </row>
    <row r="424" spans="1:13" ht="25.5">
      <c r="A424" s="222"/>
      <c r="B424" s="129" t="s">
        <v>950</v>
      </c>
      <c r="C424" s="130" t="s">
        <v>1646</v>
      </c>
      <c r="D424" s="128">
        <f t="shared" ref="D424" si="151">SUM(D425:D427)</f>
        <v>16234882</v>
      </c>
      <c r="E424" s="128">
        <f t="shared" ref="E424" si="152">SUM(E425:E427)</f>
        <v>17648271</v>
      </c>
      <c r="F424" s="128">
        <f t="shared" si="142"/>
        <v>-1413389</v>
      </c>
      <c r="G424" s="60" t="s">
        <v>1838</v>
      </c>
      <c r="H424" s="236"/>
      <c r="I424" s="128">
        <v>1853225</v>
      </c>
      <c r="K424" s="94"/>
      <c r="M424" s="98"/>
    </row>
    <row r="425" spans="1:13" ht="25.5">
      <c r="A425" s="226"/>
      <c r="B425" s="101" t="s">
        <v>951</v>
      </c>
      <c r="C425" s="102" t="s">
        <v>1647</v>
      </c>
      <c r="D425" s="97">
        <f>+ROUND(SUM('Alimentazione CE Costi'!E870:E882),2)</f>
        <v>13605651</v>
      </c>
      <c r="E425" s="97">
        <f>+ROUND(SUM('Alimentazione CE Costi'!H870:H882),2)</f>
        <v>14048137</v>
      </c>
      <c r="F425" s="97">
        <f t="shared" si="142"/>
        <v>-442486</v>
      </c>
      <c r="G425" s="60"/>
      <c r="H425" s="236"/>
      <c r="I425" s="97">
        <v>0</v>
      </c>
      <c r="K425" s="94"/>
      <c r="M425" s="98"/>
    </row>
    <row r="426" spans="1:13" ht="25.5">
      <c r="A426" s="226"/>
      <c r="B426" s="101" t="s">
        <v>952</v>
      </c>
      <c r="C426" s="102" t="s">
        <v>1648</v>
      </c>
      <c r="D426" s="97">
        <f>+ROUND(SUM('Alimentazione CE Costi'!E884:E896),2)</f>
        <v>2629231</v>
      </c>
      <c r="E426" s="97">
        <f>+ROUND(SUM('Alimentazione CE Costi'!H884:H896),2)</f>
        <v>3600134</v>
      </c>
      <c r="F426" s="97">
        <f t="shared" si="142"/>
        <v>-970903</v>
      </c>
      <c r="G426" s="60"/>
      <c r="H426" s="236"/>
      <c r="I426" s="97">
        <v>0</v>
      </c>
      <c r="K426" s="94"/>
      <c r="M426" s="98"/>
    </row>
    <row r="427" spans="1:13" ht="25.5">
      <c r="A427" s="226"/>
      <c r="B427" s="101" t="s">
        <v>954</v>
      </c>
      <c r="C427" s="102" t="s">
        <v>1649</v>
      </c>
      <c r="D427" s="97">
        <f>+ROUND('Alimentazione CE Costi'!E898,2)</f>
        <v>0</v>
      </c>
      <c r="E427" s="97">
        <f>+ROUND('Alimentazione CE Costi'!H898,2)</f>
        <v>0</v>
      </c>
      <c r="F427" s="97">
        <f t="shared" si="142"/>
        <v>0</v>
      </c>
      <c r="G427" s="60"/>
      <c r="H427" s="236"/>
      <c r="I427" s="97">
        <v>0</v>
      </c>
      <c r="K427" s="94"/>
      <c r="M427" s="98"/>
    </row>
    <row r="428" spans="1:13" ht="18.75">
      <c r="A428" s="222"/>
      <c r="B428" s="134" t="s">
        <v>955</v>
      </c>
      <c r="C428" s="135" t="s">
        <v>1650</v>
      </c>
      <c r="D428" s="136">
        <f t="shared" ref="D428" si="153">+D429+D430+D431</f>
        <v>2260165</v>
      </c>
      <c r="E428" s="136">
        <f t="shared" ref="E428" si="154">+E429+E430+E431</f>
        <v>2397377</v>
      </c>
      <c r="F428" s="136">
        <f t="shared" si="142"/>
        <v>-137212</v>
      </c>
      <c r="G428" s="60" t="s">
        <v>1838</v>
      </c>
      <c r="H428" s="236"/>
      <c r="I428" s="136">
        <v>0</v>
      </c>
      <c r="K428" s="94"/>
      <c r="M428" s="98"/>
    </row>
    <row r="429" spans="1:13" ht="18.75">
      <c r="A429" s="222"/>
      <c r="B429" s="99" t="s">
        <v>956</v>
      </c>
      <c r="C429" s="100" t="s">
        <v>1651</v>
      </c>
      <c r="D429" s="107">
        <f>+ROUND(SUM('Alimentazione CE Costi'!E901:E907),2)</f>
        <v>1286000</v>
      </c>
      <c r="E429" s="107">
        <f>+ROUND(SUM('Alimentazione CE Costi'!H901:H907),2)</f>
        <v>1419000</v>
      </c>
      <c r="F429" s="107">
        <f t="shared" si="142"/>
        <v>-133000</v>
      </c>
      <c r="G429" s="60"/>
      <c r="H429" s="236"/>
      <c r="I429" s="107">
        <v>0</v>
      </c>
      <c r="K429" s="94"/>
      <c r="M429" s="98"/>
    </row>
    <row r="430" spans="1:13" ht="18.75">
      <c r="A430" s="222"/>
      <c r="B430" s="99" t="s">
        <v>965</v>
      </c>
      <c r="C430" s="100" t="s">
        <v>1652</v>
      </c>
      <c r="D430" s="107">
        <f>+ROUND('Alimentazione CE Costi'!E909,2)</f>
        <v>0</v>
      </c>
      <c r="E430" s="107">
        <f>+ROUND('Alimentazione CE Costi'!H909,2)</f>
        <v>0</v>
      </c>
      <c r="F430" s="107">
        <f t="shared" si="142"/>
        <v>0</v>
      </c>
      <c r="G430" s="60"/>
      <c r="H430" s="236"/>
      <c r="I430" s="107">
        <v>0</v>
      </c>
      <c r="K430" s="94"/>
      <c r="M430" s="98"/>
    </row>
    <row r="431" spans="1:13" ht="18.75">
      <c r="A431" s="222"/>
      <c r="B431" s="129" t="s">
        <v>967</v>
      </c>
      <c r="C431" s="130" t="s">
        <v>1653</v>
      </c>
      <c r="D431" s="128">
        <f t="shared" ref="D431" si="155">+D432+D433+D434+D435</f>
        <v>974165</v>
      </c>
      <c r="E431" s="128">
        <f t="shared" ref="E431" si="156">+E432+E433+E434+E435</f>
        <v>978377</v>
      </c>
      <c r="F431" s="128">
        <f t="shared" si="142"/>
        <v>-4212</v>
      </c>
      <c r="G431" s="60" t="s">
        <v>1838</v>
      </c>
      <c r="H431" s="236"/>
      <c r="I431" s="128">
        <v>0</v>
      </c>
      <c r="K431" s="94"/>
      <c r="M431" s="98"/>
    </row>
    <row r="432" spans="1:13" ht="25.5">
      <c r="A432" s="222"/>
      <c r="B432" s="101" t="s">
        <v>968</v>
      </c>
      <c r="C432" s="102" t="s">
        <v>1654</v>
      </c>
      <c r="D432" s="97">
        <f>+ROUND(SUM('Alimentazione CE Costi'!E913:E923),2)</f>
        <v>877000</v>
      </c>
      <c r="E432" s="97">
        <f>+ROUND(SUM('Alimentazione CE Costi'!H913:H923),2)</f>
        <v>877000</v>
      </c>
      <c r="F432" s="97">
        <f t="shared" si="142"/>
        <v>0</v>
      </c>
      <c r="G432" s="60"/>
      <c r="H432" s="236"/>
      <c r="I432" s="97">
        <v>0</v>
      </c>
      <c r="K432" s="94"/>
      <c r="M432" s="98"/>
    </row>
    <row r="433" spans="1:13" ht="18.75">
      <c r="A433" s="226"/>
      <c r="B433" s="101" t="s">
        <v>975</v>
      </c>
      <c r="C433" s="102" t="s">
        <v>1655</v>
      </c>
      <c r="D433" s="97">
        <f>+ROUND('Alimentazione CE Costi'!E925+'Alimentazione CE Costi'!E926+'Alimentazione CE Costi'!E927,2)</f>
        <v>97165</v>
      </c>
      <c r="E433" s="97">
        <f>+ROUND('Alimentazione CE Costi'!H925+'Alimentazione CE Costi'!H926+'Alimentazione CE Costi'!H927,2)</f>
        <v>101377</v>
      </c>
      <c r="F433" s="97">
        <f t="shared" si="142"/>
        <v>-4212</v>
      </c>
      <c r="G433" s="60"/>
      <c r="H433" s="236"/>
      <c r="I433" s="97">
        <v>0</v>
      </c>
      <c r="K433" s="94"/>
      <c r="M433" s="98"/>
    </row>
    <row r="434" spans="1:13" ht="25.5">
      <c r="A434" s="226" t="s">
        <v>1253</v>
      </c>
      <c r="B434" s="101" t="s">
        <v>979</v>
      </c>
      <c r="C434" s="102" t="s">
        <v>1656</v>
      </c>
      <c r="D434" s="97">
        <f>+ROUND('Alimentazione CE Costi'!E929,2)</f>
        <v>0</v>
      </c>
      <c r="E434" s="97">
        <f>+ROUND('Alimentazione CE Costi'!H929,2)</f>
        <v>0</v>
      </c>
      <c r="F434" s="97">
        <f t="shared" si="142"/>
        <v>0</v>
      </c>
      <c r="G434" s="60"/>
      <c r="H434" s="236"/>
      <c r="I434" s="97">
        <v>0</v>
      </c>
      <c r="K434" s="94"/>
      <c r="M434" s="98"/>
    </row>
    <row r="435" spans="1:13" ht="25.5">
      <c r="A435" s="226"/>
      <c r="B435" s="101" t="s">
        <v>981</v>
      </c>
      <c r="C435" s="102" t="s">
        <v>1657</v>
      </c>
      <c r="D435" s="97">
        <f>+ROUND('Alimentazione CE Costi'!E931,2)</f>
        <v>0</v>
      </c>
      <c r="E435" s="97">
        <f>+ROUND('Alimentazione CE Costi'!H931,2)</f>
        <v>0</v>
      </c>
      <c r="F435" s="97">
        <f t="shared" si="142"/>
        <v>0</v>
      </c>
      <c r="G435" s="60"/>
      <c r="H435" s="236"/>
      <c r="I435" s="97">
        <v>0</v>
      </c>
      <c r="K435" s="94"/>
      <c r="M435" s="98"/>
    </row>
    <row r="436" spans="1:13" ht="18.75">
      <c r="A436" s="222"/>
      <c r="B436" s="159" t="s">
        <v>1658</v>
      </c>
      <c r="C436" s="160" t="s">
        <v>1659</v>
      </c>
      <c r="D436" s="149">
        <f t="shared" ref="D436" si="157">+D437+D438</f>
        <v>26474000</v>
      </c>
      <c r="E436" s="149">
        <f t="shared" ref="E436" si="158">+E437+E438</f>
        <v>26474000</v>
      </c>
      <c r="F436" s="149">
        <f t="shared" si="142"/>
        <v>0</v>
      </c>
      <c r="G436" s="60" t="s">
        <v>1838</v>
      </c>
      <c r="H436" s="236"/>
      <c r="I436" s="149">
        <v>20529489</v>
      </c>
      <c r="K436" s="94"/>
      <c r="M436" s="98"/>
    </row>
    <row r="437" spans="1:13" ht="18.75">
      <c r="A437" s="222"/>
      <c r="B437" s="95" t="s">
        <v>982</v>
      </c>
      <c r="C437" s="96" t="s">
        <v>1660</v>
      </c>
      <c r="D437" s="97">
        <f>+ROUND(SUM('Alimentazione CE Costi'!E933:E940),2)</f>
        <v>600000</v>
      </c>
      <c r="E437" s="97">
        <f>+ROUND(SUM('Alimentazione CE Costi'!H933:H940),2)</f>
        <v>600000</v>
      </c>
      <c r="F437" s="97">
        <f t="shared" si="142"/>
        <v>0</v>
      </c>
      <c r="G437" s="60"/>
      <c r="H437" s="236"/>
      <c r="I437" s="97">
        <v>0</v>
      </c>
      <c r="K437" s="94"/>
      <c r="M437" s="98"/>
    </row>
    <row r="438" spans="1:13" ht="18.75">
      <c r="A438" s="222"/>
      <c r="B438" s="134" t="s">
        <v>990</v>
      </c>
      <c r="C438" s="135" t="s">
        <v>1661</v>
      </c>
      <c r="D438" s="136">
        <f t="shared" ref="D438" si="159">+D439+D442</f>
        <v>25874000</v>
      </c>
      <c r="E438" s="136">
        <f t="shared" ref="E438" si="160">+E439+E442</f>
        <v>25874000</v>
      </c>
      <c r="F438" s="136">
        <f t="shared" si="142"/>
        <v>0</v>
      </c>
      <c r="G438" s="60" t="s">
        <v>1838</v>
      </c>
      <c r="H438" s="236"/>
      <c r="I438" s="136">
        <v>20529489</v>
      </c>
      <c r="K438" s="94"/>
      <c r="M438" s="98"/>
    </row>
    <row r="439" spans="1:13" ht="18.75">
      <c r="A439" s="224"/>
      <c r="B439" s="129" t="s">
        <v>991</v>
      </c>
      <c r="C439" s="130" t="s">
        <v>1662</v>
      </c>
      <c r="D439" s="128">
        <f t="shared" ref="D439" si="161">+D440+D441</f>
        <v>16230000</v>
      </c>
      <c r="E439" s="128">
        <f t="shared" ref="E439" si="162">+E440+E441</f>
        <v>16230000</v>
      </c>
      <c r="F439" s="128">
        <f t="shared" si="142"/>
        <v>0</v>
      </c>
      <c r="G439" s="60" t="s">
        <v>1838</v>
      </c>
      <c r="H439" s="236"/>
      <c r="I439" s="128">
        <v>12750738</v>
      </c>
      <c r="K439" s="94"/>
      <c r="M439" s="98"/>
    </row>
    <row r="440" spans="1:13" ht="25.5">
      <c r="A440" s="224"/>
      <c r="B440" s="101" t="s">
        <v>993</v>
      </c>
      <c r="C440" s="102" t="s">
        <v>1663</v>
      </c>
      <c r="D440" s="97">
        <f>+ROUND('Alimentazione CE Costi'!E944,2)</f>
        <v>65000</v>
      </c>
      <c r="E440" s="97">
        <f>+ROUND('Alimentazione CE Costi'!H944,2)</f>
        <v>65000</v>
      </c>
      <c r="F440" s="97">
        <f t="shared" si="142"/>
        <v>0</v>
      </c>
      <c r="G440" s="350"/>
      <c r="H440" s="236"/>
      <c r="I440" s="97">
        <v>0</v>
      </c>
      <c r="K440" s="94"/>
      <c r="M440" s="98"/>
    </row>
    <row r="441" spans="1:13" ht="25.5">
      <c r="A441" s="224"/>
      <c r="B441" s="101" t="s">
        <v>995</v>
      </c>
      <c r="C441" s="102" t="s">
        <v>1664</v>
      </c>
      <c r="D441" s="97">
        <f>+ROUND('Alimentazione CE Costi'!E946,2)</f>
        <v>16165000</v>
      </c>
      <c r="E441" s="97">
        <f>+ROUND('Alimentazione CE Costi'!H946,2)</f>
        <v>16165000</v>
      </c>
      <c r="F441" s="97">
        <f t="shared" si="142"/>
        <v>0</v>
      </c>
      <c r="G441" s="350"/>
      <c r="H441" s="236"/>
      <c r="I441" s="97">
        <v>12750738</v>
      </c>
      <c r="K441" s="94"/>
      <c r="M441" s="98"/>
    </row>
    <row r="442" spans="1:13" ht="25.5">
      <c r="A442" s="224"/>
      <c r="B442" s="95" t="s">
        <v>996</v>
      </c>
      <c r="C442" s="96" t="s">
        <v>1665</v>
      </c>
      <c r="D442" s="97">
        <f>+ROUND(SUM('Alimentazione CE Costi'!E948:E952),2)</f>
        <v>9644000</v>
      </c>
      <c r="E442" s="97">
        <f>+ROUND(SUM('Alimentazione CE Costi'!H948:H952),2)</f>
        <v>9644000</v>
      </c>
      <c r="F442" s="97">
        <f t="shared" si="142"/>
        <v>0</v>
      </c>
      <c r="G442" s="350"/>
      <c r="H442" s="236"/>
      <c r="I442" s="97">
        <v>7778751</v>
      </c>
      <c r="K442" s="94"/>
      <c r="M442" s="98"/>
    </row>
    <row r="443" spans="1:13" ht="18.75">
      <c r="A443" s="224"/>
      <c r="B443" s="134" t="s">
        <v>1002</v>
      </c>
      <c r="C443" s="135" t="s">
        <v>1666</v>
      </c>
      <c r="D443" s="136">
        <f t="shared" ref="D443" si="163">+D444+D445</f>
        <v>0</v>
      </c>
      <c r="E443" s="136">
        <f t="shared" ref="E443" si="164">+E444+E445</f>
        <v>0</v>
      </c>
      <c r="F443" s="136">
        <f t="shared" si="142"/>
        <v>0</v>
      </c>
      <c r="G443" s="60" t="s">
        <v>1838</v>
      </c>
      <c r="H443" s="236"/>
      <c r="I443" s="136">
        <v>0</v>
      </c>
      <c r="K443" s="94"/>
      <c r="M443" s="98"/>
    </row>
    <row r="444" spans="1:13" ht="25.5">
      <c r="A444" s="224"/>
      <c r="B444" s="99" t="s">
        <v>1003</v>
      </c>
      <c r="C444" s="100" t="s">
        <v>1667</v>
      </c>
      <c r="D444" s="107">
        <f>+ROUND(SUM('Alimentazione CE Costi'!E956:E970),2)</f>
        <v>0</v>
      </c>
      <c r="E444" s="107">
        <f>+ROUND(SUM('Alimentazione CE Costi'!H956:H970),2)</f>
        <v>0</v>
      </c>
      <c r="F444" s="107">
        <f t="shared" si="142"/>
        <v>0</v>
      </c>
      <c r="G444" s="350"/>
      <c r="H444" s="236"/>
      <c r="I444" s="107">
        <v>0</v>
      </c>
      <c r="K444" s="94"/>
      <c r="M444" s="98"/>
    </row>
    <row r="445" spans="1:13" ht="18.75">
      <c r="A445" s="224"/>
      <c r="B445" s="99" t="s">
        <v>1019</v>
      </c>
      <c r="C445" s="100" t="s">
        <v>1668</v>
      </c>
      <c r="D445" s="97">
        <f>+ROUND(SUM('Alimentazione CE Costi'!E972:E1018),2)</f>
        <v>0</v>
      </c>
      <c r="E445" s="97">
        <f>+ROUND(SUM('Alimentazione CE Costi'!H972:H1018),2)</f>
        <v>0</v>
      </c>
      <c r="F445" s="97">
        <f t="shared" si="142"/>
        <v>0</v>
      </c>
      <c r="G445" s="350"/>
      <c r="H445" s="236"/>
      <c r="I445" s="97">
        <v>0</v>
      </c>
      <c r="K445" s="94"/>
      <c r="M445" s="98"/>
    </row>
    <row r="446" spans="1:13" ht="18.75">
      <c r="A446" s="224"/>
      <c r="B446" s="134" t="s">
        <v>1066</v>
      </c>
      <c r="C446" s="135" t="s">
        <v>1669</v>
      </c>
      <c r="D446" s="136">
        <f t="shared" ref="D446" si="165">+D447+D456</f>
        <v>0</v>
      </c>
      <c r="E446" s="136">
        <f t="shared" ref="E446" si="166">+E447+E456</f>
        <v>0</v>
      </c>
      <c r="F446" s="136">
        <f t="shared" si="142"/>
        <v>0</v>
      </c>
      <c r="G446" s="60" t="s">
        <v>1838</v>
      </c>
      <c r="H446" s="236"/>
      <c r="I446" s="136">
        <v>0</v>
      </c>
      <c r="K446" s="94"/>
      <c r="M446" s="98"/>
    </row>
    <row r="447" spans="1:13" ht="18.75">
      <c r="A447" s="224"/>
      <c r="B447" s="129" t="s">
        <v>1067</v>
      </c>
      <c r="C447" s="130" t="s">
        <v>1670</v>
      </c>
      <c r="D447" s="128">
        <f t="shared" ref="D447" si="167">SUM(D448:D455)</f>
        <v>0</v>
      </c>
      <c r="E447" s="128">
        <f t="shared" ref="E447" si="168">SUM(E448:E455)</f>
        <v>0</v>
      </c>
      <c r="F447" s="128">
        <f t="shared" si="142"/>
        <v>0</v>
      </c>
      <c r="G447" s="60" t="s">
        <v>1838</v>
      </c>
      <c r="H447" s="236"/>
      <c r="I447" s="128">
        <v>0</v>
      </c>
      <c r="K447" s="94"/>
      <c r="M447" s="98"/>
    </row>
    <row r="448" spans="1:13" ht="18.75">
      <c r="A448" s="224"/>
      <c r="B448" s="101" t="s">
        <v>1068</v>
      </c>
      <c r="C448" s="102" t="s">
        <v>1671</v>
      </c>
      <c r="D448" s="97">
        <f>+ROUND('Alimentazione CE Costi'!E1022,2)</f>
        <v>0</v>
      </c>
      <c r="E448" s="97">
        <f>+ROUND('Alimentazione CE Costi'!H1022,2)</f>
        <v>0</v>
      </c>
      <c r="F448" s="97">
        <f t="shared" si="142"/>
        <v>0</v>
      </c>
      <c r="G448" s="350"/>
      <c r="H448" s="236"/>
      <c r="I448" s="97">
        <v>0</v>
      </c>
      <c r="K448" s="94"/>
      <c r="M448" s="98"/>
    </row>
    <row r="449" spans="1:13" ht="18.75">
      <c r="A449" s="224"/>
      <c r="B449" s="101" t="s">
        <v>1069</v>
      </c>
      <c r="C449" s="102" t="s">
        <v>1672</v>
      </c>
      <c r="D449" s="97">
        <f>+ROUND('Alimentazione CE Costi'!E1024,2)</f>
        <v>0</v>
      </c>
      <c r="E449" s="97">
        <f>+ROUND('Alimentazione CE Costi'!H1024,2)</f>
        <v>0</v>
      </c>
      <c r="F449" s="97">
        <f t="shared" si="142"/>
        <v>0</v>
      </c>
      <c r="G449" s="350"/>
      <c r="H449" s="236"/>
      <c r="I449" s="97">
        <v>0</v>
      </c>
      <c r="K449" s="94"/>
      <c r="M449" s="98"/>
    </row>
    <row r="450" spans="1:13" ht="18.75">
      <c r="A450" s="224"/>
      <c r="B450" s="101" t="s">
        <v>1070</v>
      </c>
      <c r="C450" s="102" t="s">
        <v>1673</v>
      </c>
      <c r="D450" s="97">
        <f>+ROUND('Alimentazione CE Costi'!E1026,2)</f>
        <v>0</v>
      </c>
      <c r="E450" s="97">
        <f>+ROUND('Alimentazione CE Costi'!H1026,2)</f>
        <v>0</v>
      </c>
      <c r="F450" s="97">
        <f t="shared" si="142"/>
        <v>0</v>
      </c>
      <c r="G450" s="350"/>
      <c r="H450" s="236"/>
      <c r="I450" s="97">
        <v>0</v>
      </c>
      <c r="K450" s="94"/>
      <c r="M450" s="98"/>
    </row>
    <row r="451" spans="1:13" ht="18.75">
      <c r="A451" s="224"/>
      <c r="B451" s="101" t="s">
        <v>1071</v>
      </c>
      <c r="C451" s="102" t="s">
        <v>1674</v>
      </c>
      <c r="D451" s="97">
        <f>+ROUND('Alimentazione CE Costi'!E1028,2)</f>
        <v>0</v>
      </c>
      <c r="E451" s="97">
        <f>+ROUND('Alimentazione CE Costi'!H1028,2)</f>
        <v>0</v>
      </c>
      <c r="F451" s="97">
        <f t="shared" si="142"/>
        <v>0</v>
      </c>
      <c r="G451" s="350"/>
      <c r="H451" s="236"/>
      <c r="I451" s="97">
        <v>0</v>
      </c>
      <c r="K451" s="94"/>
      <c r="M451" s="98"/>
    </row>
    <row r="452" spans="1:13" ht="18.75">
      <c r="A452" s="224"/>
      <c r="B452" s="101" t="s">
        <v>1072</v>
      </c>
      <c r="C452" s="102" t="s">
        <v>1675</v>
      </c>
      <c r="D452" s="97">
        <f>+ROUND('Alimentazione CE Costi'!E1030,2)</f>
        <v>0</v>
      </c>
      <c r="E452" s="97">
        <f>+ROUND('Alimentazione CE Costi'!H1030,2)</f>
        <v>0</v>
      </c>
      <c r="F452" s="97">
        <f t="shared" si="142"/>
        <v>0</v>
      </c>
      <c r="G452" s="350"/>
      <c r="H452" s="236"/>
      <c r="I452" s="97">
        <v>0</v>
      </c>
      <c r="K452" s="94"/>
      <c r="M452" s="98"/>
    </row>
    <row r="453" spans="1:13" ht="18.75">
      <c r="A453" s="224"/>
      <c r="B453" s="101" t="s">
        <v>1073</v>
      </c>
      <c r="C453" s="102" t="s">
        <v>1676</v>
      </c>
      <c r="D453" s="97">
        <f>+ROUND('Alimentazione CE Costi'!E1032,2)</f>
        <v>0</v>
      </c>
      <c r="E453" s="97">
        <f>+ROUND('Alimentazione CE Costi'!H1032,2)</f>
        <v>0</v>
      </c>
      <c r="F453" s="97">
        <f t="shared" si="142"/>
        <v>0</v>
      </c>
      <c r="G453" s="350"/>
      <c r="H453" s="236"/>
      <c r="I453" s="97">
        <v>0</v>
      </c>
      <c r="K453" s="94"/>
      <c r="M453" s="98"/>
    </row>
    <row r="454" spans="1:13" ht="18.75">
      <c r="A454" s="224"/>
      <c r="B454" s="101" t="s">
        <v>1074</v>
      </c>
      <c r="C454" s="102" t="s">
        <v>1677</v>
      </c>
      <c r="D454" s="97">
        <f>+ROUND('Alimentazione CE Costi'!E1034,2)</f>
        <v>0</v>
      </c>
      <c r="E454" s="97">
        <f>+ROUND('Alimentazione CE Costi'!H1034,2)</f>
        <v>0</v>
      </c>
      <c r="F454" s="97">
        <f t="shared" si="142"/>
        <v>0</v>
      </c>
      <c r="G454" s="350"/>
      <c r="H454" s="236"/>
      <c r="I454" s="97">
        <v>0</v>
      </c>
      <c r="K454" s="94"/>
      <c r="M454" s="98"/>
    </row>
    <row r="455" spans="1:13" ht="18.75">
      <c r="A455" s="224"/>
      <c r="B455" s="101" t="s">
        <v>1075</v>
      </c>
      <c r="C455" s="102" t="s">
        <v>1678</v>
      </c>
      <c r="D455" s="97">
        <f>+ROUND('Alimentazione CE Costi'!E1036,2)</f>
        <v>0</v>
      </c>
      <c r="E455" s="97">
        <f>+ROUND('Alimentazione CE Costi'!H1036,2)</f>
        <v>0</v>
      </c>
      <c r="F455" s="97">
        <f t="shared" si="142"/>
        <v>0</v>
      </c>
      <c r="G455" s="350"/>
      <c r="H455" s="236"/>
      <c r="I455" s="97">
        <v>0</v>
      </c>
      <c r="K455" s="94"/>
      <c r="M455" s="98"/>
    </row>
    <row r="456" spans="1:13" ht="18.75">
      <c r="A456" s="224"/>
      <c r="B456" s="129" t="s">
        <v>1076</v>
      </c>
      <c r="C456" s="130" t="s">
        <v>1679</v>
      </c>
      <c r="D456" s="128">
        <f t="shared" ref="D456" si="169">SUM(D457:D462)</f>
        <v>0</v>
      </c>
      <c r="E456" s="128">
        <f t="shared" ref="E456" si="170">SUM(E457:E462)</f>
        <v>0</v>
      </c>
      <c r="F456" s="128">
        <f t="shared" si="142"/>
        <v>0</v>
      </c>
      <c r="G456" s="60" t="s">
        <v>1838</v>
      </c>
      <c r="H456" s="236"/>
      <c r="I456" s="128">
        <v>0</v>
      </c>
      <c r="K456" s="94"/>
      <c r="M456" s="98"/>
    </row>
    <row r="457" spans="1:13" ht="18.75">
      <c r="A457" s="224"/>
      <c r="B457" s="101" t="s">
        <v>1077</v>
      </c>
      <c r="C457" s="102" t="s">
        <v>1680</v>
      </c>
      <c r="D457" s="97">
        <f>+ROUND('Alimentazione CE Costi'!E1039,2)</f>
        <v>0</v>
      </c>
      <c r="E457" s="97">
        <f>+ROUND('Alimentazione CE Costi'!H1039,2)</f>
        <v>0</v>
      </c>
      <c r="F457" s="97">
        <f t="shared" si="142"/>
        <v>0</v>
      </c>
      <c r="G457" s="350"/>
      <c r="H457" s="236"/>
      <c r="I457" s="97">
        <v>0</v>
      </c>
      <c r="K457" s="94"/>
      <c r="M457" s="98"/>
    </row>
    <row r="458" spans="1:13" ht="25.5">
      <c r="A458" s="224"/>
      <c r="B458" s="101" t="s">
        <v>1078</v>
      </c>
      <c r="C458" s="102" t="s">
        <v>1681</v>
      </c>
      <c r="D458" s="97">
        <f>+ROUND('Alimentazione CE Costi'!E1041,2)</f>
        <v>0</v>
      </c>
      <c r="E458" s="97">
        <f>+ROUND('Alimentazione CE Costi'!H1041,2)</f>
        <v>0</v>
      </c>
      <c r="F458" s="97">
        <f t="shared" si="142"/>
        <v>0</v>
      </c>
      <c r="G458" s="350"/>
      <c r="H458" s="236"/>
      <c r="I458" s="97">
        <v>0</v>
      </c>
      <c r="K458" s="94"/>
      <c r="M458" s="98"/>
    </row>
    <row r="459" spans="1:13" ht="18.75">
      <c r="A459" s="224"/>
      <c r="B459" s="101" t="s">
        <v>1079</v>
      </c>
      <c r="C459" s="102" t="s">
        <v>1682</v>
      </c>
      <c r="D459" s="97">
        <f>+ROUND('Alimentazione CE Costi'!E1043,2)</f>
        <v>0</v>
      </c>
      <c r="E459" s="97">
        <f>+ROUND('Alimentazione CE Costi'!H1043,2)</f>
        <v>0</v>
      </c>
      <c r="F459" s="97">
        <f t="shared" si="142"/>
        <v>0</v>
      </c>
      <c r="G459" s="350"/>
      <c r="H459" s="236"/>
      <c r="I459" s="97">
        <v>0</v>
      </c>
      <c r="K459" s="94"/>
      <c r="M459" s="98"/>
    </row>
    <row r="460" spans="1:13" ht="18.75">
      <c r="A460" s="224"/>
      <c r="B460" s="101" t="s">
        <v>1080</v>
      </c>
      <c r="C460" s="102" t="s">
        <v>1683</v>
      </c>
      <c r="D460" s="97">
        <f>+ROUND('Alimentazione CE Costi'!E1045,2)</f>
        <v>0</v>
      </c>
      <c r="E460" s="97">
        <f>+ROUND('Alimentazione CE Costi'!H1045,2)</f>
        <v>0</v>
      </c>
      <c r="F460" s="97">
        <f t="shared" si="142"/>
        <v>0</v>
      </c>
      <c r="G460" s="350"/>
      <c r="H460" s="236"/>
      <c r="I460" s="97">
        <v>0</v>
      </c>
      <c r="K460" s="94"/>
      <c r="M460" s="98"/>
    </row>
    <row r="461" spans="1:13" ht="18.75">
      <c r="A461" s="224"/>
      <c r="B461" s="101" t="s">
        <v>1081</v>
      </c>
      <c r="C461" s="102" t="s">
        <v>1684</v>
      </c>
      <c r="D461" s="97">
        <f>+ROUND('Alimentazione CE Costi'!E1047,2)</f>
        <v>0</v>
      </c>
      <c r="E461" s="97">
        <f>+ROUND('Alimentazione CE Costi'!H1047,2)</f>
        <v>0</v>
      </c>
      <c r="F461" s="97">
        <f t="shared" si="142"/>
        <v>0</v>
      </c>
      <c r="G461" s="350"/>
      <c r="H461" s="236"/>
      <c r="I461" s="97">
        <v>0</v>
      </c>
      <c r="K461" s="94"/>
      <c r="M461" s="98"/>
    </row>
    <row r="462" spans="1:13" ht="18.75">
      <c r="A462" s="224"/>
      <c r="B462" s="101" t="s">
        <v>1082</v>
      </c>
      <c r="C462" s="102" t="s">
        <v>1685</v>
      </c>
      <c r="D462" s="97">
        <f>+ROUND('Alimentazione CE Costi'!E1049,2)</f>
        <v>0</v>
      </c>
      <c r="E462" s="97">
        <f>+ROUND('Alimentazione CE Costi'!H1049,2)</f>
        <v>0</v>
      </c>
      <c r="F462" s="97">
        <f t="shared" si="142"/>
        <v>0</v>
      </c>
      <c r="G462" s="350"/>
      <c r="H462" s="236"/>
      <c r="I462" s="97">
        <v>0</v>
      </c>
      <c r="K462" s="94"/>
      <c r="M462" s="98"/>
    </row>
    <row r="463" spans="1:13" ht="18.75">
      <c r="A463" s="224"/>
      <c r="B463" s="134" t="s">
        <v>1083</v>
      </c>
      <c r="C463" s="135" t="s">
        <v>1686</v>
      </c>
      <c r="D463" s="136">
        <f t="shared" ref="D463" si="171">+D464+D472+D473+D480</f>
        <v>7017424</v>
      </c>
      <c r="E463" s="136">
        <f t="shared" ref="E463" si="172">+E464+E472+E473+E480</f>
        <v>8936342</v>
      </c>
      <c r="F463" s="136">
        <f t="shared" si="142"/>
        <v>-1918918</v>
      </c>
      <c r="G463" s="60" t="s">
        <v>1838</v>
      </c>
      <c r="H463" s="236"/>
      <c r="I463" s="136">
        <v>2488212</v>
      </c>
      <c r="K463" s="94"/>
      <c r="M463" s="98"/>
    </row>
    <row r="464" spans="1:13" ht="18.75">
      <c r="A464" s="224"/>
      <c r="B464" s="129" t="s">
        <v>1084</v>
      </c>
      <c r="C464" s="130" t="s">
        <v>1687</v>
      </c>
      <c r="D464" s="128">
        <f t="shared" ref="D464" si="173">SUM(D465:D471)</f>
        <v>0</v>
      </c>
      <c r="E464" s="128">
        <f t="shared" ref="E464" si="174">SUM(E465:E471)</f>
        <v>1600000</v>
      </c>
      <c r="F464" s="128">
        <f t="shared" si="142"/>
        <v>-1600000</v>
      </c>
      <c r="G464" s="60" t="s">
        <v>1838</v>
      </c>
      <c r="H464" s="236"/>
      <c r="I464" s="128">
        <v>0</v>
      </c>
      <c r="K464" s="94"/>
      <c r="M464" s="98"/>
    </row>
    <row r="465" spans="1:13" ht="25.5">
      <c r="A465" s="224"/>
      <c r="B465" s="101" t="s">
        <v>1086</v>
      </c>
      <c r="C465" s="102" t="s">
        <v>1688</v>
      </c>
      <c r="D465" s="97">
        <f>+ROUND('Alimentazione CE Costi'!E1053,2)</f>
        <v>0</v>
      </c>
      <c r="E465" s="97">
        <f>+ROUND('Alimentazione CE Costi'!H1053,2)</f>
        <v>1600000</v>
      </c>
      <c r="F465" s="97">
        <f t="shared" si="142"/>
        <v>-1600000</v>
      </c>
      <c r="G465" s="350"/>
      <c r="H465" s="236"/>
      <c r="I465" s="97">
        <v>0</v>
      </c>
      <c r="K465" s="94"/>
      <c r="M465" s="98"/>
    </row>
    <row r="466" spans="1:13" ht="25.5">
      <c r="A466" s="224"/>
      <c r="B466" s="101" t="s">
        <v>1088</v>
      </c>
      <c r="C466" s="102" t="s">
        <v>1689</v>
      </c>
      <c r="D466" s="97">
        <f>+ROUND('Alimentazione CE Costi'!E1055,2)</f>
        <v>0</v>
      </c>
      <c r="E466" s="97">
        <f>+ROUND('Alimentazione CE Costi'!H1055,2)</f>
        <v>0</v>
      </c>
      <c r="F466" s="97">
        <f t="shared" si="142"/>
        <v>0</v>
      </c>
      <c r="G466" s="350"/>
      <c r="H466" s="236"/>
      <c r="I466" s="97">
        <v>0</v>
      </c>
      <c r="K466" s="94"/>
      <c r="M466" s="98"/>
    </row>
    <row r="467" spans="1:13" ht="25.5">
      <c r="A467" s="224"/>
      <c r="B467" s="101" t="s">
        <v>1090</v>
      </c>
      <c r="C467" s="102" t="s">
        <v>1690</v>
      </c>
      <c r="D467" s="97">
        <f>+ROUND('Alimentazione CE Costi'!E1057,2)</f>
        <v>0</v>
      </c>
      <c r="E467" s="97">
        <f>+ROUND('Alimentazione CE Costi'!H1057,2)</f>
        <v>0</v>
      </c>
      <c r="F467" s="97">
        <f t="shared" si="142"/>
        <v>0</v>
      </c>
      <c r="G467" s="350"/>
      <c r="H467" s="236"/>
      <c r="I467" s="97">
        <v>0</v>
      </c>
      <c r="K467" s="94"/>
      <c r="M467" s="98"/>
    </row>
    <row r="468" spans="1:13" ht="25.5">
      <c r="A468" s="224"/>
      <c r="B468" s="101" t="s">
        <v>1092</v>
      </c>
      <c r="C468" s="102" t="s">
        <v>1691</v>
      </c>
      <c r="D468" s="97">
        <f>+ROUND('Alimentazione CE Costi'!E1059,2)</f>
        <v>0</v>
      </c>
      <c r="E468" s="97">
        <f>+ROUND('Alimentazione CE Costi'!H1059,2)</f>
        <v>0</v>
      </c>
      <c r="F468" s="97">
        <f t="shared" si="142"/>
        <v>0</v>
      </c>
      <c r="G468" s="350"/>
      <c r="H468" s="236"/>
      <c r="I468" s="97">
        <v>0</v>
      </c>
      <c r="K468" s="94"/>
      <c r="M468" s="98"/>
    </row>
    <row r="469" spans="1:13" ht="18.75">
      <c r="A469" s="224"/>
      <c r="B469" s="101" t="s">
        <v>1094</v>
      </c>
      <c r="C469" s="102" t="s">
        <v>1692</v>
      </c>
      <c r="D469" s="97">
        <f>+ROUND('Alimentazione CE Costi'!E1061,2)</f>
        <v>0</v>
      </c>
      <c r="E469" s="97">
        <f>+ROUND('Alimentazione CE Costi'!H1061,2)</f>
        <v>0</v>
      </c>
      <c r="F469" s="97">
        <f t="shared" si="142"/>
        <v>0</v>
      </c>
      <c r="G469" s="350"/>
      <c r="H469" s="236"/>
      <c r="I469" s="97">
        <v>0</v>
      </c>
      <c r="K469" s="94"/>
      <c r="M469" s="98"/>
    </row>
    <row r="470" spans="1:13" ht="18.75">
      <c r="A470" s="224"/>
      <c r="B470" s="101" t="s">
        <v>1096</v>
      </c>
      <c r="C470" s="102" t="s">
        <v>1693</v>
      </c>
      <c r="D470" s="97">
        <f>+ROUND('Alimentazione CE Costi'!E1063+'Alimentazione CE Costi'!E1064+'Alimentazione CE Costi'!E1065,2)</f>
        <v>0</v>
      </c>
      <c r="E470" s="97">
        <f>+ROUND('Alimentazione CE Costi'!H1063+'Alimentazione CE Costi'!H1064+'Alimentazione CE Costi'!H1065,2)</f>
        <v>0</v>
      </c>
      <c r="F470" s="97">
        <f t="shared" si="142"/>
        <v>0</v>
      </c>
      <c r="G470" s="350"/>
      <c r="H470" s="236"/>
      <c r="I470" s="97">
        <v>0</v>
      </c>
      <c r="K470" s="94"/>
      <c r="M470" s="98"/>
    </row>
    <row r="471" spans="1:13" ht="18.75">
      <c r="A471" s="224"/>
      <c r="B471" s="101" t="s">
        <v>1100</v>
      </c>
      <c r="C471" s="102" t="s">
        <v>1694</v>
      </c>
      <c r="D471" s="97">
        <f>+ROUND('Alimentazione CE Costi'!E1067,2)</f>
        <v>0</v>
      </c>
      <c r="E471" s="97">
        <f>+ROUND('Alimentazione CE Costi'!H1067,2)</f>
        <v>0</v>
      </c>
      <c r="F471" s="97">
        <f t="shared" si="142"/>
        <v>0</v>
      </c>
      <c r="G471" s="350"/>
      <c r="H471" s="236"/>
      <c r="I471" s="97">
        <v>0</v>
      </c>
      <c r="K471" s="94"/>
      <c r="M471" s="98"/>
    </row>
    <row r="472" spans="1:13" ht="25.5">
      <c r="A472" s="224"/>
      <c r="B472" s="99" t="s">
        <v>1101</v>
      </c>
      <c r="C472" s="100" t="s">
        <v>1695</v>
      </c>
      <c r="D472" s="97">
        <f>+ROUND('Alimentazione CE Costi'!E1069+'Alimentazione CE Costi'!E1070,2)</f>
        <v>169000</v>
      </c>
      <c r="E472" s="97">
        <f>+ROUND('Alimentazione CE Costi'!H1069+'Alimentazione CE Costi'!H1070,2)</f>
        <v>190000</v>
      </c>
      <c r="F472" s="97">
        <f t="shared" si="142"/>
        <v>-21000</v>
      </c>
      <c r="G472" s="350"/>
      <c r="H472" s="236"/>
      <c r="I472" s="97">
        <v>0</v>
      </c>
      <c r="K472" s="94"/>
      <c r="M472" s="98"/>
    </row>
    <row r="473" spans="1:13" ht="25.5">
      <c r="A473" s="224"/>
      <c r="B473" s="129" t="s">
        <v>1104</v>
      </c>
      <c r="C473" s="130" t="s">
        <v>1696</v>
      </c>
      <c r="D473" s="128">
        <f t="shared" ref="D473" si="175">SUM(D474:D479)</f>
        <v>730000</v>
      </c>
      <c r="E473" s="128">
        <f t="shared" ref="E473" si="176">SUM(E474:E479)</f>
        <v>1770666</v>
      </c>
      <c r="F473" s="128">
        <f t="shared" si="142"/>
        <v>-1040666</v>
      </c>
      <c r="G473" s="60" t="s">
        <v>1838</v>
      </c>
      <c r="H473" s="236"/>
      <c r="I473" s="128">
        <v>0</v>
      </c>
      <c r="K473" s="94"/>
      <c r="M473" s="98"/>
    </row>
    <row r="474" spans="1:13" ht="25.5">
      <c r="A474" s="224"/>
      <c r="B474" s="101" t="s">
        <v>1105</v>
      </c>
      <c r="C474" s="102" t="s">
        <v>1697</v>
      </c>
      <c r="D474" s="97">
        <f>+ROUND('Alimentazione CE Costi'!E1073,2)</f>
        <v>0</v>
      </c>
      <c r="E474" s="97">
        <f>+ROUND('Alimentazione CE Costi'!H1073,2)</f>
        <v>792883</v>
      </c>
      <c r="F474" s="97">
        <f t="shared" ref="F474:F537" si="177">+D474-E474</f>
        <v>-792883</v>
      </c>
      <c r="G474" s="350"/>
      <c r="H474" s="236"/>
      <c r="I474" s="97">
        <v>0</v>
      </c>
      <c r="K474" s="94"/>
      <c r="M474" s="98"/>
    </row>
    <row r="475" spans="1:13" ht="25.5">
      <c r="A475" s="224"/>
      <c r="B475" s="101" t="s">
        <v>1107</v>
      </c>
      <c r="C475" s="102" t="s">
        <v>1698</v>
      </c>
      <c r="D475" s="97">
        <f>+ROUND('Alimentazione CE Costi'!E1075,2)</f>
        <v>0</v>
      </c>
      <c r="E475" s="97">
        <f>+ROUND('Alimentazione CE Costi'!H1075,2)</f>
        <v>0</v>
      </c>
      <c r="F475" s="97">
        <f t="shared" si="177"/>
        <v>0</v>
      </c>
      <c r="G475" s="350"/>
      <c r="H475" s="236"/>
      <c r="I475" s="97">
        <v>0</v>
      </c>
      <c r="K475" s="94"/>
      <c r="M475" s="98"/>
    </row>
    <row r="476" spans="1:13" ht="25.5">
      <c r="A476" s="224"/>
      <c r="B476" s="101" t="s">
        <v>1109</v>
      </c>
      <c r="C476" s="102" t="s">
        <v>1699</v>
      </c>
      <c r="D476" s="97">
        <f>+ROUND('Alimentazione CE Costi'!E1077,2)</f>
        <v>0</v>
      </c>
      <c r="E476" s="97">
        <f>+ROUND('Alimentazione CE Costi'!H1077,2)</f>
        <v>187783</v>
      </c>
      <c r="F476" s="97">
        <f t="shared" si="177"/>
        <v>-187783</v>
      </c>
      <c r="G476" s="350"/>
      <c r="H476" s="236"/>
      <c r="I476" s="97">
        <v>0</v>
      </c>
      <c r="K476" s="94"/>
      <c r="M476" s="98"/>
    </row>
    <row r="477" spans="1:13" ht="25.5">
      <c r="A477" s="224"/>
      <c r="B477" s="101" t="s">
        <v>1111</v>
      </c>
      <c r="C477" s="102" t="s">
        <v>1700</v>
      </c>
      <c r="D477" s="97">
        <f>+ROUND('Alimentazione CE Costi'!E1079,2)</f>
        <v>0</v>
      </c>
      <c r="E477" s="97">
        <f>+ROUND('Alimentazione CE Costi'!H1079,2)</f>
        <v>0</v>
      </c>
      <c r="F477" s="97">
        <f t="shared" si="177"/>
        <v>0</v>
      </c>
      <c r="G477" s="350"/>
      <c r="H477" s="236"/>
      <c r="I477" s="97">
        <v>0</v>
      </c>
      <c r="K477" s="94"/>
      <c r="M477" s="98"/>
    </row>
    <row r="478" spans="1:13" ht="25.5">
      <c r="A478" s="224"/>
      <c r="B478" s="101" t="s">
        <v>1112</v>
      </c>
      <c r="C478" s="102" t="s">
        <v>1701</v>
      </c>
      <c r="D478" s="97">
        <f>+ROUND('Alimentazione CE Costi'!E1081+'Alimentazione CE Costi'!E1082,2)</f>
        <v>730000</v>
      </c>
      <c r="E478" s="97">
        <f>+ROUND('Alimentazione CE Costi'!H1081+'Alimentazione CE Costi'!H1082,2)</f>
        <v>790000</v>
      </c>
      <c r="F478" s="97">
        <f t="shared" si="177"/>
        <v>-60000</v>
      </c>
      <c r="G478" s="350"/>
      <c r="H478" s="236"/>
      <c r="I478" s="97">
        <v>0</v>
      </c>
      <c r="K478" s="94"/>
      <c r="M478" s="98"/>
    </row>
    <row r="479" spans="1:13" ht="25.5">
      <c r="A479" s="224"/>
      <c r="B479" s="101" t="s">
        <v>1116</v>
      </c>
      <c r="C479" s="102" t="s">
        <v>1702</v>
      </c>
      <c r="D479" s="97">
        <f>+ROUND('Alimentazione CE Costi'!E1084,2)</f>
        <v>0</v>
      </c>
      <c r="E479" s="97">
        <f>+ROUND('Alimentazione CE Costi'!H1084,2)</f>
        <v>0</v>
      </c>
      <c r="F479" s="97">
        <f t="shared" si="177"/>
        <v>0</v>
      </c>
      <c r="G479" s="350"/>
      <c r="H479" s="236"/>
      <c r="I479" s="97">
        <v>0</v>
      </c>
      <c r="K479" s="94"/>
      <c r="M479" s="98"/>
    </row>
    <row r="480" spans="1:13" ht="18.75">
      <c r="A480" s="224"/>
      <c r="B480" s="129" t="s">
        <v>1118</v>
      </c>
      <c r="C480" s="130" t="s">
        <v>1703</v>
      </c>
      <c r="D480" s="128">
        <f t="shared" ref="D480" si="178">SUM(D481:D490)</f>
        <v>6118424</v>
      </c>
      <c r="E480" s="128">
        <f t="shared" ref="E480" si="179">SUM(E481:E490)</f>
        <v>5375676</v>
      </c>
      <c r="F480" s="128">
        <f t="shared" si="177"/>
        <v>742748</v>
      </c>
      <c r="G480" s="60" t="s">
        <v>1838</v>
      </c>
      <c r="H480" s="236"/>
      <c r="I480" s="128">
        <v>2488212</v>
      </c>
      <c r="K480" s="94"/>
      <c r="M480" s="98"/>
    </row>
    <row r="481" spans="1:13" ht="18.75">
      <c r="A481" s="224"/>
      <c r="B481" s="108" t="s">
        <v>1120</v>
      </c>
      <c r="C481" s="109" t="s">
        <v>1704</v>
      </c>
      <c r="D481" s="97">
        <f>+ROUND('Alimentazione CE Costi'!E1087,2)</f>
        <v>2473362</v>
      </c>
      <c r="E481" s="97">
        <f>+ROUND('Alimentazione CE Costi'!H1087,2)</f>
        <v>1718985</v>
      </c>
      <c r="F481" s="97">
        <f t="shared" si="177"/>
        <v>754377</v>
      </c>
      <c r="G481" s="350"/>
      <c r="H481" s="236"/>
      <c r="I481" s="97">
        <v>0</v>
      </c>
      <c r="K481" s="94"/>
      <c r="M481" s="98"/>
    </row>
    <row r="482" spans="1:13" ht="18.75">
      <c r="A482" s="224"/>
      <c r="B482" s="108" t="s">
        <v>1122</v>
      </c>
      <c r="C482" s="109" t="s">
        <v>1705</v>
      </c>
      <c r="D482" s="97">
        <f>+ROUND('Alimentazione CE Costi'!E1089,2)</f>
        <v>157874</v>
      </c>
      <c r="E482" s="97">
        <f>+ROUND('Alimentazione CE Costi'!H1089,2)</f>
        <v>119368</v>
      </c>
      <c r="F482" s="97">
        <f t="shared" si="177"/>
        <v>38506</v>
      </c>
      <c r="G482" s="350"/>
      <c r="H482" s="236"/>
      <c r="I482" s="97">
        <v>0</v>
      </c>
      <c r="K482" s="94"/>
      <c r="M482" s="98"/>
    </row>
    <row r="483" spans="1:13" ht="18.75">
      <c r="A483" s="224"/>
      <c r="B483" s="108" t="s">
        <v>1124</v>
      </c>
      <c r="C483" s="109" t="s">
        <v>1706</v>
      </c>
      <c r="D483" s="97">
        <f>+ROUND('Alimentazione CE Costi'!E1091,2)</f>
        <v>2922442</v>
      </c>
      <c r="E483" s="97">
        <f>+ROUND('Alimentazione CE Costi'!H1091,2)</f>
        <v>2855312</v>
      </c>
      <c r="F483" s="97">
        <f t="shared" si="177"/>
        <v>67130</v>
      </c>
      <c r="G483" s="350"/>
      <c r="H483" s="236"/>
      <c r="I483" s="97">
        <v>2413777</v>
      </c>
      <c r="K483" s="94"/>
      <c r="M483" s="98"/>
    </row>
    <row r="484" spans="1:13" ht="18.75">
      <c r="A484" s="224"/>
      <c r="B484" s="101" t="s">
        <v>1126</v>
      </c>
      <c r="C484" s="102" t="s">
        <v>1707</v>
      </c>
      <c r="D484" s="97">
        <f>+ROUND('Alimentazione CE Costi'!E1093,2)</f>
        <v>475746</v>
      </c>
      <c r="E484" s="97">
        <f>+ROUND('Alimentazione CE Costi'!H1093,2)</f>
        <v>482011</v>
      </c>
      <c r="F484" s="97">
        <f t="shared" si="177"/>
        <v>-6265</v>
      </c>
      <c r="G484" s="350"/>
      <c r="H484" s="236"/>
      <c r="I484" s="97">
        <v>74435</v>
      </c>
      <c r="K484" s="94"/>
      <c r="M484" s="98"/>
    </row>
    <row r="485" spans="1:13" ht="18.75">
      <c r="A485" s="224"/>
      <c r="B485" s="101" t="s">
        <v>1128</v>
      </c>
      <c r="C485" s="102" t="s">
        <v>1708</v>
      </c>
      <c r="D485" s="97">
        <f>+ROUND('Alimentazione CE Costi'!E1095,2)</f>
        <v>0</v>
      </c>
      <c r="E485" s="97">
        <f>+ROUND('Alimentazione CE Costi'!H1095,2)</f>
        <v>0</v>
      </c>
      <c r="F485" s="97">
        <f t="shared" si="177"/>
        <v>0</v>
      </c>
      <c r="G485" s="350"/>
      <c r="H485" s="236"/>
      <c r="I485" s="97">
        <v>0</v>
      </c>
      <c r="K485" s="94"/>
      <c r="M485" s="98"/>
    </row>
    <row r="486" spans="1:13" ht="18.75">
      <c r="A486" s="224"/>
      <c r="B486" s="101" t="s">
        <v>1130</v>
      </c>
      <c r="C486" s="102" t="s">
        <v>1709</v>
      </c>
      <c r="D486" s="97">
        <f>+ROUND('Alimentazione CE Costi'!E1097,2)</f>
        <v>0</v>
      </c>
      <c r="E486" s="97">
        <f>+ROUND('Alimentazione CE Costi'!H1097,2)</f>
        <v>0</v>
      </c>
      <c r="F486" s="97">
        <f t="shared" si="177"/>
        <v>0</v>
      </c>
      <c r="G486" s="350"/>
      <c r="H486" s="236"/>
      <c r="I486" s="97">
        <v>0</v>
      </c>
      <c r="K486" s="94"/>
      <c r="M486" s="98"/>
    </row>
    <row r="487" spans="1:13" ht="18.75">
      <c r="A487" s="224"/>
      <c r="B487" s="101" t="s">
        <v>1132</v>
      </c>
      <c r="C487" s="102" t="s">
        <v>1710</v>
      </c>
      <c r="D487" s="97">
        <f>+ROUND('Alimentazione CE Costi'!E1099,2)</f>
        <v>0</v>
      </c>
      <c r="E487" s="97">
        <f>+ROUND('Alimentazione CE Costi'!H1099,2)</f>
        <v>0</v>
      </c>
      <c r="F487" s="97">
        <f t="shared" si="177"/>
        <v>0</v>
      </c>
      <c r="G487" s="350"/>
      <c r="H487" s="236"/>
      <c r="I487" s="97">
        <v>0</v>
      </c>
      <c r="K487" s="94"/>
      <c r="M487" s="98"/>
    </row>
    <row r="488" spans="1:13" ht="18.75">
      <c r="A488" s="224"/>
      <c r="B488" s="101" t="s">
        <v>1134</v>
      </c>
      <c r="C488" s="102" t="s">
        <v>1711</v>
      </c>
      <c r="D488" s="97">
        <f>+ROUND('Alimentazione CE Costi'!E1101,2)</f>
        <v>0</v>
      </c>
      <c r="E488" s="97">
        <f>+ROUND('Alimentazione CE Costi'!H1101,2)</f>
        <v>0</v>
      </c>
      <c r="F488" s="97">
        <f t="shared" si="177"/>
        <v>0</v>
      </c>
      <c r="G488" s="350"/>
      <c r="H488" s="236"/>
      <c r="I488" s="97">
        <v>0</v>
      </c>
      <c r="K488" s="94"/>
      <c r="M488" s="98"/>
    </row>
    <row r="489" spans="1:13" ht="25.5">
      <c r="A489" s="224"/>
      <c r="B489" s="101" t="s">
        <v>1136</v>
      </c>
      <c r="C489" s="102" t="s">
        <v>1712</v>
      </c>
      <c r="D489" s="97">
        <f>+ROUND('Alimentazione CE Costi'!E1103,2)</f>
        <v>89000</v>
      </c>
      <c r="E489" s="97">
        <f>+ROUND('Alimentazione CE Costi'!H1103,2)</f>
        <v>200000</v>
      </c>
      <c r="F489" s="97">
        <f t="shared" si="177"/>
        <v>-111000</v>
      </c>
      <c r="G489" s="350"/>
      <c r="H489" s="236"/>
      <c r="I489" s="97">
        <v>0</v>
      </c>
      <c r="K489" s="94"/>
      <c r="M489" s="98"/>
    </row>
    <row r="490" spans="1:13" ht="18.75">
      <c r="A490" s="224"/>
      <c r="B490" s="108" t="s">
        <v>1137</v>
      </c>
      <c r="C490" s="110" t="s">
        <v>1713</v>
      </c>
      <c r="D490" s="97">
        <f>+ROUND('Alimentazione CE Costi'!E1105,2)</f>
        <v>0</v>
      </c>
      <c r="E490" s="97">
        <f>+ROUND('Alimentazione CE Costi'!H1105,2)</f>
        <v>0</v>
      </c>
      <c r="F490" s="97">
        <f t="shared" si="177"/>
        <v>0</v>
      </c>
      <c r="G490" s="350"/>
      <c r="H490" s="236"/>
      <c r="I490" s="97">
        <v>0</v>
      </c>
      <c r="K490" s="94"/>
      <c r="M490" s="98"/>
    </row>
    <row r="491" spans="1:13" ht="18.75">
      <c r="A491" s="222"/>
      <c r="B491" s="137" t="s">
        <v>1714</v>
      </c>
      <c r="C491" s="138" t="s">
        <v>1715</v>
      </c>
      <c r="D491" s="139">
        <f>+D463+D446+D436+D428+D386+D376+D368+D199+D159+D443</f>
        <v>914021529</v>
      </c>
      <c r="E491" s="139">
        <f t="shared" ref="E491" si="180">+E463+E446+E436+E428+E386+E376+E368+E199+E159+E443</f>
        <v>964151078</v>
      </c>
      <c r="F491" s="139">
        <f t="shared" si="177"/>
        <v>-50129549</v>
      </c>
      <c r="G491" s="60"/>
      <c r="H491" s="236"/>
      <c r="I491" s="139">
        <v>393061399.47000003</v>
      </c>
      <c r="K491" s="94"/>
      <c r="M491" s="98"/>
    </row>
    <row r="492" spans="1:13" ht="18.75">
      <c r="A492" s="222"/>
      <c r="B492" s="150"/>
      <c r="C492" s="151" t="s">
        <v>1716</v>
      </c>
      <c r="D492" s="152"/>
      <c r="E492" s="152"/>
      <c r="F492" s="152">
        <f t="shared" si="177"/>
        <v>0</v>
      </c>
      <c r="G492" s="60"/>
      <c r="H492" s="236"/>
      <c r="I492" s="152"/>
      <c r="K492" s="94"/>
      <c r="M492" s="98"/>
    </row>
    <row r="493" spans="1:13" ht="18.75">
      <c r="A493" s="222"/>
      <c r="B493" s="134" t="s">
        <v>397</v>
      </c>
      <c r="C493" s="135" t="s">
        <v>1717</v>
      </c>
      <c r="D493" s="136">
        <f t="shared" ref="D493" si="181">+D494+D495+D496</f>
        <v>0</v>
      </c>
      <c r="E493" s="136">
        <f t="shared" ref="E493" si="182">+E494+E495+E496</f>
        <v>5413</v>
      </c>
      <c r="F493" s="136">
        <f t="shared" si="177"/>
        <v>-5413</v>
      </c>
      <c r="G493" s="60" t="s">
        <v>1838</v>
      </c>
      <c r="H493" s="236"/>
      <c r="I493" s="136">
        <v>0</v>
      </c>
      <c r="K493" s="94"/>
      <c r="M493" s="98"/>
    </row>
    <row r="494" spans="1:13" ht="18.75">
      <c r="A494" s="222"/>
      <c r="B494" s="99" t="s">
        <v>399</v>
      </c>
      <c r="C494" s="100" t="s">
        <v>1718</v>
      </c>
      <c r="D494" s="97">
        <f>+ROUND('Alimentazione CE Ricavi'!E320,2)</f>
        <v>0</v>
      </c>
      <c r="E494" s="97">
        <f>+ROUND('Alimentazione CE Ricavi'!H320,2)</f>
        <v>0</v>
      </c>
      <c r="F494" s="97">
        <f t="shared" si="177"/>
        <v>0</v>
      </c>
      <c r="G494" s="60"/>
      <c r="H494" s="236"/>
      <c r="I494" s="97">
        <v>0</v>
      </c>
      <c r="K494" s="94"/>
      <c r="M494" s="98"/>
    </row>
    <row r="495" spans="1:13" ht="18.75">
      <c r="A495" s="222"/>
      <c r="B495" s="99" t="s">
        <v>400</v>
      </c>
      <c r="C495" s="100" t="s">
        <v>1719</v>
      </c>
      <c r="D495" s="97">
        <f>+ROUND('Alimentazione CE Ricavi'!E322+'Alimentazione CE Ricavi'!E323,2)</f>
        <v>0</v>
      </c>
      <c r="E495" s="97">
        <f>+ROUND('Alimentazione CE Ricavi'!H322+'Alimentazione CE Ricavi'!H323,2)</f>
        <v>0</v>
      </c>
      <c r="F495" s="97">
        <f t="shared" si="177"/>
        <v>0</v>
      </c>
      <c r="G495" s="60"/>
      <c r="H495" s="236"/>
      <c r="I495" s="97">
        <v>0</v>
      </c>
      <c r="K495" s="94"/>
      <c r="M495" s="98"/>
    </row>
    <row r="496" spans="1:13" ht="18.75">
      <c r="A496" s="222"/>
      <c r="B496" s="99" t="s">
        <v>404</v>
      </c>
      <c r="C496" s="100" t="s">
        <v>1720</v>
      </c>
      <c r="D496" s="97">
        <f>+ROUND('Alimentazione CE Ricavi'!E325+'Alimentazione CE Ricavi'!E327+'Alimentazione CE Ricavi'!E326,2)</f>
        <v>0</v>
      </c>
      <c r="E496" s="97">
        <f>+ROUND('Alimentazione CE Ricavi'!H325+'Alimentazione CE Ricavi'!H327+'Alimentazione CE Ricavi'!H326,2)</f>
        <v>5413</v>
      </c>
      <c r="F496" s="97">
        <f t="shared" si="177"/>
        <v>-5413</v>
      </c>
      <c r="G496" s="60"/>
      <c r="H496" s="236"/>
      <c r="I496" s="97">
        <v>0</v>
      </c>
      <c r="K496" s="94"/>
      <c r="M496" s="98"/>
    </row>
    <row r="497" spans="1:13" ht="18.75">
      <c r="A497" s="222"/>
      <c r="B497" s="134" t="s">
        <v>406</v>
      </c>
      <c r="C497" s="135" t="s">
        <v>1721</v>
      </c>
      <c r="D497" s="136">
        <f t="shared" ref="D497" si="183">SUM(D498:D502)</f>
        <v>0</v>
      </c>
      <c r="E497" s="136">
        <f t="shared" ref="E497" si="184">SUM(E498:E502)</f>
        <v>0</v>
      </c>
      <c r="F497" s="136">
        <f t="shared" si="177"/>
        <v>0</v>
      </c>
      <c r="G497" s="60" t="s">
        <v>1838</v>
      </c>
      <c r="H497" s="236"/>
      <c r="I497" s="136">
        <v>0</v>
      </c>
      <c r="K497" s="94"/>
      <c r="M497" s="98"/>
    </row>
    <row r="498" spans="1:13" ht="18.75">
      <c r="A498" s="222"/>
      <c r="B498" s="99" t="s">
        <v>408</v>
      </c>
      <c r="C498" s="100" t="s">
        <v>1722</v>
      </c>
      <c r="D498" s="97">
        <f>+ROUND('Alimentazione CE Ricavi'!E330,2)</f>
        <v>0</v>
      </c>
      <c r="E498" s="97">
        <f>+ROUND('Alimentazione CE Ricavi'!H330,2)</f>
        <v>0</v>
      </c>
      <c r="F498" s="97">
        <f t="shared" si="177"/>
        <v>0</v>
      </c>
      <c r="G498" s="60"/>
      <c r="H498" s="236"/>
      <c r="I498" s="97">
        <v>0</v>
      </c>
      <c r="K498" s="94"/>
      <c r="M498" s="98"/>
    </row>
    <row r="499" spans="1:13" ht="25.5">
      <c r="A499" s="222"/>
      <c r="B499" s="99" t="s">
        <v>410</v>
      </c>
      <c r="C499" s="100" t="s">
        <v>1723</v>
      </c>
      <c r="D499" s="97">
        <f>+ROUND('Alimentazione CE Ricavi'!E332,2)</f>
        <v>0</v>
      </c>
      <c r="E499" s="97">
        <f>+ROUND('Alimentazione CE Ricavi'!H332,2)</f>
        <v>0</v>
      </c>
      <c r="F499" s="97">
        <f t="shared" si="177"/>
        <v>0</v>
      </c>
      <c r="G499" s="60"/>
      <c r="H499" s="236"/>
      <c r="I499" s="97">
        <v>0</v>
      </c>
      <c r="K499" s="94"/>
      <c r="M499" s="98"/>
    </row>
    <row r="500" spans="1:13" ht="25.5">
      <c r="A500" s="222"/>
      <c r="B500" s="99" t="s">
        <v>412</v>
      </c>
      <c r="C500" s="100" t="s">
        <v>1724</v>
      </c>
      <c r="D500" s="97">
        <f>+ROUND('Alimentazione CE Ricavi'!E334,2)</f>
        <v>0</v>
      </c>
      <c r="E500" s="97">
        <f>+ROUND('Alimentazione CE Ricavi'!H334,2)</f>
        <v>0</v>
      </c>
      <c r="F500" s="97">
        <f t="shared" si="177"/>
        <v>0</v>
      </c>
      <c r="G500" s="60"/>
      <c r="H500" s="236"/>
      <c r="I500" s="97">
        <v>0</v>
      </c>
      <c r="K500" s="94"/>
      <c r="M500" s="98"/>
    </row>
    <row r="501" spans="1:13" ht="18.75">
      <c r="A501" s="222"/>
      <c r="B501" s="99" t="s">
        <v>414</v>
      </c>
      <c r="C501" s="100" t="s">
        <v>1725</v>
      </c>
      <c r="D501" s="97">
        <f>+ROUND('Alimentazione CE Ricavi'!E336,2)</f>
        <v>0</v>
      </c>
      <c r="E501" s="97">
        <f>+ROUND('Alimentazione CE Ricavi'!H336,2)</f>
        <v>0</v>
      </c>
      <c r="F501" s="97">
        <f t="shared" si="177"/>
        <v>0</v>
      </c>
      <c r="G501" s="60"/>
      <c r="H501" s="236"/>
      <c r="I501" s="97">
        <v>0</v>
      </c>
      <c r="K501" s="94"/>
      <c r="M501" s="98"/>
    </row>
    <row r="502" spans="1:13" ht="18.75">
      <c r="A502" s="222"/>
      <c r="B502" s="99" t="s">
        <v>416</v>
      </c>
      <c r="C502" s="100" t="s">
        <v>1726</v>
      </c>
      <c r="D502" s="97">
        <f>+ROUND('Alimentazione CE Ricavi'!E338,2)</f>
        <v>0</v>
      </c>
      <c r="E502" s="97">
        <f>+ROUND('Alimentazione CE Ricavi'!H338,2)</f>
        <v>0</v>
      </c>
      <c r="F502" s="97">
        <f t="shared" si="177"/>
        <v>0</v>
      </c>
      <c r="G502" s="60"/>
      <c r="H502" s="236"/>
      <c r="I502" s="97">
        <v>0</v>
      </c>
      <c r="K502" s="94"/>
      <c r="M502" s="98"/>
    </row>
    <row r="503" spans="1:13" ht="18.75">
      <c r="A503" s="222"/>
      <c r="B503" s="134" t="s">
        <v>1138</v>
      </c>
      <c r="C503" s="135" t="s">
        <v>1727</v>
      </c>
      <c r="D503" s="136">
        <f t="shared" ref="D503" si="185">SUM(D504:D506)</f>
        <v>0</v>
      </c>
      <c r="E503" s="136">
        <f t="shared" ref="E503" si="186">SUM(E504:E506)</f>
        <v>165644</v>
      </c>
      <c r="F503" s="136">
        <f t="shared" si="177"/>
        <v>-165644</v>
      </c>
      <c r="G503" s="60" t="s">
        <v>1838</v>
      </c>
      <c r="H503" s="236"/>
      <c r="I503" s="136">
        <v>0</v>
      </c>
      <c r="K503" s="94"/>
      <c r="M503" s="98"/>
    </row>
    <row r="504" spans="1:13" ht="18.75">
      <c r="A504" s="222"/>
      <c r="B504" s="99" t="s">
        <v>1140</v>
      </c>
      <c r="C504" s="100" t="s">
        <v>1728</v>
      </c>
      <c r="D504" s="97">
        <f>+ROUND('Alimentazione CE Costi'!E1109,2)</f>
        <v>0</v>
      </c>
      <c r="E504" s="97">
        <f>+ROUND('Alimentazione CE Costi'!H1109,2)</f>
        <v>0</v>
      </c>
      <c r="F504" s="97">
        <f t="shared" si="177"/>
        <v>0</v>
      </c>
      <c r="G504" s="60"/>
      <c r="H504" s="236"/>
      <c r="I504" s="97">
        <v>0</v>
      </c>
      <c r="K504" s="94"/>
      <c r="M504" s="98"/>
    </row>
    <row r="505" spans="1:13" ht="18.75">
      <c r="A505" s="222"/>
      <c r="B505" s="99" t="s">
        <v>1142</v>
      </c>
      <c r="C505" s="100" t="s">
        <v>1729</v>
      </c>
      <c r="D505" s="97">
        <f>+ROUND('Alimentazione CE Costi'!E1111,2)</f>
        <v>0</v>
      </c>
      <c r="E505" s="97">
        <f>+ROUND('Alimentazione CE Costi'!H1111,2)</f>
        <v>0</v>
      </c>
      <c r="F505" s="97">
        <f t="shared" si="177"/>
        <v>0</v>
      </c>
      <c r="G505" s="60"/>
      <c r="H505" s="236"/>
      <c r="I505" s="97">
        <v>0</v>
      </c>
      <c r="K505" s="94"/>
      <c r="M505" s="98"/>
    </row>
    <row r="506" spans="1:13" ht="18.75">
      <c r="A506" s="222"/>
      <c r="B506" s="99" t="s">
        <v>1144</v>
      </c>
      <c r="C506" s="100" t="s">
        <v>1730</v>
      </c>
      <c r="D506" s="97">
        <f>+ROUND('Alimentazione CE Costi'!E1113+'Alimentazione CE Costi'!E1114,2)</f>
        <v>0</v>
      </c>
      <c r="E506" s="97">
        <f>+ROUND('Alimentazione CE Costi'!H1113+'Alimentazione CE Costi'!H1114,2)</f>
        <v>165644</v>
      </c>
      <c r="F506" s="97">
        <f t="shared" si="177"/>
        <v>-165644</v>
      </c>
      <c r="G506" s="60"/>
      <c r="H506" s="236"/>
      <c r="I506" s="97">
        <v>0</v>
      </c>
      <c r="K506" s="94"/>
      <c r="M506" s="98"/>
    </row>
    <row r="507" spans="1:13" ht="18.75">
      <c r="A507" s="226"/>
      <c r="B507" s="134" t="s">
        <v>1731</v>
      </c>
      <c r="C507" s="135" t="s">
        <v>1732</v>
      </c>
      <c r="D507" s="136">
        <f t="shared" ref="D507" si="187">SUM(D508:D509)</f>
        <v>0</v>
      </c>
      <c r="E507" s="136">
        <f t="shared" ref="E507" si="188">SUM(E508:E509)</f>
        <v>0</v>
      </c>
      <c r="F507" s="136">
        <f t="shared" si="177"/>
        <v>0</v>
      </c>
      <c r="G507" s="60" t="s">
        <v>1838</v>
      </c>
      <c r="H507" s="236"/>
      <c r="I507" s="136">
        <v>0</v>
      </c>
      <c r="K507" s="94"/>
      <c r="M507" s="98"/>
    </row>
    <row r="508" spans="1:13" ht="18.75">
      <c r="A508" s="226"/>
      <c r="B508" s="99" t="s">
        <v>1146</v>
      </c>
      <c r="C508" s="100" t="s">
        <v>1733</v>
      </c>
      <c r="D508" s="97">
        <f>+ROUND('Alimentazione CE Costi'!E1117,2)</f>
        <v>0</v>
      </c>
      <c r="E508" s="97">
        <f>+ROUND('Alimentazione CE Costi'!H1117,2)</f>
        <v>0</v>
      </c>
      <c r="F508" s="97">
        <f t="shared" si="177"/>
        <v>0</v>
      </c>
      <c r="G508" s="60"/>
      <c r="H508" s="236"/>
      <c r="I508" s="97">
        <v>0</v>
      </c>
      <c r="K508" s="94"/>
      <c r="M508" s="98"/>
    </row>
    <row r="509" spans="1:13" ht="18.75">
      <c r="A509" s="222"/>
      <c r="B509" s="99" t="s">
        <v>1148</v>
      </c>
      <c r="C509" s="100" t="s">
        <v>1734</v>
      </c>
      <c r="D509" s="97">
        <f>+ROUND('Alimentazione CE Costi'!E1119,2)</f>
        <v>0</v>
      </c>
      <c r="E509" s="97">
        <f>+ROUND('Alimentazione CE Costi'!H1119,2)</f>
        <v>0</v>
      </c>
      <c r="F509" s="97">
        <f t="shared" si="177"/>
        <v>0</v>
      </c>
      <c r="G509" s="60"/>
      <c r="H509" s="236"/>
      <c r="I509" s="97">
        <v>0</v>
      </c>
      <c r="K509" s="94"/>
      <c r="M509" s="98"/>
    </row>
    <row r="510" spans="1:13" ht="18.75">
      <c r="A510" s="226"/>
      <c r="B510" s="137" t="s">
        <v>1735</v>
      </c>
      <c r="C510" s="138" t="s">
        <v>1736</v>
      </c>
      <c r="D510" s="139">
        <f t="shared" ref="D510" si="189">+D493+D497-D503-D507</f>
        <v>0</v>
      </c>
      <c r="E510" s="139">
        <f t="shared" ref="E510" si="190">+E493+E497-E503-E507</f>
        <v>-160231</v>
      </c>
      <c r="F510" s="139">
        <f t="shared" si="177"/>
        <v>160231</v>
      </c>
      <c r="G510" s="60" t="s">
        <v>1838</v>
      </c>
      <c r="H510" s="236"/>
      <c r="I510" s="139">
        <v>0</v>
      </c>
      <c r="K510" s="94"/>
      <c r="M510" s="98"/>
    </row>
    <row r="511" spans="1:13" ht="18.75">
      <c r="A511" s="222"/>
      <c r="B511" s="150"/>
      <c r="C511" s="151" t="s">
        <v>1737</v>
      </c>
      <c r="D511" s="152"/>
      <c r="E511" s="152"/>
      <c r="F511" s="152">
        <f t="shared" si="177"/>
        <v>0</v>
      </c>
      <c r="G511" s="60"/>
      <c r="H511" s="236"/>
      <c r="I511" s="152">
        <v>0</v>
      </c>
      <c r="K511" s="94"/>
      <c r="M511" s="98"/>
    </row>
    <row r="512" spans="1:13" ht="18.75">
      <c r="A512" s="222"/>
      <c r="B512" s="95" t="s">
        <v>418</v>
      </c>
      <c r="C512" s="96" t="s">
        <v>1738</v>
      </c>
      <c r="D512" s="97">
        <f>+ROUND('Alimentazione CE Ricavi'!E341,2)</f>
        <v>0</v>
      </c>
      <c r="E512" s="97">
        <f>+ROUND('Alimentazione CE Ricavi'!H341,2)</f>
        <v>0</v>
      </c>
      <c r="F512" s="97">
        <f t="shared" si="177"/>
        <v>0</v>
      </c>
      <c r="G512" s="60"/>
      <c r="H512" s="236"/>
      <c r="I512" s="97">
        <v>0</v>
      </c>
      <c r="K512" s="94"/>
      <c r="M512" s="98"/>
    </row>
    <row r="513" spans="1:13" ht="18.75">
      <c r="A513" s="222"/>
      <c r="B513" s="95" t="s">
        <v>1150</v>
      </c>
      <c r="C513" s="96" t="s">
        <v>1739</v>
      </c>
      <c r="D513" s="97">
        <f>+ROUND('Alimentazione CE Costi'!E1122,2)</f>
        <v>0</v>
      </c>
      <c r="E513" s="97">
        <f>+ROUND('Alimentazione CE Costi'!H1122,2)</f>
        <v>0</v>
      </c>
      <c r="F513" s="97">
        <f t="shared" si="177"/>
        <v>0</v>
      </c>
      <c r="G513" s="60"/>
      <c r="H513" s="236"/>
      <c r="I513" s="97">
        <v>0</v>
      </c>
      <c r="K513" s="94"/>
      <c r="M513" s="98"/>
    </row>
    <row r="514" spans="1:13" ht="18.75">
      <c r="A514" s="222"/>
      <c r="B514" s="137" t="s">
        <v>1740</v>
      </c>
      <c r="C514" s="138" t="s">
        <v>1741</v>
      </c>
      <c r="D514" s="139">
        <f t="shared" ref="D514" si="191">+D512-D513</f>
        <v>0</v>
      </c>
      <c r="E514" s="139">
        <f t="shared" ref="E514" si="192">+E512-E513</f>
        <v>0</v>
      </c>
      <c r="F514" s="139">
        <f t="shared" si="177"/>
        <v>0</v>
      </c>
      <c r="G514" s="60" t="s">
        <v>1838</v>
      </c>
      <c r="H514" s="236"/>
      <c r="I514" s="139">
        <v>0</v>
      </c>
      <c r="K514" s="94"/>
      <c r="M514" s="98"/>
    </row>
    <row r="515" spans="1:13" ht="18.75">
      <c r="A515" s="222"/>
      <c r="B515" s="150"/>
      <c r="C515" s="151" t="s">
        <v>1742</v>
      </c>
      <c r="D515" s="152"/>
      <c r="E515" s="152"/>
      <c r="F515" s="152">
        <f t="shared" si="177"/>
        <v>0</v>
      </c>
      <c r="G515" s="60"/>
      <c r="H515" s="236"/>
      <c r="I515" s="152">
        <v>0</v>
      </c>
      <c r="K515" s="94"/>
      <c r="M515" s="98"/>
    </row>
    <row r="516" spans="1:13" ht="18.75">
      <c r="A516" s="222"/>
      <c r="B516" s="134" t="s">
        <v>419</v>
      </c>
      <c r="C516" s="135" t="s">
        <v>1743</v>
      </c>
      <c r="D516" s="136">
        <f t="shared" ref="D516" si="193">+D517+D518</f>
        <v>0</v>
      </c>
      <c r="E516" s="136">
        <f t="shared" ref="E516" si="194">+E517+E518</f>
        <v>3139576</v>
      </c>
      <c r="F516" s="136">
        <f t="shared" si="177"/>
        <v>-3139576</v>
      </c>
      <c r="G516" s="60" t="s">
        <v>1838</v>
      </c>
      <c r="H516" s="236"/>
      <c r="I516" s="136">
        <v>0</v>
      </c>
      <c r="K516" s="94"/>
      <c r="M516" s="98"/>
    </row>
    <row r="517" spans="1:13" ht="18.75">
      <c r="A517" s="222"/>
      <c r="B517" s="99" t="s">
        <v>421</v>
      </c>
      <c r="C517" s="100" t="s">
        <v>1744</v>
      </c>
      <c r="D517" s="97">
        <f>+ROUND('Alimentazione CE Ricavi'!E345,2)</f>
        <v>0</v>
      </c>
      <c r="E517" s="97">
        <f>+ROUND('Alimentazione CE Ricavi'!H345,2)</f>
        <v>0</v>
      </c>
      <c r="F517" s="97">
        <f t="shared" si="177"/>
        <v>0</v>
      </c>
      <c r="G517" s="60"/>
      <c r="H517" s="236"/>
      <c r="I517" s="97">
        <v>0</v>
      </c>
      <c r="K517" s="94"/>
      <c r="M517" s="98"/>
    </row>
    <row r="518" spans="1:13" ht="18.75">
      <c r="A518" s="222"/>
      <c r="B518" s="129" t="s">
        <v>423</v>
      </c>
      <c r="C518" s="130" t="s">
        <v>1745</v>
      </c>
      <c r="D518" s="128">
        <f t="shared" ref="D518" si="195">+D519+D520+D531+D541</f>
        <v>0</v>
      </c>
      <c r="E518" s="128">
        <f t="shared" ref="E518" si="196">+E519+E520+E531+E541</f>
        <v>3139576</v>
      </c>
      <c r="F518" s="128">
        <f t="shared" si="177"/>
        <v>-3139576</v>
      </c>
      <c r="G518" s="60" t="s">
        <v>1838</v>
      </c>
      <c r="H518" s="236"/>
      <c r="I518" s="128">
        <v>0</v>
      </c>
      <c r="K518" s="94"/>
      <c r="M518" s="98"/>
    </row>
    <row r="519" spans="1:13" ht="18.75">
      <c r="A519" s="222"/>
      <c r="B519" s="101" t="s">
        <v>425</v>
      </c>
      <c r="C519" s="102" t="s">
        <v>1746</v>
      </c>
      <c r="D519" s="97">
        <f>+ROUND('Alimentazione CE Ricavi'!E348,2)</f>
        <v>0</v>
      </c>
      <c r="E519" s="97">
        <f>+ROUND('Alimentazione CE Ricavi'!H348,2)</f>
        <v>67623</v>
      </c>
      <c r="F519" s="97">
        <f t="shared" si="177"/>
        <v>-67623</v>
      </c>
      <c r="G519" s="60"/>
      <c r="H519" s="236"/>
      <c r="I519" s="97">
        <v>0</v>
      </c>
      <c r="K519" s="94"/>
      <c r="M519" s="98"/>
    </row>
    <row r="520" spans="1:13" ht="18.75">
      <c r="A520" s="222"/>
      <c r="B520" s="140" t="s">
        <v>426</v>
      </c>
      <c r="C520" s="141" t="s">
        <v>1747</v>
      </c>
      <c r="D520" s="142">
        <f t="shared" ref="D520" si="197">+D521+D522+D523</f>
        <v>0</v>
      </c>
      <c r="E520" s="142">
        <f t="shared" ref="E520" si="198">+E521+E522+E523</f>
        <v>2039058</v>
      </c>
      <c r="F520" s="142">
        <f t="shared" si="177"/>
        <v>-2039058</v>
      </c>
      <c r="G520" s="60" t="s">
        <v>1838</v>
      </c>
      <c r="H520" s="236"/>
      <c r="I520" s="142">
        <v>0</v>
      </c>
      <c r="K520" s="94"/>
      <c r="M520" s="98"/>
    </row>
    <row r="521" spans="1:13" ht="18.75">
      <c r="A521" s="224"/>
      <c r="B521" s="101" t="s">
        <v>428</v>
      </c>
      <c r="C521" s="102" t="s">
        <v>1748</v>
      </c>
      <c r="D521" s="97">
        <f>+ROUND('Alimentazione CE Ricavi'!E351,2)</f>
        <v>0</v>
      </c>
      <c r="E521" s="97">
        <f>+ROUND('Alimentazione CE Ricavi'!H351,2)</f>
        <v>0</v>
      </c>
      <c r="F521" s="97">
        <f t="shared" si="177"/>
        <v>0</v>
      </c>
      <c r="G521" s="350"/>
      <c r="H521" s="236"/>
      <c r="I521" s="97">
        <v>0</v>
      </c>
      <c r="K521" s="94"/>
      <c r="M521" s="98"/>
    </row>
    <row r="522" spans="1:13" ht="25.5">
      <c r="A522" s="224" t="s">
        <v>1253</v>
      </c>
      <c r="B522" s="101" t="s">
        <v>430</v>
      </c>
      <c r="C522" s="102" t="s">
        <v>1749</v>
      </c>
      <c r="D522" s="97">
        <f>+ROUND('Alimentazione CE Ricavi'!E353,2)</f>
        <v>0</v>
      </c>
      <c r="E522" s="97">
        <f>+ROUND('Alimentazione CE Ricavi'!H353,2)</f>
        <v>690137</v>
      </c>
      <c r="F522" s="97">
        <f t="shared" si="177"/>
        <v>-690137</v>
      </c>
      <c r="G522" s="350"/>
      <c r="H522" s="236"/>
      <c r="I522" s="97">
        <v>0</v>
      </c>
      <c r="K522" s="94"/>
      <c r="M522" s="98"/>
    </row>
    <row r="523" spans="1:13" ht="18.75">
      <c r="A523" s="224"/>
      <c r="B523" s="146" t="s">
        <v>431</v>
      </c>
      <c r="C523" s="147" t="s">
        <v>1750</v>
      </c>
      <c r="D523" s="145">
        <f t="shared" ref="D523" si="199">SUM(D524:D530)</f>
        <v>0</v>
      </c>
      <c r="E523" s="145">
        <f t="shared" ref="E523" si="200">SUM(E524:E530)</f>
        <v>1348921</v>
      </c>
      <c r="F523" s="145">
        <f t="shared" si="177"/>
        <v>-1348921</v>
      </c>
      <c r="G523" s="60" t="s">
        <v>1838</v>
      </c>
      <c r="H523" s="236"/>
      <c r="I523" s="145">
        <v>0</v>
      </c>
      <c r="K523" s="94"/>
      <c r="M523" s="98"/>
    </row>
    <row r="524" spans="1:13" ht="25.5">
      <c r="A524" s="224" t="s">
        <v>1298</v>
      </c>
      <c r="B524" s="103" t="s">
        <v>433</v>
      </c>
      <c r="C524" s="104" t="s">
        <v>1751</v>
      </c>
      <c r="D524" s="97">
        <f>+ROUND('Alimentazione CE Ricavi'!E356,2)</f>
        <v>0</v>
      </c>
      <c r="E524" s="97">
        <f>+ROUND('Alimentazione CE Ricavi'!H356,2)</f>
        <v>3000</v>
      </c>
      <c r="F524" s="97">
        <f t="shared" si="177"/>
        <v>-3000</v>
      </c>
      <c r="G524" s="350"/>
      <c r="H524" s="236"/>
      <c r="I524" s="97">
        <v>0</v>
      </c>
      <c r="K524" s="94"/>
      <c r="M524" s="98"/>
    </row>
    <row r="525" spans="1:13" ht="25.5">
      <c r="A525" s="224"/>
      <c r="B525" s="103" t="s">
        <v>435</v>
      </c>
      <c r="C525" s="104" t="s">
        <v>1752</v>
      </c>
      <c r="D525" s="97">
        <f>+ROUND('Alimentazione CE Ricavi'!E358,2)</f>
        <v>0</v>
      </c>
      <c r="E525" s="97">
        <f>+ROUND('Alimentazione CE Ricavi'!H358,2)</f>
        <v>12000</v>
      </c>
      <c r="F525" s="97">
        <f t="shared" si="177"/>
        <v>-12000</v>
      </c>
      <c r="G525" s="350"/>
      <c r="H525" s="236"/>
      <c r="I525" s="97">
        <v>0</v>
      </c>
      <c r="K525" s="94"/>
      <c r="M525" s="98"/>
    </row>
    <row r="526" spans="1:13" ht="25.5">
      <c r="A526" s="224"/>
      <c r="B526" s="103" t="s">
        <v>437</v>
      </c>
      <c r="C526" s="104" t="s">
        <v>1753</v>
      </c>
      <c r="D526" s="97">
        <f>+ROUND('Alimentazione CE Ricavi'!E360,2)</f>
        <v>0</v>
      </c>
      <c r="E526" s="97">
        <f>+ROUND('Alimentazione CE Ricavi'!H360,2)</f>
        <v>3000</v>
      </c>
      <c r="F526" s="97">
        <f t="shared" si="177"/>
        <v>-3000</v>
      </c>
      <c r="G526" s="350"/>
      <c r="H526" s="236"/>
      <c r="I526" s="97">
        <v>0</v>
      </c>
      <c r="K526" s="94"/>
      <c r="M526" s="98"/>
    </row>
    <row r="527" spans="1:13" ht="25.5">
      <c r="A527" s="224"/>
      <c r="B527" s="103" t="s">
        <v>439</v>
      </c>
      <c r="C527" s="104" t="s">
        <v>1754</v>
      </c>
      <c r="D527" s="97">
        <f>+ROUND('Alimentazione CE Ricavi'!E362,2)</f>
        <v>0</v>
      </c>
      <c r="E527" s="97">
        <f>+ROUND('Alimentazione CE Ricavi'!H362,2)</f>
        <v>16000</v>
      </c>
      <c r="F527" s="97">
        <f t="shared" si="177"/>
        <v>-16000</v>
      </c>
      <c r="G527" s="350"/>
      <c r="H527" s="236"/>
      <c r="I527" s="97">
        <v>0</v>
      </c>
      <c r="K527" s="94"/>
      <c r="M527" s="98"/>
    </row>
    <row r="528" spans="1:13" ht="25.5">
      <c r="A528" s="224"/>
      <c r="B528" s="103" t="s">
        <v>441</v>
      </c>
      <c r="C528" s="104" t="s">
        <v>1755</v>
      </c>
      <c r="D528" s="97">
        <f>+ROUND('Alimentazione CE Ricavi'!E364,2)</f>
        <v>0</v>
      </c>
      <c r="E528" s="97">
        <f>+ROUND('Alimentazione CE Ricavi'!H364,2)</f>
        <v>64000</v>
      </c>
      <c r="F528" s="97">
        <f t="shared" si="177"/>
        <v>-64000</v>
      </c>
      <c r="G528" s="350"/>
      <c r="H528" s="236"/>
      <c r="I528" s="97">
        <v>0</v>
      </c>
      <c r="K528" s="94"/>
      <c r="M528" s="98"/>
    </row>
    <row r="529" spans="1:13" ht="25.5">
      <c r="A529" s="224"/>
      <c r="B529" s="103" t="s">
        <v>443</v>
      </c>
      <c r="C529" s="104" t="s">
        <v>1756</v>
      </c>
      <c r="D529" s="97">
        <f>+ROUND('Alimentazione CE Ricavi'!E366,2)</f>
        <v>0</v>
      </c>
      <c r="E529" s="97">
        <f>+ROUND('Alimentazione CE Ricavi'!H366,2)</f>
        <v>213000</v>
      </c>
      <c r="F529" s="97">
        <f t="shared" si="177"/>
        <v>-213000</v>
      </c>
      <c r="G529" s="350"/>
      <c r="H529" s="236"/>
      <c r="I529" s="97">
        <v>0</v>
      </c>
      <c r="K529" s="94"/>
      <c r="M529" s="98"/>
    </row>
    <row r="530" spans="1:13" ht="18.75">
      <c r="A530" s="224"/>
      <c r="B530" s="103" t="s">
        <v>445</v>
      </c>
      <c r="C530" s="104" t="s">
        <v>1757</v>
      </c>
      <c r="D530" s="97">
        <f>+ROUND('Alimentazione CE Ricavi'!E368,2)</f>
        <v>0</v>
      </c>
      <c r="E530" s="97">
        <f>+ROUND('Alimentazione CE Ricavi'!H368,2)</f>
        <v>1037921</v>
      </c>
      <c r="F530" s="97">
        <f t="shared" si="177"/>
        <v>-1037921</v>
      </c>
      <c r="G530" s="350"/>
      <c r="H530" s="236"/>
      <c r="I530" s="97">
        <v>0</v>
      </c>
      <c r="K530" s="94"/>
      <c r="M530" s="98"/>
    </row>
    <row r="531" spans="1:13" ht="18.75">
      <c r="A531" s="224"/>
      <c r="B531" s="140" t="s">
        <v>1758</v>
      </c>
      <c r="C531" s="141" t="s">
        <v>1759</v>
      </c>
      <c r="D531" s="142">
        <f t="shared" ref="D531" si="201">+D532+D533</f>
        <v>0</v>
      </c>
      <c r="E531" s="142">
        <f t="shared" ref="E531" si="202">+E532+E533</f>
        <v>1025895</v>
      </c>
      <c r="F531" s="142">
        <f t="shared" si="177"/>
        <v>-1025895</v>
      </c>
      <c r="G531" s="60" t="s">
        <v>1838</v>
      </c>
      <c r="H531" s="236"/>
      <c r="I531" s="142">
        <v>0</v>
      </c>
      <c r="K531" s="94"/>
      <c r="M531" s="98"/>
    </row>
    <row r="532" spans="1:13" ht="25.5">
      <c r="A532" s="222" t="s">
        <v>1253</v>
      </c>
      <c r="B532" s="101" t="s">
        <v>447</v>
      </c>
      <c r="C532" s="102" t="s">
        <v>1760</v>
      </c>
      <c r="D532" s="97">
        <f>+ROUND('Alimentazione CE Ricavi'!E371,2)</f>
        <v>0</v>
      </c>
      <c r="E532" s="97">
        <f>+ROUND('Alimentazione CE Ricavi'!H371,2)</f>
        <v>0</v>
      </c>
      <c r="F532" s="97">
        <f t="shared" si="177"/>
        <v>0</v>
      </c>
      <c r="G532" s="60"/>
      <c r="H532" s="236"/>
      <c r="I532" s="97">
        <v>0</v>
      </c>
      <c r="K532" s="94"/>
      <c r="M532" s="98"/>
    </row>
    <row r="533" spans="1:13" ht="18.75">
      <c r="A533" s="222"/>
      <c r="B533" s="146" t="s">
        <v>1761</v>
      </c>
      <c r="C533" s="147" t="s">
        <v>1762</v>
      </c>
      <c r="D533" s="145">
        <f t="shared" ref="D533" si="203">SUM(D534:D540)</f>
        <v>0</v>
      </c>
      <c r="E533" s="145">
        <f t="shared" ref="E533" si="204">SUM(E534:E540)</f>
        <v>1025895</v>
      </c>
      <c r="F533" s="145">
        <f t="shared" si="177"/>
        <v>-1025895</v>
      </c>
      <c r="G533" s="60" t="s">
        <v>1838</v>
      </c>
      <c r="H533" s="236"/>
      <c r="I533" s="145">
        <v>0</v>
      </c>
      <c r="K533" s="94"/>
      <c r="M533" s="98"/>
    </row>
    <row r="534" spans="1:13" ht="25.5">
      <c r="A534" s="222" t="s">
        <v>1298</v>
      </c>
      <c r="B534" s="103" t="s">
        <v>449</v>
      </c>
      <c r="C534" s="104" t="s">
        <v>1763</v>
      </c>
      <c r="D534" s="97">
        <f>+ROUND('Alimentazione CE Ricavi'!E374,2)</f>
        <v>0</v>
      </c>
      <c r="E534" s="97">
        <f>+ROUND('Alimentazione CE Ricavi'!H374,2)</f>
        <v>0</v>
      </c>
      <c r="F534" s="97">
        <f t="shared" si="177"/>
        <v>0</v>
      </c>
      <c r="G534" s="60"/>
      <c r="H534" s="236"/>
      <c r="I534" s="97">
        <v>0</v>
      </c>
      <c r="K534" s="94"/>
      <c r="M534" s="98"/>
    </row>
    <row r="535" spans="1:13" ht="18.75">
      <c r="A535" s="222"/>
      <c r="B535" s="103" t="s">
        <v>451</v>
      </c>
      <c r="C535" s="104" t="s">
        <v>1764</v>
      </c>
      <c r="D535" s="97">
        <f>+ROUND('Alimentazione CE Ricavi'!E376,2)</f>
        <v>0</v>
      </c>
      <c r="E535" s="97">
        <f>+ROUND('Alimentazione CE Ricavi'!H376,2)</f>
        <v>0</v>
      </c>
      <c r="F535" s="97">
        <f t="shared" si="177"/>
        <v>0</v>
      </c>
      <c r="G535" s="60"/>
      <c r="H535" s="236"/>
      <c r="I535" s="97">
        <v>0</v>
      </c>
      <c r="K535" s="94"/>
      <c r="M535" s="98"/>
    </row>
    <row r="536" spans="1:13" ht="25.5">
      <c r="A536" s="222"/>
      <c r="B536" s="103" t="s">
        <v>453</v>
      </c>
      <c r="C536" s="104" t="s">
        <v>1765</v>
      </c>
      <c r="D536" s="97">
        <f>+ROUND('Alimentazione CE Ricavi'!E378,2)</f>
        <v>0</v>
      </c>
      <c r="E536" s="97">
        <f>+ROUND('Alimentazione CE Ricavi'!H378,2)</f>
        <v>0</v>
      </c>
      <c r="F536" s="97">
        <f t="shared" si="177"/>
        <v>0</v>
      </c>
      <c r="G536" s="60"/>
      <c r="H536" s="236"/>
      <c r="I536" s="97">
        <v>0</v>
      </c>
      <c r="K536" s="94"/>
      <c r="M536" s="98"/>
    </row>
    <row r="537" spans="1:13" ht="25.5">
      <c r="A537" s="222"/>
      <c r="B537" s="103" t="s">
        <v>455</v>
      </c>
      <c r="C537" s="104" t="s">
        <v>1766</v>
      </c>
      <c r="D537" s="97">
        <f>+ROUND('Alimentazione CE Ricavi'!E380,2)</f>
        <v>0</v>
      </c>
      <c r="E537" s="97">
        <f>+ROUND('Alimentazione CE Ricavi'!H380,2)</f>
        <v>0</v>
      </c>
      <c r="F537" s="97">
        <f t="shared" si="177"/>
        <v>0</v>
      </c>
      <c r="G537" s="60"/>
      <c r="H537" s="236"/>
      <c r="I537" s="97">
        <v>0</v>
      </c>
      <c r="K537" s="94"/>
      <c r="M537" s="98"/>
    </row>
    <row r="538" spans="1:13" ht="25.5">
      <c r="A538" s="222"/>
      <c r="B538" s="103" t="s">
        <v>457</v>
      </c>
      <c r="C538" s="104" t="s">
        <v>1767</v>
      </c>
      <c r="D538" s="97">
        <f>+ROUND('Alimentazione CE Ricavi'!E382,2)</f>
        <v>0</v>
      </c>
      <c r="E538" s="97">
        <f>+ROUND('Alimentazione CE Ricavi'!H382,2)</f>
        <v>0</v>
      </c>
      <c r="F538" s="97">
        <f t="shared" ref="F538:F587" si="205">+D538-E538</f>
        <v>0</v>
      </c>
      <c r="G538" s="60"/>
      <c r="H538" s="236"/>
      <c r="I538" s="97">
        <v>0</v>
      </c>
      <c r="K538" s="94"/>
      <c r="M538" s="98"/>
    </row>
    <row r="539" spans="1:13" ht="25.5">
      <c r="A539" s="222"/>
      <c r="B539" s="103" t="s">
        <v>459</v>
      </c>
      <c r="C539" s="104" t="s">
        <v>1768</v>
      </c>
      <c r="D539" s="97">
        <f>+ROUND('Alimentazione CE Ricavi'!E384,2)</f>
        <v>0</v>
      </c>
      <c r="E539" s="97">
        <f>+ROUND('Alimentazione CE Ricavi'!H384,2)</f>
        <v>1023895</v>
      </c>
      <c r="F539" s="97">
        <f t="shared" si="205"/>
        <v>-1023895</v>
      </c>
      <c r="G539" s="60"/>
      <c r="H539" s="236"/>
      <c r="I539" s="97">
        <v>0</v>
      </c>
      <c r="K539" s="94"/>
      <c r="M539" s="98"/>
    </row>
    <row r="540" spans="1:13" ht="18.75">
      <c r="A540" s="222"/>
      <c r="B540" s="103" t="s">
        <v>461</v>
      </c>
      <c r="C540" s="104" t="s">
        <v>1769</v>
      </c>
      <c r="D540" s="97">
        <f>+ROUND('Alimentazione CE Ricavi'!E386,2)</f>
        <v>0</v>
      </c>
      <c r="E540" s="97">
        <f>+ROUND('Alimentazione CE Ricavi'!H386,2)</f>
        <v>2000</v>
      </c>
      <c r="F540" s="97">
        <f t="shared" si="205"/>
        <v>-2000</v>
      </c>
      <c r="G540" s="60"/>
      <c r="H540" s="236"/>
      <c r="I540" s="97">
        <v>0</v>
      </c>
      <c r="K540" s="94"/>
      <c r="M540" s="98"/>
    </row>
    <row r="541" spans="1:13" ht="18.75">
      <c r="A541" s="222"/>
      <c r="B541" s="101" t="s">
        <v>462</v>
      </c>
      <c r="C541" s="102" t="s">
        <v>1770</v>
      </c>
      <c r="D541" s="97">
        <f>+ROUND('Alimentazione CE Ricavi'!E388,2)</f>
        <v>0</v>
      </c>
      <c r="E541" s="97">
        <f>+ROUND('Alimentazione CE Ricavi'!H388,2)</f>
        <v>7000</v>
      </c>
      <c r="F541" s="97">
        <f t="shared" si="205"/>
        <v>-7000</v>
      </c>
      <c r="G541" s="60"/>
      <c r="H541" s="236"/>
      <c r="I541" s="97">
        <v>0</v>
      </c>
      <c r="K541" s="94"/>
      <c r="M541" s="98"/>
    </row>
    <row r="542" spans="1:13" ht="18.75">
      <c r="A542" s="222"/>
      <c r="B542" s="134" t="s">
        <v>1151</v>
      </c>
      <c r="C542" s="135" t="s">
        <v>1771</v>
      </c>
      <c r="D542" s="136">
        <f t="shared" ref="D542" si="206">+D543+D544</f>
        <v>0</v>
      </c>
      <c r="E542" s="136">
        <f t="shared" ref="E542" si="207">+E543+E544</f>
        <v>2312629</v>
      </c>
      <c r="F542" s="136">
        <f t="shared" si="205"/>
        <v>-2312629</v>
      </c>
      <c r="G542" s="60"/>
      <c r="H542" s="236"/>
      <c r="I542" s="136">
        <v>0</v>
      </c>
      <c r="K542" s="94"/>
      <c r="M542" s="98"/>
    </row>
    <row r="543" spans="1:13" ht="18.75">
      <c r="A543" s="222"/>
      <c r="B543" s="99" t="s">
        <v>1153</v>
      </c>
      <c r="C543" s="100" t="s">
        <v>1772</v>
      </c>
      <c r="D543" s="97">
        <f>+ROUND('Alimentazione CE Costi'!E1126,2)</f>
        <v>0</v>
      </c>
      <c r="E543" s="97">
        <f>+ROUND('Alimentazione CE Costi'!H1126,2)</f>
        <v>0</v>
      </c>
      <c r="F543" s="97">
        <f t="shared" si="205"/>
        <v>0</v>
      </c>
      <c r="G543" s="60"/>
      <c r="H543" s="236"/>
      <c r="I543" s="97">
        <v>0</v>
      </c>
      <c r="K543" s="94"/>
      <c r="M543" s="98"/>
    </row>
    <row r="544" spans="1:13" ht="18.75">
      <c r="A544" s="222"/>
      <c r="B544" s="129" t="s">
        <v>1155</v>
      </c>
      <c r="C544" s="130" t="s">
        <v>1773</v>
      </c>
      <c r="D544" s="128">
        <f t="shared" ref="D544" si="208">+D545+D546+D547+D562+D573</f>
        <v>0</v>
      </c>
      <c r="E544" s="128">
        <f t="shared" ref="E544" si="209">+E545+E546+E547+E562+E573</f>
        <v>2312629</v>
      </c>
      <c r="F544" s="128">
        <f t="shared" si="205"/>
        <v>-2312629</v>
      </c>
      <c r="G544" s="60"/>
      <c r="H544" s="236"/>
      <c r="I544" s="128">
        <v>0</v>
      </c>
      <c r="K544" s="94"/>
      <c r="M544" s="98"/>
    </row>
    <row r="545" spans="1:13" ht="18.75">
      <c r="A545" s="222"/>
      <c r="B545" s="101" t="s">
        <v>1157</v>
      </c>
      <c r="C545" s="102" t="s">
        <v>1774</v>
      </c>
      <c r="D545" s="97">
        <f>+ROUND('Alimentazione CE Costi'!E1129,2)</f>
        <v>0</v>
      </c>
      <c r="E545" s="97">
        <f>+ROUND('Alimentazione CE Costi'!H1129,2)</f>
        <v>0</v>
      </c>
      <c r="F545" s="97">
        <f t="shared" si="205"/>
        <v>0</v>
      </c>
      <c r="G545" s="60"/>
      <c r="H545" s="236"/>
      <c r="I545" s="97">
        <v>0</v>
      </c>
      <c r="K545" s="94"/>
      <c r="M545" s="98"/>
    </row>
    <row r="546" spans="1:13" ht="18.75">
      <c r="A546" s="222"/>
      <c r="B546" s="101" t="s">
        <v>1159</v>
      </c>
      <c r="C546" s="102" t="s">
        <v>1775</v>
      </c>
      <c r="D546" s="97">
        <f>+ROUND('Alimentazione CE Costi'!E1131,2)</f>
        <v>0</v>
      </c>
      <c r="E546" s="97">
        <f>+ROUND('Alimentazione CE Costi'!H1131,2)</f>
        <v>0</v>
      </c>
      <c r="F546" s="97">
        <f t="shared" si="205"/>
        <v>0</v>
      </c>
      <c r="G546" s="60"/>
      <c r="H546" s="236"/>
      <c r="I546" s="97">
        <v>0</v>
      </c>
      <c r="K546" s="94"/>
      <c r="M546" s="98"/>
    </row>
    <row r="547" spans="1:13" ht="18.75">
      <c r="A547" s="222"/>
      <c r="B547" s="140" t="s">
        <v>1160</v>
      </c>
      <c r="C547" s="141" t="s">
        <v>1776</v>
      </c>
      <c r="D547" s="142">
        <f t="shared" ref="D547" si="210">+D548+D551</f>
        <v>0</v>
      </c>
      <c r="E547" s="142">
        <f t="shared" ref="E547" si="211">+E548+E551</f>
        <v>2298638</v>
      </c>
      <c r="F547" s="142">
        <f t="shared" si="205"/>
        <v>-2298638</v>
      </c>
      <c r="G547" s="60"/>
      <c r="H547" s="236"/>
      <c r="I547" s="142">
        <v>0</v>
      </c>
      <c r="K547" s="94"/>
      <c r="M547" s="98"/>
    </row>
    <row r="548" spans="1:13" ht="25.5">
      <c r="A548" s="222" t="s">
        <v>1253</v>
      </c>
      <c r="B548" s="146" t="s">
        <v>1161</v>
      </c>
      <c r="C548" s="147" t="s">
        <v>1777</v>
      </c>
      <c r="D548" s="145">
        <f t="shared" ref="D548" si="212">+D549+D550</f>
        <v>0</v>
      </c>
      <c r="E548" s="145">
        <f t="shared" ref="E548" si="213">+E549+E550</f>
        <v>49845</v>
      </c>
      <c r="F548" s="145">
        <f t="shared" si="205"/>
        <v>-49845</v>
      </c>
      <c r="G548" s="60"/>
      <c r="H548" s="236"/>
      <c r="I548" s="145">
        <v>0</v>
      </c>
      <c r="K548" s="94"/>
      <c r="M548" s="98"/>
    </row>
    <row r="549" spans="1:13" ht="25.5">
      <c r="A549" s="222" t="s">
        <v>1253</v>
      </c>
      <c r="B549" s="103" t="s">
        <v>1163</v>
      </c>
      <c r="C549" s="104" t="s">
        <v>1778</v>
      </c>
      <c r="D549" s="97">
        <f>+ROUND('Alimentazione CE Costi'!E1135,2)</f>
        <v>0</v>
      </c>
      <c r="E549" s="97">
        <f>+ROUND('Alimentazione CE Costi'!H1135,2)</f>
        <v>0</v>
      </c>
      <c r="F549" s="97">
        <f t="shared" si="205"/>
        <v>0</v>
      </c>
      <c r="G549" s="60"/>
      <c r="H549" s="236"/>
      <c r="I549" s="97">
        <v>0</v>
      </c>
      <c r="K549" s="94"/>
      <c r="M549" s="98"/>
    </row>
    <row r="550" spans="1:13" ht="25.5">
      <c r="A550" s="222" t="s">
        <v>1253</v>
      </c>
      <c r="B550" s="103" t="s">
        <v>1165</v>
      </c>
      <c r="C550" s="104" t="s">
        <v>1779</v>
      </c>
      <c r="D550" s="97">
        <f>+ROUND('Alimentazione CE Costi'!E1137,2)</f>
        <v>0</v>
      </c>
      <c r="E550" s="97">
        <f>+ROUND('Alimentazione CE Costi'!H1137,2)</f>
        <v>49845</v>
      </c>
      <c r="F550" s="97">
        <f t="shared" si="205"/>
        <v>-49845</v>
      </c>
      <c r="G550" s="60"/>
      <c r="H550" s="236"/>
      <c r="I550" s="97">
        <v>0</v>
      </c>
      <c r="K550" s="94"/>
      <c r="M550" s="98"/>
    </row>
    <row r="551" spans="1:13" ht="18.75">
      <c r="A551" s="222"/>
      <c r="B551" s="146" t="s">
        <v>1166</v>
      </c>
      <c r="C551" s="147" t="s">
        <v>1780</v>
      </c>
      <c r="D551" s="145">
        <f t="shared" ref="D551" si="214">+D552+D553+D557+D558+D559+D560+D561</f>
        <v>0</v>
      </c>
      <c r="E551" s="145">
        <f t="shared" ref="E551" si="215">+E552+E553+E557+E558+E559+E560+E561</f>
        <v>2248793</v>
      </c>
      <c r="F551" s="145">
        <f t="shared" si="205"/>
        <v>-2248793</v>
      </c>
      <c r="G551" s="60"/>
      <c r="H551" s="236"/>
      <c r="I551" s="145">
        <v>0</v>
      </c>
      <c r="K551" s="94"/>
      <c r="M551" s="98"/>
    </row>
    <row r="552" spans="1:13" ht="25.5">
      <c r="A552" s="222" t="s">
        <v>1298</v>
      </c>
      <c r="B552" s="103" t="s">
        <v>1168</v>
      </c>
      <c r="C552" s="104" t="s">
        <v>1781</v>
      </c>
      <c r="D552" s="97">
        <f>+ROUND('Alimentazione CE Costi'!E1140,2)</f>
        <v>0</v>
      </c>
      <c r="E552" s="97">
        <f>+ROUND('Alimentazione CE Costi'!H1140,2)</f>
        <v>12198</v>
      </c>
      <c r="F552" s="97">
        <f t="shared" si="205"/>
        <v>-12198</v>
      </c>
      <c r="G552" s="60"/>
      <c r="H552" s="236"/>
      <c r="I552" s="97">
        <v>0</v>
      </c>
      <c r="K552" s="94"/>
      <c r="M552" s="98"/>
    </row>
    <row r="553" spans="1:13" ht="25.5">
      <c r="A553" s="222"/>
      <c r="B553" s="161" t="s">
        <v>1169</v>
      </c>
      <c r="C553" s="162" t="s">
        <v>1782</v>
      </c>
      <c r="D553" s="163">
        <f t="shared" ref="D553" si="216">+D554+D555+D556</f>
        <v>0</v>
      </c>
      <c r="E553" s="163">
        <f t="shared" ref="E553" si="217">+E554+E555+E556</f>
        <v>629452</v>
      </c>
      <c r="F553" s="163">
        <f t="shared" si="205"/>
        <v>-629452</v>
      </c>
      <c r="G553" s="60"/>
      <c r="H553" s="236"/>
      <c r="I553" s="163">
        <v>0</v>
      </c>
      <c r="K553" s="94"/>
      <c r="M553" s="98"/>
    </row>
    <row r="554" spans="1:13" ht="25.5">
      <c r="A554" s="222"/>
      <c r="B554" s="101" t="s">
        <v>1171</v>
      </c>
      <c r="C554" s="102" t="s">
        <v>1783</v>
      </c>
      <c r="D554" s="97">
        <f>+ROUND('Alimentazione CE Costi'!E1143,2)</f>
        <v>0</v>
      </c>
      <c r="E554" s="97">
        <f>+ROUND('Alimentazione CE Costi'!H1143,2)</f>
        <v>22254</v>
      </c>
      <c r="F554" s="97">
        <f t="shared" si="205"/>
        <v>-22254</v>
      </c>
      <c r="G554" s="60"/>
      <c r="H554" s="236"/>
      <c r="I554" s="97">
        <v>0</v>
      </c>
      <c r="K554" s="94"/>
      <c r="M554" s="98"/>
    </row>
    <row r="555" spans="1:13" ht="25.5">
      <c r="A555" s="222"/>
      <c r="B555" s="101" t="s">
        <v>1173</v>
      </c>
      <c r="C555" s="102" t="s">
        <v>1784</v>
      </c>
      <c r="D555" s="97">
        <f>+ROUND('Alimentazione CE Costi'!E1145,2)</f>
        <v>0</v>
      </c>
      <c r="E555" s="97">
        <f>+ROUND('Alimentazione CE Costi'!H1145,2)</f>
        <v>298</v>
      </c>
      <c r="F555" s="97">
        <f t="shared" si="205"/>
        <v>-298</v>
      </c>
      <c r="G555" s="60"/>
      <c r="H555" s="236"/>
      <c r="I555" s="97">
        <v>0</v>
      </c>
      <c r="K555" s="94"/>
      <c r="M555" s="98"/>
    </row>
    <row r="556" spans="1:13" ht="25.5">
      <c r="A556" s="222"/>
      <c r="B556" s="101" t="s">
        <v>1175</v>
      </c>
      <c r="C556" s="102" t="s">
        <v>1785</v>
      </c>
      <c r="D556" s="97">
        <f>+ROUND('Alimentazione CE Costi'!E1147,2)</f>
        <v>0</v>
      </c>
      <c r="E556" s="97">
        <f>+ROUND('Alimentazione CE Costi'!H1147,2)</f>
        <v>606900</v>
      </c>
      <c r="F556" s="97">
        <f t="shared" si="205"/>
        <v>-606900</v>
      </c>
      <c r="G556" s="60"/>
      <c r="H556" s="236"/>
      <c r="I556" s="97">
        <v>0</v>
      </c>
      <c r="K556" s="94"/>
      <c r="M556" s="98"/>
    </row>
    <row r="557" spans="1:13" ht="25.5">
      <c r="A557" s="222"/>
      <c r="B557" s="103" t="s">
        <v>1177</v>
      </c>
      <c r="C557" s="104" t="s">
        <v>1786</v>
      </c>
      <c r="D557" s="97">
        <f>+ROUND('Alimentazione CE Costi'!E1149,2)</f>
        <v>0</v>
      </c>
      <c r="E557" s="97">
        <f>+ROUND('Alimentazione CE Costi'!H1149,2)</f>
        <v>274</v>
      </c>
      <c r="F557" s="97">
        <f t="shared" si="205"/>
        <v>-274</v>
      </c>
      <c r="G557" s="60"/>
      <c r="H557" s="236"/>
      <c r="I557" s="97">
        <v>0</v>
      </c>
      <c r="K557" s="94"/>
      <c r="M557" s="98"/>
    </row>
    <row r="558" spans="1:13" ht="25.5">
      <c r="A558" s="222"/>
      <c r="B558" s="103" t="s">
        <v>1179</v>
      </c>
      <c r="C558" s="104" t="s">
        <v>1787</v>
      </c>
      <c r="D558" s="97">
        <f>+ROUND('Alimentazione CE Costi'!E1151,2)</f>
        <v>0</v>
      </c>
      <c r="E558" s="97">
        <f>+ROUND('Alimentazione CE Costi'!H1151,2)</f>
        <v>164</v>
      </c>
      <c r="F558" s="97">
        <f t="shared" si="205"/>
        <v>-164</v>
      </c>
      <c r="G558" s="60"/>
      <c r="H558" s="236"/>
      <c r="I558" s="97">
        <v>0</v>
      </c>
      <c r="K558" s="94"/>
      <c r="M558" s="98"/>
    </row>
    <row r="559" spans="1:13" ht="25.5">
      <c r="A559" s="222"/>
      <c r="B559" s="103" t="s">
        <v>1181</v>
      </c>
      <c r="C559" s="104" t="s">
        <v>1788</v>
      </c>
      <c r="D559" s="97">
        <f>+ROUND('Alimentazione CE Costi'!E1153,2)</f>
        <v>0</v>
      </c>
      <c r="E559" s="97">
        <f>+ROUND('Alimentazione CE Costi'!H1153,2)</f>
        <v>0</v>
      </c>
      <c r="F559" s="97">
        <f t="shared" si="205"/>
        <v>0</v>
      </c>
      <c r="G559" s="60"/>
      <c r="H559" s="236"/>
      <c r="I559" s="97">
        <v>0</v>
      </c>
      <c r="K559" s="94"/>
      <c r="M559" s="98"/>
    </row>
    <row r="560" spans="1:13" ht="25.5">
      <c r="A560" s="222"/>
      <c r="B560" s="103" t="s">
        <v>1183</v>
      </c>
      <c r="C560" s="104" t="s">
        <v>1789</v>
      </c>
      <c r="D560" s="97">
        <f>+ROUND('Alimentazione CE Costi'!E1155,2)</f>
        <v>0</v>
      </c>
      <c r="E560" s="97">
        <f>+ROUND('Alimentazione CE Costi'!H1155,2)</f>
        <v>1500000</v>
      </c>
      <c r="F560" s="97">
        <f t="shared" si="205"/>
        <v>-1500000</v>
      </c>
      <c r="G560" s="60"/>
      <c r="H560" s="236"/>
      <c r="I560" s="97">
        <v>0</v>
      </c>
      <c r="K560" s="94"/>
      <c r="M560" s="98"/>
    </row>
    <row r="561" spans="1:13" ht="18.75">
      <c r="A561" s="222"/>
      <c r="B561" s="103" t="s">
        <v>1185</v>
      </c>
      <c r="C561" s="104" t="s">
        <v>1790</v>
      </c>
      <c r="D561" s="97">
        <f>+ROUND('Alimentazione CE Costi'!E1157,2)</f>
        <v>0</v>
      </c>
      <c r="E561" s="97">
        <f>+ROUND('Alimentazione CE Costi'!H1157,2)</f>
        <v>106705</v>
      </c>
      <c r="F561" s="97">
        <f t="shared" si="205"/>
        <v>-106705</v>
      </c>
      <c r="G561" s="60"/>
      <c r="H561" s="236"/>
      <c r="I561" s="97">
        <v>0</v>
      </c>
      <c r="K561" s="94"/>
      <c r="M561" s="98"/>
    </row>
    <row r="562" spans="1:13" ht="18.75">
      <c r="A562" s="222"/>
      <c r="B562" s="140" t="s">
        <v>1186</v>
      </c>
      <c r="C562" s="141" t="s">
        <v>1791</v>
      </c>
      <c r="D562" s="142">
        <f t="shared" ref="D562" si="218">+D563+D564+D565</f>
        <v>0</v>
      </c>
      <c r="E562" s="142">
        <f t="shared" ref="E562" si="219">+E563+E564+E565</f>
        <v>11991</v>
      </c>
      <c r="F562" s="142">
        <f t="shared" si="205"/>
        <v>-11991</v>
      </c>
      <c r="G562" s="60"/>
      <c r="H562" s="236"/>
      <c r="I562" s="142">
        <v>0</v>
      </c>
      <c r="K562" s="94"/>
      <c r="M562" s="98"/>
    </row>
    <row r="563" spans="1:13" ht="18.75">
      <c r="A563" s="224"/>
      <c r="B563" s="101" t="s">
        <v>1188</v>
      </c>
      <c r="C563" s="102" t="s">
        <v>1792</v>
      </c>
      <c r="D563" s="97">
        <f>+ROUND('Alimentazione CE Costi'!E1160,2)</f>
        <v>0</v>
      </c>
      <c r="E563" s="97">
        <f>+ROUND('Alimentazione CE Costi'!H1160,2)</f>
        <v>0</v>
      </c>
      <c r="F563" s="97">
        <f t="shared" si="205"/>
        <v>0</v>
      </c>
      <c r="G563" s="350"/>
      <c r="H563" s="236"/>
      <c r="I563" s="97">
        <v>0</v>
      </c>
      <c r="K563" s="94"/>
      <c r="M563" s="98"/>
    </row>
    <row r="564" spans="1:13" ht="25.5">
      <c r="A564" s="224" t="s">
        <v>1253</v>
      </c>
      <c r="B564" s="101" t="s">
        <v>1190</v>
      </c>
      <c r="C564" s="102" t="s">
        <v>1793</v>
      </c>
      <c r="D564" s="97">
        <f>+ROUND('Alimentazione CE Costi'!E1162,2)</f>
        <v>0</v>
      </c>
      <c r="E564" s="97">
        <f>+ROUND('Alimentazione CE Costi'!H1162,2)</f>
        <v>0</v>
      </c>
      <c r="F564" s="97">
        <f t="shared" si="205"/>
        <v>0</v>
      </c>
      <c r="G564" s="350"/>
      <c r="H564" s="236"/>
      <c r="I564" s="97">
        <v>0</v>
      </c>
      <c r="K564" s="94"/>
      <c r="M564" s="98"/>
    </row>
    <row r="565" spans="1:13" ht="18.75">
      <c r="A565" s="224"/>
      <c r="B565" s="146" t="s">
        <v>1191</v>
      </c>
      <c r="C565" s="147" t="s">
        <v>1794</v>
      </c>
      <c r="D565" s="145">
        <f t="shared" ref="D565" si="220">SUM(D566:D572)</f>
        <v>0</v>
      </c>
      <c r="E565" s="145">
        <f t="shared" ref="E565" si="221">SUM(E566:E572)</f>
        <v>11991</v>
      </c>
      <c r="F565" s="145">
        <f t="shared" si="205"/>
        <v>-11991</v>
      </c>
      <c r="G565" s="60"/>
      <c r="H565" s="236"/>
      <c r="I565" s="145">
        <v>0</v>
      </c>
      <c r="K565" s="94"/>
      <c r="M565" s="98"/>
    </row>
    <row r="566" spans="1:13" ht="25.5">
      <c r="A566" s="224" t="s">
        <v>1298</v>
      </c>
      <c r="B566" s="103" t="s">
        <v>1193</v>
      </c>
      <c r="C566" s="104" t="s">
        <v>1795</v>
      </c>
      <c r="D566" s="97">
        <f>+ROUND('Alimentazione CE Costi'!E1165,2)</f>
        <v>0</v>
      </c>
      <c r="E566" s="97">
        <f>+ROUND('Alimentazione CE Costi'!H1165,2)</f>
        <v>208</v>
      </c>
      <c r="F566" s="97">
        <f t="shared" si="205"/>
        <v>-208</v>
      </c>
      <c r="G566" s="350"/>
      <c r="H566" s="236"/>
      <c r="I566" s="97">
        <v>0</v>
      </c>
      <c r="K566" s="94"/>
      <c r="M566" s="98"/>
    </row>
    <row r="567" spans="1:13" ht="25.5">
      <c r="A567" s="224"/>
      <c r="B567" s="103" t="s">
        <v>1195</v>
      </c>
      <c r="C567" s="104" t="s">
        <v>1796</v>
      </c>
      <c r="D567" s="97">
        <f>+ROUND('Alimentazione CE Costi'!E1167,2)</f>
        <v>0</v>
      </c>
      <c r="E567" s="97">
        <f>+ROUND('Alimentazione CE Costi'!H1167,2)</f>
        <v>0</v>
      </c>
      <c r="F567" s="97">
        <f t="shared" si="205"/>
        <v>0</v>
      </c>
      <c r="G567" s="350"/>
      <c r="H567" s="236"/>
      <c r="I567" s="97">
        <v>0</v>
      </c>
      <c r="K567" s="94"/>
      <c r="M567" s="98"/>
    </row>
    <row r="568" spans="1:13" ht="25.5">
      <c r="A568" s="224"/>
      <c r="B568" s="103" t="s">
        <v>1197</v>
      </c>
      <c r="C568" s="104" t="s">
        <v>1797</v>
      </c>
      <c r="D568" s="97">
        <f>+ROUND('Alimentazione CE Costi'!E1169,2)</f>
        <v>0</v>
      </c>
      <c r="E568" s="97">
        <f>+ROUND('Alimentazione CE Costi'!H1169,2)</f>
        <v>0</v>
      </c>
      <c r="F568" s="97">
        <f t="shared" si="205"/>
        <v>0</v>
      </c>
      <c r="G568" s="350"/>
      <c r="H568" s="236"/>
      <c r="I568" s="97">
        <v>0</v>
      </c>
      <c r="K568" s="94"/>
      <c r="M568" s="98"/>
    </row>
    <row r="569" spans="1:13" ht="25.5">
      <c r="A569" s="224"/>
      <c r="B569" s="103" t="s">
        <v>1199</v>
      </c>
      <c r="C569" s="104" t="s">
        <v>1798</v>
      </c>
      <c r="D569" s="97">
        <f>+ROUND('Alimentazione CE Costi'!E1171,2)</f>
        <v>0</v>
      </c>
      <c r="E569" s="97">
        <f>+ROUND('Alimentazione CE Costi'!H1171,2)</f>
        <v>0</v>
      </c>
      <c r="F569" s="97">
        <f t="shared" si="205"/>
        <v>0</v>
      </c>
      <c r="G569" s="350"/>
      <c r="H569" s="236"/>
      <c r="I569" s="97">
        <v>0</v>
      </c>
      <c r="K569" s="94"/>
      <c r="M569" s="98"/>
    </row>
    <row r="570" spans="1:13" ht="25.5">
      <c r="A570" s="224"/>
      <c r="B570" s="103" t="s">
        <v>1201</v>
      </c>
      <c r="C570" s="104" t="s">
        <v>1799</v>
      </c>
      <c r="D570" s="97">
        <f>+ROUND('Alimentazione CE Costi'!E1173,2)</f>
        <v>0</v>
      </c>
      <c r="E570" s="97">
        <f>+ROUND('Alimentazione CE Costi'!H1173,2)</f>
        <v>0</v>
      </c>
      <c r="F570" s="97">
        <f t="shared" si="205"/>
        <v>0</v>
      </c>
      <c r="G570" s="350"/>
      <c r="H570" s="236"/>
      <c r="I570" s="97">
        <v>0</v>
      </c>
      <c r="K570" s="94"/>
      <c r="M570" s="98"/>
    </row>
    <row r="571" spans="1:13" ht="25.5">
      <c r="A571" s="224"/>
      <c r="B571" s="103" t="s">
        <v>1203</v>
      </c>
      <c r="C571" s="104" t="s">
        <v>1800</v>
      </c>
      <c r="D571" s="97">
        <f>+ROUND('Alimentazione CE Costi'!E1175,2)</f>
        <v>0</v>
      </c>
      <c r="E571" s="97">
        <f>+ROUND('Alimentazione CE Costi'!H1175,2)</f>
        <v>126</v>
      </c>
      <c r="F571" s="97">
        <f t="shared" si="205"/>
        <v>-126</v>
      </c>
      <c r="G571" s="350"/>
      <c r="H571" s="236"/>
      <c r="I571" s="97">
        <v>0</v>
      </c>
      <c r="K571" s="94"/>
      <c r="M571" s="98"/>
    </row>
    <row r="572" spans="1:13" ht="18.75">
      <c r="A572" s="224"/>
      <c r="B572" s="103" t="s">
        <v>1205</v>
      </c>
      <c r="C572" s="104" t="s">
        <v>1801</v>
      </c>
      <c r="D572" s="97">
        <f>+ROUND('Alimentazione CE Costi'!E1177,2)</f>
        <v>0</v>
      </c>
      <c r="E572" s="97">
        <f>+ROUND('Alimentazione CE Costi'!H1177,2)</f>
        <v>11657</v>
      </c>
      <c r="F572" s="97">
        <f t="shared" si="205"/>
        <v>-11657</v>
      </c>
      <c r="G572" s="350"/>
      <c r="H572" s="236"/>
      <c r="I572" s="97">
        <v>0</v>
      </c>
      <c r="K572" s="94"/>
      <c r="M572" s="98"/>
    </row>
    <row r="573" spans="1:13" ht="18.75">
      <c r="A573" s="222"/>
      <c r="B573" s="101" t="s">
        <v>1206</v>
      </c>
      <c r="C573" s="102" t="s">
        <v>1802</v>
      </c>
      <c r="D573" s="97">
        <f>+ROUND('Alimentazione CE Costi'!E1179,2)</f>
        <v>0</v>
      </c>
      <c r="E573" s="97">
        <f>+ROUND('Alimentazione CE Costi'!H1179,2)</f>
        <v>2000</v>
      </c>
      <c r="F573" s="97">
        <f t="shared" si="205"/>
        <v>-2000</v>
      </c>
      <c r="G573" s="60"/>
      <c r="H573" s="236"/>
      <c r="I573" s="97">
        <v>0</v>
      </c>
      <c r="K573" s="94"/>
      <c r="M573" s="98"/>
    </row>
    <row r="574" spans="1:13" ht="18.75">
      <c r="A574" s="222"/>
      <c r="B574" s="137" t="s">
        <v>1803</v>
      </c>
      <c r="C574" s="138" t="s">
        <v>1804</v>
      </c>
      <c r="D574" s="139">
        <f t="shared" ref="D574" si="222">+D516-D542</f>
        <v>0</v>
      </c>
      <c r="E574" s="139">
        <f t="shared" ref="E574" si="223">+E516-E542</f>
        <v>826947</v>
      </c>
      <c r="F574" s="139">
        <f t="shared" si="205"/>
        <v>-826947</v>
      </c>
      <c r="G574" s="60"/>
      <c r="H574" s="236"/>
      <c r="I574" s="139">
        <v>0</v>
      </c>
      <c r="K574" s="94"/>
      <c r="M574" s="98"/>
    </row>
    <row r="575" spans="1:13" ht="25.5">
      <c r="A575" s="222"/>
      <c r="B575" s="95" t="s">
        <v>1805</v>
      </c>
      <c r="C575" s="96" t="s">
        <v>1806</v>
      </c>
      <c r="D575" s="97">
        <f>+D157-D491+D510+D514+D574</f>
        <v>23051266</v>
      </c>
      <c r="E575" s="97">
        <f t="shared" ref="E575" si="224">+E157-E491+E510+E514+E574</f>
        <v>23021753</v>
      </c>
      <c r="F575" s="97">
        <f t="shared" si="205"/>
        <v>29513</v>
      </c>
      <c r="G575" s="60"/>
      <c r="H575" s="236"/>
      <c r="I575" s="97">
        <v>14563638.49000001</v>
      </c>
      <c r="K575" s="94"/>
      <c r="M575" s="98"/>
    </row>
    <row r="576" spans="1:13" ht="18.75">
      <c r="A576" s="224"/>
      <c r="B576" s="150"/>
      <c r="C576" s="151" t="s">
        <v>1807</v>
      </c>
      <c r="D576" s="152"/>
      <c r="E576" s="152"/>
      <c r="F576" s="152">
        <f t="shared" si="205"/>
        <v>0</v>
      </c>
      <c r="G576" s="350"/>
      <c r="H576" s="236"/>
      <c r="I576" s="152"/>
      <c r="K576" s="94"/>
      <c r="M576" s="98"/>
    </row>
    <row r="577" spans="1:27" ht="18.75">
      <c r="A577" s="222"/>
      <c r="B577" s="134" t="s">
        <v>1207</v>
      </c>
      <c r="C577" s="135" t="s">
        <v>1808</v>
      </c>
      <c r="D577" s="136">
        <f t="shared" ref="D577" si="225">+D578+D579+D580+D581</f>
        <v>22607266</v>
      </c>
      <c r="E577" s="136">
        <f t="shared" ref="E577" si="226">+E578+E579+E580+E581</f>
        <v>22499753</v>
      </c>
      <c r="F577" s="136">
        <f t="shared" si="205"/>
        <v>107513</v>
      </c>
      <c r="G577" s="60"/>
      <c r="H577" s="236"/>
      <c r="I577" s="136">
        <v>14734991</v>
      </c>
      <c r="K577" s="94"/>
      <c r="M577" s="98"/>
    </row>
    <row r="578" spans="1:27" ht="18.75">
      <c r="A578" s="226"/>
      <c r="B578" s="99" t="s">
        <v>1209</v>
      </c>
      <c r="C578" s="100" t="s">
        <v>1809</v>
      </c>
      <c r="D578" s="97">
        <f>+ROUND('Alimentazione CE Costi'!E1183,2)</f>
        <v>21886352</v>
      </c>
      <c r="E578" s="97">
        <f>+ROUND('Alimentazione CE Costi'!H1183,2)</f>
        <v>21730839</v>
      </c>
      <c r="F578" s="97">
        <f t="shared" si="205"/>
        <v>155513</v>
      </c>
      <c r="G578" s="60"/>
      <c r="H578" s="236"/>
      <c r="I578" s="97">
        <v>14565531</v>
      </c>
      <c r="K578" s="94"/>
      <c r="M578" s="98"/>
    </row>
    <row r="579" spans="1:27" ht="25.5">
      <c r="A579" s="226"/>
      <c r="B579" s="99" t="s">
        <v>1211</v>
      </c>
      <c r="C579" s="100" t="s">
        <v>1810</v>
      </c>
      <c r="D579" s="97">
        <f>+ROUND('Alimentazione CE Costi'!E1185,2)</f>
        <v>365914</v>
      </c>
      <c r="E579" s="97">
        <f>+ROUND('Alimentazione CE Costi'!H1185,2)</f>
        <v>365914</v>
      </c>
      <c r="F579" s="97">
        <f t="shared" si="205"/>
        <v>0</v>
      </c>
      <c r="G579" s="60"/>
      <c r="H579" s="236"/>
      <c r="I579" s="97">
        <v>0</v>
      </c>
      <c r="K579" s="94"/>
      <c r="M579" s="98"/>
    </row>
    <row r="580" spans="1:27" ht="25.5">
      <c r="A580" s="226"/>
      <c r="B580" s="99" t="s">
        <v>1213</v>
      </c>
      <c r="C580" s="100" t="s">
        <v>1811</v>
      </c>
      <c r="D580" s="97">
        <f>+ROUND('Alimentazione CE Costi'!E1187,2)</f>
        <v>355000</v>
      </c>
      <c r="E580" s="97">
        <f>+ROUND('Alimentazione CE Costi'!H1187,2)</f>
        <v>403000</v>
      </c>
      <c r="F580" s="97">
        <f t="shared" si="205"/>
        <v>-48000</v>
      </c>
      <c r="G580" s="60"/>
      <c r="H580" s="236"/>
      <c r="I580" s="97">
        <v>169460</v>
      </c>
      <c r="K580" s="94"/>
      <c r="M580" s="98"/>
    </row>
    <row r="581" spans="1:27" ht="18.75">
      <c r="A581" s="226"/>
      <c r="B581" s="99" t="s">
        <v>1215</v>
      </c>
      <c r="C581" s="100" t="s">
        <v>1812</v>
      </c>
      <c r="D581" s="97">
        <f>+ROUND('Alimentazione CE Costi'!E1189,2)</f>
        <v>0</v>
      </c>
      <c r="E581" s="97">
        <f>+ROUND('Alimentazione CE Costi'!H1189,2)</f>
        <v>0</v>
      </c>
      <c r="F581" s="97">
        <f t="shared" si="205"/>
        <v>0</v>
      </c>
      <c r="G581" s="60"/>
      <c r="H581" s="236"/>
      <c r="I581" s="97">
        <v>0</v>
      </c>
      <c r="K581" s="94"/>
      <c r="M581" s="98"/>
    </row>
    <row r="582" spans="1:27" ht="18.75">
      <c r="A582" s="222"/>
      <c r="B582" s="134" t="s">
        <v>1216</v>
      </c>
      <c r="C582" s="135" t="s">
        <v>1813</v>
      </c>
      <c r="D582" s="136">
        <f t="shared" ref="D582" si="227">+D583+D584</f>
        <v>444000</v>
      </c>
      <c r="E582" s="136">
        <f t="shared" ref="E582" si="228">+E583+E584</f>
        <v>522000</v>
      </c>
      <c r="F582" s="136">
        <f t="shared" si="205"/>
        <v>-78000</v>
      </c>
      <c r="G582" s="60"/>
      <c r="H582" s="236"/>
      <c r="I582" s="136">
        <v>0</v>
      </c>
      <c r="K582" s="94"/>
      <c r="M582" s="98"/>
    </row>
    <row r="583" spans="1:27" ht="18.75">
      <c r="A583" s="222"/>
      <c r="B583" s="99" t="s">
        <v>1218</v>
      </c>
      <c r="C583" s="100" t="s">
        <v>1814</v>
      </c>
      <c r="D583" s="97">
        <f>+ROUND('Alimentazione CE Costi'!E1192,2)</f>
        <v>444000</v>
      </c>
      <c r="E583" s="97">
        <f>+ROUND('Alimentazione CE Costi'!H1192,2)</f>
        <v>522000</v>
      </c>
      <c r="F583" s="97">
        <f t="shared" si="205"/>
        <v>-78000</v>
      </c>
      <c r="G583" s="60"/>
      <c r="H583" s="236"/>
      <c r="I583" s="97">
        <v>0</v>
      </c>
      <c r="K583" s="94"/>
      <c r="M583" s="98"/>
    </row>
    <row r="584" spans="1:27" ht="18.75">
      <c r="A584" s="222"/>
      <c r="B584" s="99" t="s">
        <v>1220</v>
      </c>
      <c r="C584" s="100" t="s">
        <v>1815</v>
      </c>
      <c r="D584" s="97">
        <f>+ROUND('Alimentazione CE Costi'!E1194,2)</f>
        <v>0</v>
      </c>
      <c r="E584" s="97">
        <f>+ROUND('Alimentazione CE Costi'!H1194,2)</f>
        <v>0</v>
      </c>
      <c r="F584" s="97">
        <f t="shared" si="205"/>
        <v>0</v>
      </c>
      <c r="G584" s="60"/>
      <c r="H584" s="236"/>
      <c r="I584" s="97">
        <v>0</v>
      </c>
      <c r="K584" s="94"/>
      <c r="M584" s="98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</row>
    <row r="585" spans="1:27" ht="25.5">
      <c r="A585" s="224"/>
      <c r="B585" s="95" t="s">
        <v>1222</v>
      </c>
      <c r="C585" s="96" t="s">
        <v>1816</v>
      </c>
      <c r="D585" s="97">
        <f>+ROUND('Alimentazione CE Costi'!E1196,2)</f>
        <v>0</v>
      </c>
      <c r="E585" s="97">
        <f>+ROUND('Alimentazione CE Costi'!H1196,2)</f>
        <v>0</v>
      </c>
      <c r="F585" s="97">
        <f t="shared" si="205"/>
        <v>0</v>
      </c>
      <c r="G585" s="350"/>
      <c r="H585" s="236"/>
      <c r="I585" s="97">
        <v>0</v>
      </c>
      <c r="K585" s="94"/>
      <c r="M585" s="98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</row>
    <row r="586" spans="1:27" ht="18.75">
      <c r="A586" s="224"/>
      <c r="B586" s="137" t="s">
        <v>1817</v>
      </c>
      <c r="C586" s="138" t="s">
        <v>1818</v>
      </c>
      <c r="D586" s="139">
        <f t="shared" ref="D586" si="229">+D577+D582+D585</f>
        <v>23051266</v>
      </c>
      <c r="E586" s="139">
        <f t="shared" ref="E586" si="230">+E577+E582+E585</f>
        <v>23021753</v>
      </c>
      <c r="F586" s="139">
        <f t="shared" si="205"/>
        <v>29513</v>
      </c>
      <c r="G586" s="60"/>
      <c r="H586" s="236"/>
      <c r="I586" s="139">
        <v>14734991</v>
      </c>
      <c r="K586" s="94"/>
      <c r="M586" s="98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</row>
    <row r="587" spans="1:27" ht="19.5" thickBot="1">
      <c r="A587" s="232"/>
      <c r="B587" s="164" t="s">
        <v>1819</v>
      </c>
      <c r="C587" s="165" t="s">
        <v>1820</v>
      </c>
      <c r="D587" s="166">
        <f t="shared" ref="D587" si="231">+D575-D586</f>
        <v>0</v>
      </c>
      <c r="E587" s="166">
        <f t="shared" ref="E587" si="232">+E575-E586</f>
        <v>0</v>
      </c>
      <c r="F587" s="166">
        <f t="shared" si="205"/>
        <v>0</v>
      </c>
      <c r="G587" s="60"/>
      <c r="H587" s="236"/>
      <c r="I587" s="166">
        <v>-171352.50999999046</v>
      </c>
      <c r="K587" s="94"/>
      <c r="M587" s="98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</row>
    <row r="588" spans="1:27">
      <c r="A588" s="111"/>
      <c r="B588" s="116"/>
      <c r="C588" s="117"/>
      <c r="D588" s="117"/>
      <c r="E588" s="117"/>
      <c r="F588" s="111"/>
      <c r="G588" s="111"/>
      <c r="H588" s="111"/>
      <c r="I588" s="111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8"/>
    </row>
    <row r="589" spans="1:27">
      <c r="A589" s="111"/>
      <c r="B589" s="76" t="s">
        <v>1821</v>
      </c>
      <c r="C589" s="117"/>
      <c r="D589" s="117"/>
      <c r="E589" s="117"/>
      <c r="F589" s="111"/>
      <c r="G589" s="111"/>
      <c r="H589" s="111"/>
      <c r="I589" s="111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8"/>
    </row>
    <row r="590" spans="1:27" ht="15">
      <c r="A590" s="119"/>
      <c r="B590" s="46"/>
      <c r="C590" s="120"/>
      <c r="D590" s="120"/>
      <c r="E590" s="120"/>
      <c r="F590" s="112"/>
      <c r="G590" s="112"/>
      <c r="H590" s="112"/>
      <c r="I590" s="112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21"/>
    </row>
    <row r="591" spans="1:27">
      <c r="A591" s="119"/>
      <c r="B591" s="76"/>
      <c r="C591" s="76"/>
      <c r="D591" s="76"/>
      <c r="E591" s="76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22"/>
    </row>
    <row r="592" spans="1:27">
      <c r="A592" s="119"/>
      <c r="B592" s="123" t="s">
        <v>1822</v>
      </c>
      <c r="C592" s="124"/>
      <c r="D592" s="124"/>
      <c r="E592" s="124"/>
      <c r="F592" s="114"/>
      <c r="H592" s="114"/>
      <c r="I592" s="114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60"/>
    </row>
    <row r="593" spans="1:24">
      <c r="A593" s="111"/>
      <c r="B593" s="76"/>
      <c r="C593" s="76"/>
      <c r="D593" s="76"/>
      <c r="E593" s="76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22"/>
    </row>
    <row r="594" spans="1:24" ht="15">
      <c r="A594" s="111"/>
      <c r="B594" s="123" t="s">
        <v>1823</v>
      </c>
      <c r="C594" s="117"/>
      <c r="D594" s="117"/>
      <c r="E594" s="117"/>
      <c r="F594" s="111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52"/>
    </row>
    <row r="595" spans="1:24">
      <c r="A595" s="111"/>
      <c r="B595" s="76"/>
      <c r="C595" s="76"/>
      <c r="D595" s="76"/>
      <c r="E595" s="76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22"/>
    </row>
    <row r="596" spans="1:24">
      <c r="A596" s="111"/>
      <c r="B596" s="76"/>
      <c r="C596" s="76"/>
      <c r="D596" s="76"/>
      <c r="E596" s="76"/>
      <c r="F596" s="113"/>
      <c r="G596" s="113"/>
      <c r="H596" s="113"/>
      <c r="I596" s="113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22"/>
    </row>
    <row r="597" spans="1:24" ht="15">
      <c r="A597" s="111"/>
      <c r="B597" s="76"/>
      <c r="C597" s="76"/>
      <c r="D597" s="76"/>
      <c r="E597" s="76"/>
      <c r="F597" s="113"/>
      <c r="G597" s="113"/>
      <c r="H597" s="113"/>
      <c r="I597" s="113"/>
      <c r="O597" s="127"/>
      <c r="P597" s="127"/>
      <c r="Q597" s="127"/>
      <c r="R597" s="127"/>
      <c r="S597" s="127"/>
      <c r="U597" s="122"/>
    </row>
    <row r="598" spans="1:24" ht="15">
      <c r="A598" s="125"/>
      <c r="B598" s="46"/>
      <c r="C598" s="124"/>
      <c r="D598" s="124"/>
      <c r="E598" s="124"/>
      <c r="F598" s="114"/>
      <c r="H598" s="114"/>
      <c r="I598" s="114"/>
      <c r="O598" s="127"/>
      <c r="P598" s="127"/>
      <c r="Q598" s="127"/>
      <c r="R598" s="127"/>
      <c r="S598" s="127"/>
      <c r="U598" s="52"/>
    </row>
    <row r="599" spans="1:24" ht="15">
      <c r="A599" s="125"/>
      <c r="B599" s="76"/>
      <c r="C599" s="76"/>
      <c r="D599" s="76"/>
      <c r="E599" s="76"/>
      <c r="F599" s="113"/>
      <c r="G599" s="113"/>
      <c r="H599" s="113"/>
      <c r="I599" s="113"/>
      <c r="O599" s="127"/>
      <c r="P599" s="127"/>
      <c r="Q599" s="127"/>
      <c r="R599" s="127"/>
      <c r="S599" s="127"/>
      <c r="U599" s="122"/>
    </row>
    <row r="600" spans="1:24" ht="15">
      <c r="A600" s="125"/>
      <c r="C600" s="126"/>
      <c r="D600" s="126"/>
      <c r="E600" s="126"/>
      <c r="F600" s="115"/>
      <c r="G600" s="114"/>
      <c r="H600" s="114"/>
      <c r="I600" s="114"/>
      <c r="O600" s="127"/>
      <c r="P600" s="127"/>
      <c r="Q600" s="127"/>
      <c r="R600" s="127"/>
      <c r="S600" s="127"/>
      <c r="V600" s="48"/>
    </row>
    <row r="601" spans="1:24" ht="15">
      <c r="O601" s="127"/>
      <c r="P601" s="127"/>
      <c r="Q601" s="127"/>
      <c r="R601" s="127"/>
      <c r="S601" s="127"/>
    </row>
    <row r="602" spans="1:24" ht="15">
      <c r="T602" s="127"/>
      <c r="U602" s="127"/>
      <c r="V602" s="127"/>
      <c r="W602" s="127"/>
      <c r="X602" s="127"/>
    </row>
    <row r="603" spans="1:24" ht="15">
      <c r="T603" s="127"/>
      <c r="U603" s="127"/>
      <c r="V603" s="127"/>
      <c r="W603" s="127"/>
      <c r="X603" s="127"/>
    </row>
    <row r="604" spans="1:24" ht="15">
      <c r="T604" s="127"/>
      <c r="U604" s="127"/>
      <c r="V604" s="127"/>
      <c r="W604" s="127"/>
      <c r="X604" s="127"/>
    </row>
    <row r="605" spans="1:24" ht="15">
      <c r="T605" s="127"/>
      <c r="U605" s="127"/>
      <c r="V605" s="127"/>
      <c r="W605" s="127"/>
      <c r="X605" s="127"/>
    </row>
    <row r="606" spans="1:24" ht="15">
      <c r="T606" s="127"/>
      <c r="U606" s="127"/>
      <c r="V606" s="127"/>
      <c r="W606" s="127"/>
      <c r="X606" s="127"/>
    </row>
    <row r="607" spans="1:24" ht="15">
      <c r="T607" s="127"/>
      <c r="U607" s="127"/>
      <c r="V607" s="127"/>
      <c r="W607" s="127"/>
      <c r="X607" s="127"/>
    </row>
    <row r="608" spans="1:24" ht="15">
      <c r="T608" s="127"/>
      <c r="U608" s="127"/>
      <c r="V608" s="127"/>
      <c r="W608" s="127"/>
      <c r="X608" s="127"/>
    </row>
    <row r="609" spans="20:24" ht="15">
      <c r="T609" s="127"/>
      <c r="U609" s="127"/>
      <c r="V609" s="127"/>
      <c r="W609" s="127"/>
      <c r="X609" s="127"/>
    </row>
    <row r="610" spans="20:24" ht="15">
      <c r="T610" s="127"/>
      <c r="U610" s="127"/>
      <c r="V610" s="127"/>
      <c r="W610" s="127"/>
      <c r="X610" s="127"/>
    </row>
    <row r="611" spans="20:24" ht="15">
      <c r="T611" s="127"/>
      <c r="U611" s="127"/>
      <c r="V611" s="127"/>
      <c r="W611" s="127"/>
      <c r="X611" s="127"/>
    </row>
    <row r="612" spans="20:24" ht="15">
      <c r="T612" s="127"/>
      <c r="U612" s="127"/>
      <c r="V612" s="127"/>
      <c r="W612" s="127"/>
      <c r="X612" s="127"/>
    </row>
    <row r="613" spans="20:24" ht="15">
      <c r="T613" s="127"/>
      <c r="U613" s="127"/>
      <c r="V613" s="127"/>
      <c r="W613" s="127"/>
      <c r="X613" s="127"/>
    </row>
    <row r="614" spans="20:24" ht="15">
      <c r="T614" s="127"/>
      <c r="U614" s="127"/>
      <c r="V614" s="127"/>
      <c r="W614" s="127"/>
      <c r="X614" s="127"/>
    </row>
    <row r="615" spans="20:24" ht="15">
      <c r="T615" s="127"/>
      <c r="U615" s="127"/>
      <c r="V615" s="127"/>
      <c r="W615" s="127"/>
      <c r="X615" s="127"/>
    </row>
    <row r="616" spans="20:24" ht="15">
      <c r="T616" s="127"/>
      <c r="U616" s="127"/>
      <c r="V616" s="127"/>
      <c r="W616" s="127"/>
      <c r="X616" s="127"/>
    </row>
    <row r="617" spans="20:24" ht="15">
      <c r="T617" s="127"/>
      <c r="U617" s="127"/>
      <c r="V617" s="127"/>
      <c r="W617" s="127"/>
      <c r="X617" s="127"/>
    </row>
    <row r="618" spans="20:24" ht="15">
      <c r="T618" s="127"/>
      <c r="U618" s="127"/>
      <c r="V618" s="127"/>
      <c r="W618" s="127"/>
      <c r="X618" s="127"/>
    </row>
    <row r="619" spans="20:24" ht="15">
      <c r="T619" s="127"/>
      <c r="U619" s="127"/>
      <c r="V619" s="127"/>
      <c r="W619" s="127"/>
      <c r="X619" s="127"/>
    </row>
    <row r="620" spans="20:24" ht="15">
      <c r="T620" s="127"/>
      <c r="U620" s="127"/>
      <c r="V620" s="127"/>
      <c r="W620" s="127"/>
      <c r="X620" s="127"/>
    </row>
    <row r="621" spans="20:24" ht="15">
      <c r="T621" s="127"/>
      <c r="U621" s="127"/>
      <c r="V621" s="127"/>
      <c r="W621" s="127"/>
      <c r="X621" s="127"/>
    </row>
    <row r="622" spans="20:24" ht="15">
      <c r="T622" s="127"/>
      <c r="U622" s="127"/>
      <c r="V622" s="127"/>
      <c r="W622" s="127"/>
      <c r="X622" s="127"/>
    </row>
    <row r="623" spans="20:24" ht="15">
      <c r="T623" s="127"/>
      <c r="U623" s="127"/>
      <c r="V623" s="127"/>
      <c r="W623" s="127"/>
      <c r="X623" s="127"/>
    </row>
    <row r="624" spans="20:24" ht="15">
      <c r="T624" s="127"/>
      <c r="U624" s="127"/>
      <c r="V624" s="127"/>
      <c r="W624" s="127"/>
      <c r="X624" s="127"/>
    </row>
    <row r="625" spans="20:24" ht="15">
      <c r="T625" s="127"/>
      <c r="U625" s="127"/>
      <c r="V625" s="127"/>
      <c r="W625" s="127"/>
      <c r="X625" s="127"/>
    </row>
    <row r="626" spans="20:24" ht="15">
      <c r="T626" s="127"/>
      <c r="U626" s="127"/>
      <c r="V626" s="127"/>
      <c r="W626" s="127"/>
      <c r="X626" s="127"/>
    </row>
    <row r="627" spans="20:24" ht="15">
      <c r="T627" s="127"/>
      <c r="U627" s="127"/>
      <c r="V627" s="127"/>
      <c r="W627" s="127"/>
      <c r="X627" s="127"/>
    </row>
    <row r="628" spans="20:24" ht="15">
      <c r="T628" s="127"/>
      <c r="U628" s="127"/>
      <c r="V628" s="127"/>
      <c r="W628" s="127"/>
      <c r="X628" s="127"/>
    </row>
    <row r="629" spans="20:24" ht="15">
      <c r="T629" s="127"/>
      <c r="U629" s="127"/>
      <c r="V629" s="127"/>
      <c r="W629" s="127"/>
      <c r="X629" s="127"/>
    </row>
    <row r="630" spans="20:24" ht="15">
      <c r="T630" s="127"/>
      <c r="U630" s="127"/>
      <c r="V630" s="127"/>
      <c r="W630" s="127"/>
      <c r="X630" s="127"/>
    </row>
    <row r="631" spans="20:24" ht="15">
      <c r="T631" s="127"/>
      <c r="U631" s="127"/>
      <c r="V631" s="127"/>
      <c r="W631" s="127"/>
      <c r="X631" s="127"/>
    </row>
    <row r="632" spans="20:24" ht="15">
      <c r="T632" s="127"/>
      <c r="U632" s="127"/>
      <c r="V632" s="127"/>
      <c r="W632" s="127"/>
      <c r="X632" s="127"/>
    </row>
    <row r="633" spans="20:24" ht="15">
      <c r="T633" s="127"/>
      <c r="U633" s="127"/>
      <c r="V633" s="127"/>
      <c r="W633" s="127"/>
      <c r="X633" s="127"/>
    </row>
    <row r="634" spans="20:24" ht="15">
      <c r="T634" s="127"/>
      <c r="U634" s="127"/>
      <c r="V634" s="127"/>
      <c r="W634" s="127"/>
      <c r="X634" s="127"/>
    </row>
    <row r="635" spans="20:24" ht="15">
      <c r="T635" s="127"/>
      <c r="U635" s="127"/>
      <c r="V635" s="127"/>
      <c r="W635" s="127"/>
      <c r="X635" s="127"/>
    </row>
    <row r="636" spans="20:24" ht="15">
      <c r="T636" s="127"/>
      <c r="U636" s="127"/>
      <c r="V636" s="127"/>
      <c r="W636" s="127"/>
      <c r="X636" s="127"/>
    </row>
    <row r="637" spans="20:24" ht="15">
      <c r="T637" s="127"/>
      <c r="U637" s="127"/>
      <c r="V637" s="127"/>
      <c r="W637" s="127"/>
      <c r="X637" s="127"/>
    </row>
    <row r="638" spans="20:24" ht="15">
      <c r="T638" s="127"/>
      <c r="U638" s="127"/>
      <c r="V638" s="127"/>
      <c r="W638" s="127"/>
      <c r="X638" s="127"/>
    </row>
    <row r="639" spans="20:24" ht="15">
      <c r="T639" s="127"/>
      <c r="U639" s="127"/>
      <c r="V639" s="127"/>
      <c r="W639" s="127"/>
      <c r="X639" s="127"/>
    </row>
    <row r="640" spans="20:24" ht="15">
      <c r="T640" s="127"/>
      <c r="U640" s="127"/>
      <c r="V640" s="127"/>
      <c r="W640" s="127"/>
      <c r="X640" s="127"/>
    </row>
    <row r="641" spans="20:24" ht="15">
      <c r="T641" s="127"/>
      <c r="U641" s="127"/>
      <c r="V641" s="127"/>
      <c r="W641" s="127"/>
      <c r="X641" s="127"/>
    </row>
    <row r="642" spans="20:24" ht="15">
      <c r="T642" s="127"/>
      <c r="U642" s="127"/>
      <c r="V642" s="127"/>
      <c r="W642" s="127"/>
      <c r="X642" s="127"/>
    </row>
    <row r="643" spans="20:24" ht="15">
      <c r="T643" s="127"/>
      <c r="U643" s="127"/>
      <c r="V643" s="127"/>
      <c r="W643" s="127"/>
      <c r="X643" s="127"/>
    </row>
    <row r="644" spans="20:24" ht="15">
      <c r="T644" s="127"/>
      <c r="U644" s="127"/>
      <c r="V644" s="127"/>
      <c r="W644" s="127"/>
      <c r="X644" s="127"/>
    </row>
    <row r="645" spans="20:24" ht="15">
      <c r="T645" s="127"/>
      <c r="U645" s="127"/>
      <c r="V645" s="127"/>
      <c r="W645" s="127"/>
      <c r="X645" s="127"/>
    </row>
    <row r="646" spans="20:24" ht="15">
      <c r="T646" s="127"/>
      <c r="U646" s="127"/>
      <c r="V646" s="127"/>
      <c r="W646" s="127"/>
      <c r="X646" s="127"/>
    </row>
    <row r="647" spans="20:24" ht="15">
      <c r="T647" s="127"/>
      <c r="U647" s="127"/>
      <c r="V647" s="127"/>
      <c r="W647" s="127"/>
      <c r="X647" s="127"/>
    </row>
    <row r="648" spans="20:24" ht="15">
      <c r="T648" s="127"/>
      <c r="U648" s="127"/>
      <c r="V648" s="127"/>
      <c r="W648" s="127"/>
      <c r="X648" s="127"/>
    </row>
    <row r="649" spans="20:24" ht="15">
      <c r="T649" s="127"/>
      <c r="U649" s="127"/>
      <c r="V649" s="127"/>
      <c r="W649" s="127"/>
      <c r="X649" s="127"/>
    </row>
    <row r="650" spans="20:24" ht="15">
      <c r="T650" s="127"/>
      <c r="U650" s="127"/>
      <c r="V650" s="127"/>
      <c r="W650" s="127"/>
      <c r="X650" s="127"/>
    </row>
  </sheetData>
  <mergeCells count="1">
    <mergeCell ref="A18:AB18"/>
  </mergeCells>
  <printOptions horizontalCentered="1"/>
  <pageMargins left="0" right="0" top="0.19685039370078741" bottom="0.19685039370078741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/>
  <cols>
    <col min="1" max="1" width="5.5703125" style="256" customWidth="1"/>
    <col min="2" max="2" width="30.42578125" style="256" customWidth="1"/>
    <col min="3" max="3" width="52.28515625" style="331" customWidth="1"/>
    <col min="4" max="4" width="9.5703125" customWidth="1"/>
    <col min="5" max="8" width="16" style="250" customWidth="1"/>
    <col min="9" max="9" width="9.140625" style="250"/>
  </cols>
  <sheetData>
    <row r="1" spans="1:9" s="332" customFormat="1" ht="51.75" thickBot="1">
      <c r="A1" s="249" t="s">
        <v>120</v>
      </c>
      <c r="B1" s="354" t="s">
        <v>2236</v>
      </c>
      <c r="C1" s="354" t="s">
        <v>121</v>
      </c>
      <c r="D1" s="354" t="s">
        <v>1939</v>
      </c>
      <c r="E1" s="391" t="s">
        <v>3635</v>
      </c>
      <c r="F1" s="355" t="s">
        <v>3636</v>
      </c>
      <c r="G1" s="355" t="s">
        <v>3637</v>
      </c>
      <c r="H1" s="391" t="s">
        <v>3641</v>
      </c>
      <c r="I1" s="379"/>
    </row>
    <row r="2" spans="1:9">
      <c r="A2" s="410" t="s">
        <v>1966</v>
      </c>
      <c r="B2" s="384" t="s">
        <v>2237</v>
      </c>
      <c r="C2" s="384" t="s">
        <v>2238</v>
      </c>
      <c r="D2" s="385"/>
      <c r="E2" s="386"/>
      <c r="F2" s="386"/>
      <c r="G2" s="386"/>
      <c r="H2" s="411"/>
    </row>
    <row r="3" spans="1:9">
      <c r="A3" s="412" t="s">
        <v>1969</v>
      </c>
      <c r="B3" s="357" t="s">
        <v>463</v>
      </c>
      <c r="C3" s="357" t="s">
        <v>2239</v>
      </c>
      <c r="D3" s="367"/>
      <c r="E3" s="377"/>
      <c r="F3" s="377"/>
      <c r="G3" s="377"/>
      <c r="H3" s="413"/>
    </row>
    <row r="4" spans="1:9">
      <c r="A4" s="412" t="s">
        <v>1971</v>
      </c>
      <c r="B4" s="357" t="s">
        <v>464</v>
      </c>
      <c r="C4" s="357" t="s">
        <v>2240</v>
      </c>
      <c r="D4" s="367"/>
      <c r="E4" s="377"/>
      <c r="F4" s="377"/>
      <c r="G4" s="377"/>
      <c r="H4" s="413"/>
    </row>
    <row r="5" spans="1:9">
      <c r="A5" s="412" t="s">
        <v>1973</v>
      </c>
      <c r="B5" s="357" t="s">
        <v>465</v>
      </c>
      <c r="C5" s="357" t="s">
        <v>2241</v>
      </c>
      <c r="D5" s="367"/>
      <c r="E5" s="377"/>
      <c r="F5" s="377"/>
      <c r="G5" s="377"/>
      <c r="H5" s="413"/>
    </row>
    <row r="6" spans="1:9" ht="25.5">
      <c r="A6" s="412" t="s">
        <v>1975</v>
      </c>
      <c r="B6" s="357" t="s">
        <v>466</v>
      </c>
      <c r="C6" s="357" t="s">
        <v>2242</v>
      </c>
      <c r="D6" s="367"/>
      <c r="E6" s="377"/>
      <c r="F6" s="377"/>
      <c r="G6" s="377"/>
      <c r="H6" s="413"/>
    </row>
    <row r="7" spans="1:9" ht="24">
      <c r="A7" s="414">
        <v>7</v>
      </c>
      <c r="B7" s="359" t="s">
        <v>2243</v>
      </c>
      <c r="C7" s="360" t="s">
        <v>467</v>
      </c>
      <c r="D7" s="368"/>
      <c r="E7" s="407">
        <f>F7+G7</f>
        <v>4911277</v>
      </c>
      <c r="F7" s="399">
        <f>(89480117-1360000-990000)-F55-9811000</f>
        <v>4911277</v>
      </c>
      <c r="G7" s="485"/>
      <c r="H7" s="415">
        <f>(76310000+18020000)-H55</f>
        <v>11248985</v>
      </c>
    </row>
    <row r="8" spans="1:9">
      <c r="A8" s="414">
        <v>7</v>
      </c>
      <c r="B8" s="359" t="s">
        <v>2244</v>
      </c>
      <c r="C8" s="360" t="s">
        <v>1940</v>
      </c>
      <c r="D8" s="368"/>
      <c r="E8" s="407">
        <f t="shared" ref="E8:E71" si="0">F8+G8</f>
        <v>0</v>
      </c>
      <c r="F8" s="399"/>
      <c r="G8" s="485"/>
      <c r="H8" s="416"/>
    </row>
    <row r="9" spans="1:9">
      <c r="A9" s="412" t="s">
        <v>1975</v>
      </c>
      <c r="B9" s="357" t="s">
        <v>469</v>
      </c>
      <c r="C9" s="357" t="s">
        <v>1383</v>
      </c>
      <c r="D9" s="367"/>
      <c r="E9" s="408"/>
      <c r="F9" s="377"/>
      <c r="G9" s="377"/>
      <c r="H9" s="413"/>
    </row>
    <row r="10" spans="1:9">
      <c r="A10" s="414" t="s">
        <v>1978</v>
      </c>
      <c r="B10" s="359" t="s">
        <v>2245</v>
      </c>
      <c r="C10" s="360" t="s">
        <v>468</v>
      </c>
      <c r="D10" s="368"/>
      <c r="E10" s="407">
        <f t="shared" si="0"/>
        <v>561258</v>
      </c>
      <c r="F10" s="399">
        <f>1360000-F56-153000</f>
        <v>561258</v>
      </c>
      <c r="G10" s="485"/>
      <c r="H10" s="415">
        <f>1359000-H56</f>
        <v>607913</v>
      </c>
    </row>
    <row r="11" spans="1:9" ht="24">
      <c r="A11" s="414">
        <v>7</v>
      </c>
      <c r="B11" s="359" t="s">
        <v>2246</v>
      </c>
      <c r="C11" s="360" t="s">
        <v>1941</v>
      </c>
      <c r="D11" s="368"/>
      <c r="E11" s="407">
        <f t="shared" si="0"/>
        <v>0</v>
      </c>
      <c r="F11" s="399"/>
      <c r="G11" s="485"/>
      <c r="H11" s="416"/>
    </row>
    <row r="12" spans="1:9">
      <c r="A12" s="412" t="s">
        <v>1975</v>
      </c>
      <c r="B12" s="357" t="s">
        <v>471</v>
      </c>
      <c r="C12" s="357" t="s">
        <v>1384</v>
      </c>
      <c r="D12" s="367"/>
      <c r="E12" s="408"/>
      <c r="F12" s="377"/>
      <c r="G12" s="377"/>
      <c r="H12" s="413"/>
    </row>
    <row r="13" spans="1:9">
      <c r="A13" s="414" t="s">
        <v>1978</v>
      </c>
      <c r="B13" s="359" t="s">
        <v>2247</v>
      </c>
      <c r="C13" s="360" t="s">
        <v>470</v>
      </c>
      <c r="D13" s="368"/>
      <c r="E13" s="407">
        <f t="shared" si="0"/>
        <v>879000</v>
      </c>
      <c r="F13" s="399">
        <f>990000-111000</f>
        <v>879000</v>
      </c>
      <c r="G13" s="485"/>
      <c r="H13" s="415">
        <v>990000</v>
      </c>
    </row>
    <row r="14" spans="1:9">
      <c r="A14" s="412" t="s">
        <v>1975</v>
      </c>
      <c r="B14" s="357" t="s">
        <v>472</v>
      </c>
      <c r="C14" s="357" t="s">
        <v>1385</v>
      </c>
      <c r="D14" s="367"/>
      <c r="E14" s="408"/>
      <c r="F14" s="377"/>
      <c r="G14" s="377"/>
      <c r="H14" s="413"/>
    </row>
    <row r="15" spans="1:9" ht="38.25">
      <c r="A15" s="412" t="s">
        <v>1978</v>
      </c>
      <c r="B15" s="357" t="s">
        <v>474</v>
      </c>
      <c r="C15" s="357" t="s">
        <v>1386</v>
      </c>
      <c r="D15" s="367" t="s">
        <v>1253</v>
      </c>
      <c r="E15" s="408"/>
      <c r="F15" s="377"/>
      <c r="G15" s="377"/>
      <c r="H15" s="413"/>
    </row>
    <row r="16" spans="1:9" ht="24">
      <c r="A16" s="414" t="s">
        <v>2094</v>
      </c>
      <c r="B16" s="359" t="s">
        <v>2248</v>
      </c>
      <c r="C16" s="360" t="s">
        <v>473</v>
      </c>
      <c r="D16" s="368" t="s">
        <v>1253</v>
      </c>
      <c r="E16" s="407">
        <f t="shared" si="0"/>
        <v>0</v>
      </c>
      <c r="F16" s="399"/>
      <c r="G16" s="485"/>
      <c r="H16" s="416"/>
    </row>
    <row r="17" spans="1:8" ht="38.25">
      <c r="A17" s="412" t="s">
        <v>1978</v>
      </c>
      <c r="B17" s="357" t="s">
        <v>476</v>
      </c>
      <c r="C17" s="357" t="s">
        <v>2249</v>
      </c>
      <c r="D17" s="367"/>
      <c r="E17" s="408"/>
      <c r="F17" s="377"/>
      <c r="G17" s="377"/>
      <c r="H17" s="413"/>
    </row>
    <row r="18" spans="1:8" ht="24">
      <c r="A18" s="414" t="s">
        <v>2094</v>
      </c>
      <c r="B18" s="359" t="s">
        <v>2250</v>
      </c>
      <c r="C18" s="360" t="s">
        <v>475</v>
      </c>
      <c r="D18" s="368"/>
      <c r="E18" s="407">
        <f t="shared" si="0"/>
        <v>0</v>
      </c>
      <c r="F18" s="399"/>
      <c r="G18" s="485"/>
      <c r="H18" s="416"/>
    </row>
    <row r="19" spans="1:8" ht="25.5">
      <c r="A19" s="412" t="s">
        <v>1978</v>
      </c>
      <c r="B19" s="357" t="s">
        <v>478</v>
      </c>
      <c r="C19" s="357" t="s">
        <v>1388</v>
      </c>
      <c r="D19" s="367"/>
      <c r="E19" s="408"/>
      <c r="F19" s="377"/>
      <c r="G19" s="377"/>
      <c r="H19" s="413"/>
    </row>
    <row r="20" spans="1:8">
      <c r="A20" s="414" t="s">
        <v>2094</v>
      </c>
      <c r="B20" s="359" t="s">
        <v>2251</v>
      </c>
      <c r="C20" s="360" t="s">
        <v>477</v>
      </c>
      <c r="D20" s="368"/>
      <c r="E20" s="407">
        <f t="shared" si="0"/>
        <v>0</v>
      </c>
      <c r="F20" s="399"/>
      <c r="G20" s="485"/>
      <c r="H20" s="416"/>
    </row>
    <row r="21" spans="1:8">
      <c r="A21" s="412" t="s">
        <v>1973</v>
      </c>
      <c r="B21" s="357" t="s">
        <v>479</v>
      </c>
      <c r="C21" s="357" t="s">
        <v>2252</v>
      </c>
      <c r="D21" s="367"/>
      <c r="E21" s="408"/>
      <c r="F21" s="377"/>
      <c r="G21" s="377"/>
      <c r="H21" s="413"/>
    </row>
    <row r="22" spans="1:8" ht="25.5">
      <c r="A22" s="412" t="s">
        <v>1975</v>
      </c>
      <c r="B22" s="357" t="s">
        <v>480</v>
      </c>
      <c r="C22" s="357" t="s">
        <v>1390</v>
      </c>
      <c r="D22" s="367" t="s">
        <v>1253</v>
      </c>
      <c r="E22" s="408"/>
      <c r="F22" s="377"/>
      <c r="G22" s="377"/>
      <c r="H22" s="413"/>
    </row>
    <row r="23" spans="1:8" ht="24">
      <c r="A23" s="414" t="s">
        <v>1978</v>
      </c>
      <c r="B23" s="359" t="s">
        <v>2253</v>
      </c>
      <c r="C23" s="360" t="s">
        <v>2254</v>
      </c>
      <c r="D23" s="368" t="s">
        <v>1253</v>
      </c>
      <c r="E23" s="407">
        <f t="shared" si="0"/>
        <v>0</v>
      </c>
      <c r="F23" s="399"/>
      <c r="G23" s="485"/>
      <c r="H23" s="416"/>
    </row>
    <row r="24" spans="1:8" ht="25.5">
      <c r="A24" s="412" t="s">
        <v>1975</v>
      </c>
      <c r="B24" s="357" t="s">
        <v>481</v>
      </c>
      <c r="C24" s="357" t="s">
        <v>1391</v>
      </c>
      <c r="D24" s="367"/>
      <c r="E24" s="408"/>
      <c r="F24" s="377"/>
      <c r="G24" s="377"/>
      <c r="H24" s="413"/>
    </row>
    <row r="25" spans="1:8" ht="24">
      <c r="A25" s="414" t="s">
        <v>1978</v>
      </c>
      <c r="B25" s="359" t="s">
        <v>2255</v>
      </c>
      <c r="C25" s="360" t="s">
        <v>2256</v>
      </c>
      <c r="D25" s="368"/>
      <c r="E25" s="407">
        <f t="shared" si="0"/>
        <v>0</v>
      </c>
      <c r="F25" s="399"/>
      <c r="G25" s="485"/>
      <c r="H25" s="415"/>
    </row>
    <row r="26" spans="1:8">
      <c r="A26" s="412" t="s">
        <v>1975</v>
      </c>
      <c r="B26" s="357" t="s">
        <v>483</v>
      </c>
      <c r="C26" s="357" t="s">
        <v>1392</v>
      </c>
      <c r="D26" s="367"/>
      <c r="E26" s="408"/>
      <c r="F26" s="377"/>
      <c r="G26" s="377"/>
      <c r="H26" s="413"/>
    </row>
    <row r="27" spans="1:8">
      <c r="A27" s="414" t="s">
        <v>1978</v>
      </c>
      <c r="B27" s="359" t="s">
        <v>2257</v>
      </c>
      <c r="C27" s="360" t="s">
        <v>482</v>
      </c>
      <c r="D27" s="368"/>
      <c r="E27" s="407">
        <f t="shared" si="0"/>
        <v>0</v>
      </c>
      <c r="F27" s="399"/>
      <c r="G27" s="485"/>
      <c r="H27" s="416"/>
    </row>
    <row r="28" spans="1:8">
      <c r="A28" s="412" t="s">
        <v>1973</v>
      </c>
      <c r="B28" s="357" t="s">
        <v>485</v>
      </c>
      <c r="C28" s="357" t="s">
        <v>1393</v>
      </c>
      <c r="D28" s="367"/>
      <c r="E28" s="408"/>
      <c r="F28" s="377"/>
      <c r="G28" s="377"/>
      <c r="H28" s="413"/>
    </row>
    <row r="29" spans="1:8">
      <c r="A29" s="412" t="s">
        <v>1975</v>
      </c>
      <c r="B29" s="357" t="s">
        <v>486</v>
      </c>
      <c r="C29" s="357" t="s">
        <v>2258</v>
      </c>
      <c r="D29" s="367"/>
      <c r="E29" s="408"/>
      <c r="F29" s="377"/>
      <c r="G29" s="377"/>
      <c r="H29" s="413"/>
    </row>
    <row r="30" spans="1:8">
      <c r="A30" s="414" t="s">
        <v>1978</v>
      </c>
      <c r="B30" s="359" t="s">
        <v>2259</v>
      </c>
      <c r="C30" s="360" t="s">
        <v>484</v>
      </c>
      <c r="D30" s="368"/>
      <c r="E30" s="407">
        <f t="shared" si="0"/>
        <v>20450000</v>
      </c>
      <c r="F30" s="399">
        <f>(47175000+2700000)-F61-5925000</f>
        <v>20450000</v>
      </c>
      <c r="G30" s="485"/>
      <c r="H30" s="415">
        <f>47174000-H61</f>
        <v>22181405</v>
      </c>
    </row>
    <row r="31" spans="1:8">
      <c r="A31" s="414">
        <v>7</v>
      </c>
      <c r="B31" s="359" t="s">
        <v>2260</v>
      </c>
      <c r="C31" s="360" t="s">
        <v>1942</v>
      </c>
      <c r="D31" s="368"/>
      <c r="E31" s="407">
        <f t="shared" si="0"/>
        <v>0</v>
      </c>
      <c r="F31" s="399"/>
      <c r="G31" s="485"/>
      <c r="H31" s="416"/>
    </row>
    <row r="32" spans="1:8">
      <c r="A32" s="412" t="s">
        <v>1975</v>
      </c>
      <c r="B32" s="357" t="s">
        <v>488</v>
      </c>
      <c r="C32" s="357" t="s">
        <v>2261</v>
      </c>
      <c r="D32" s="367"/>
      <c r="E32" s="408"/>
      <c r="F32" s="377"/>
      <c r="G32" s="377"/>
      <c r="H32" s="413"/>
    </row>
    <row r="33" spans="1:8">
      <c r="A33" s="414" t="s">
        <v>1978</v>
      </c>
      <c r="B33" s="359" t="s">
        <v>2262</v>
      </c>
      <c r="C33" s="360" t="s">
        <v>487</v>
      </c>
      <c r="D33" s="368"/>
      <c r="E33" s="407">
        <f t="shared" si="0"/>
        <v>3051000</v>
      </c>
      <c r="F33" s="399">
        <f>6030000-F62-679000</f>
        <v>3051000</v>
      </c>
      <c r="G33" s="485"/>
      <c r="H33" s="415">
        <f>6033000-H62</f>
        <v>5380387</v>
      </c>
    </row>
    <row r="34" spans="1:8" ht="24">
      <c r="A34" s="414">
        <v>7</v>
      </c>
      <c r="B34" s="359" t="s">
        <v>2263</v>
      </c>
      <c r="C34" s="360" t="s">
        <v>1943</v>
      </c>
      <c r="D34" s="368"/>
      <c r="E34" s="407">
        <f t="shared" si="0"/>
        <v>0</v>
      </c>
      <c r="F34" s="399"/>
      <c r="G34" s="485"/>
      <c r="H34" s="416"/>
    </row>
    <row r="35" spans="1:8">
      <c r="A35" s="412" t="s">
        <v>1975</v>
      </c>
      <c r="B35" s="357" t="s">
        <v>490</v>
      </c>
      <c r="C35" s="357" t="s">
        <v>2264</v>
      </c>
      <c r="D35" s="367"/>
      <c r="E35" s="408"/>
      <c r="F35" s="377"/>
      <c r="G35" s="377"/>
      <c r="H35" s="413"/>
    </row>
    <row r="36" spans="1:8">
      <c r="A36" s="414" t="s">
        <v>1978</v>
      </c>
      <c r="B36" s="359" t="s">
        <v>2265</v>
      </c>
      <c r="C36" s="360" t="s">
        <v>489</v>
      </c>
      <c r="D36" s="368"/>
      <c r="E36" s="407">
        <f t="shared" si="0"/>
        <v>6746000</v>
      </c>
      <c r="F36" s="399">
        <f>8380000-F63-944000</f>
        <v>6746000</v>
      </c>
      <c r="G36" s="485"/>
      <c r="H36" s="415">
        <f>8382000-H63</f>
        <v>7764242</v>
      </c>
    </row>
    <row r="37" spans="1:8" ht="24">
      <c r="A37" s="414">
        <v>7</v>
      </c>
      <c r="B37" s="359" t="s">
        <v>2266</v>
      </c>
      <c r="C37" s="360" t="s">
        <v>1944</v>
      </c>
      <c r="D37" s="368"/>
      <c r="E37" s="407">
        <f t="shared" si="0"/>
        <v>0</v>
      </c>
      <c r="F37" s="399"/>
      <c r="G37" s="485"/>
      <c r="H37" s="416"/>
    </row>
    <row r="38" spans="1:8">
      <c r="A38" s="412" t="s">
        <v>1973</v>
      </c>
      <c r="B38" s="357" t="s">
        <v>492</v>
      </c>
      <c r="C38" s="357" t="s">
        <v>2267</v>
      </c>
      <c r="D38" s="367"/>
      <c r="E38" s="408"/>
      <c r="F38" s="377"/>
      <c r="G38" s="377"/>
      <c r="H38" s="413"/>
    </row>
    <row r="39" spans="1:8">
      <c r="A39" s="414" t="s">
        <v>1975</v>
      </c>
      <c r="B39" s="359" t="s">
        <v>2268</v>
      </c>
      <c r="C39" s="360" t="s">
        <v>491</v>
      </c>
      <c r="D39" s="368"/>
      <c r="E39" s="407">
        <f t="shared" si="0"/>
        <v>0</v>
      </c>
      <c r="F39" s="399">
        <f>1120000-F65-254000</f>
        <v>0</v>
      </c>
      <c r="G39" s="485"/>
      <c r="H39" s="415">
        <f>1118000-H65</f>
        <v>247226</v>
      </c>
    </row>
    <row r="40" spans="1:8">
      <c r="A40" s="414">
        <v>6</v>
      </c>
      <c r="B40" s="359" t="s">
        <v>2269</v>
      </c>
      <c r="C40" s="360" t="s">
        <v>1945</v>
      </c>
      <c r="D40" s="368"/>
      <c r="E40" s="407">
        <f t="shared" si="0"/>
        <v>0</v>
      </c>
      <c r="F40" s="399"/>
      <c r="G40" s="485"/>
      <c r="H40" s="416"/>
    </row>
    <row r="41" spans="1:8">
      <c r="A41" s="412" t="s">
        <v>1973</v>
      </c>
      <c r="B41" s="357" t="s">
        <v>494</v>
      </c>
      <c r="C41" s="357" t="s">
        <v>2270</v>
      </c>
      <c r="D41" s="367"/>
      <c r="E41" s="408"/>
      <c r="F41" s="377"/>
      <c r="G41" s="377"/>
      <c r="H41" s="413"/>
    </row>
    <row r="42" spans="1:8">
      <c r="A42" s="414" t="s">
        <v>1975</v>
      </c>
      <c r="B42" s="359" t="s">
        <v>2271</v>
      </c>
      <c r="C42" s="360" t="s">
        <v>493</v>
      </c>
      <c r="D42" s="368"/>
      <c r="E42" s="407">
        <f t="shared" si="0"/>
        <v>136000</v>
      </c>
      <c r="F42" s="399">
        <f>(4400000+600000)-F67-272000+136000</f>
        <v>136000</v>
      </c>
      <c r="G42" s="485"/>
      <c r="H42" s="415">
        <f>(4403000+604000)-H67</f>
        <v>479440</v>
      </c>
    </row>
    <row r="43" spans="1:8" ht="24">
      <c r="A43" s="414">
        <v>6</v>
      </c>
      <c r="B43" s="359" t="s">
        <v>2272</v>
      </c>
      <c r="C43" s="360" t="s">
        <v>1946</v>
      </c>
      <c r="D43" s="368"/>
      <c r="E43" s="407">
        <f t="shared" si="0"/>
        <v>0</v>
      </c>
      <c r="F43" s="399"/>
      <c r="G43" s="485"/>
      <c r="H43" s="416"/>
    </row>
    <row r="44" spans="1:8">
      <c r="A44" s="412" t="s">
        <v>1973</v>
      </c>
      <c r="B44" s="357" t="s">
        <v>496</v>
      </c>
      <c r="C44" s="357" t="s">
        <v>2273</v>
      </c>
      <c r="D44" s="367"/>
      <c r="E44" s="408"/>
      <c r="F44" s="377"/>
      <c r="G44" s="377"/>
      <c r="H44" s="413"/>
    </row>
    <row r="45" spans="1:8">
      <c r="A45" s="414" t="s">
        <v>1975</v>
      </c>
      <c r="B45" s="359" t="s">
        <v>2274</v>
      </c>
      <c r="C45" s="360" t="s">
        <v>495</v>
      </c>
      <c r="D45" s="368"/>
      <c r="E45" s="407">
        <f t="shared" si="0"/>
        <v>30150</v>
      </c>
      <c r="F45" s="399">
        <f>36000-F69-4000</f>
        <v>30150</v>
      </c>
      <c r="G45" s="485"/>
      <c r="H45" s="415">
        <f>36000-H69</f>
        <v>35721</v>
      </c>
    </row>
    <row r="46" spans="1:8">
      <c r="A46" s="414">
        <v>6</v>
      </c>
      <c r="B46" s="359" t="s">
        <v>2275</v>
      </c>
      <c r="C46" s="360" t="s">
        <v>1947</v>
      </c>
      <c r="D46" s="368"/>
      <c r="E46" s="407">
        <f t="shared" si="0"/>
        <v>0</v>
      </c>
      <c r="F46" s="399"/>
      <c r="G46" s="485"/>
      <c r="H46" s="416"/>
    </row>
    <row r="47" spans="1:8">
      <c r="A47" s="412" t="s">
        <v>1973</v>
      </c>
      <c r="B47" s="357" t="s">
        <v>498</v>
      </c>
      <c r="C47" s="357" t="s">
        <v>2276</v>
      </c>
      <c r="D47" s="367"/>
      <c r="E47" s="408"/>
      <c r="F47" s="377"/>
      <c r="G47" s="377"/>
      <c r="H47" s="413"/>
    </row>
    <row r="48" spans="1:8">
      <c r="A48" s="414" t="s">
        <v>1975</v>
      </c>
      <c r="B48" s="359" t="s">
        <v>2277</v>
      </c>
      <c r="C48" s="360" t="s">
        <v>497</v>
      </c>
      <c r="D48" s="368"/>
      <c r="E48" s="407">
        <f t="shared" si="0"/>
        <v>600</v>
      </c>
      <c r="F48" s="399">
        <f>3000-F71</f>
        <v>600</v>
      </c>
      <c r="G48" s="485"/>
      <c r="H48" s="415">
        <f>3000-H71</f>
        <v>634</v>
      </c>
    </row>
    <row r="49" spans="1:8" ht="24">
      <c r="A49" s="414">
        <v>6</v>
      </c>
      <c r="B49" s="359" t="s">
        <v>2278</v>
      </c>
      <c r="C49" s="360" t="s">
        <v>1948</v>
      </c>
      <c r="D49" s="368"/>
      <c r="E49" s="407">
        <f t="shared" si="0"/>
        <v>0</v>
      </c>
      <c r="F49" s="399"/>
      <c r="G49" s="485"/>
      <c r="H49" s="416"/>
    </row>
    <row r="50" spans="1:8">
      <c r="A50" s="412" t="s">
        <v>1973</v>
      </c>
      <c r="B50" s="357" t="s">
        <v>500</v>
      </c>
      <c r="C50" s="357" t="s">
        <v>2279</v>
      </c>
      <c r="D50" s="367"/>
      <c r="E50" s="408"/>
      <c r="F50" s="377"/>
      <c r="G50" s="377"/>
      <c r="H50" s="413"/>
    </row>
    <row r="51" spans="1:8">
      <c r="A51" s="414" t="s">
        <v>1975</v>
      </c>
      <c r="B51" s="359" t="s">
        <v>2280</v>
      </c>
      <c r="C51" s="360" t="s">
        <v>499</v>
      </c>
      <c r="D51" s="368"/>
      <c r="E51" s="407">
        <f t="shared" si="0"/>
        <v>874000</v>
      </c>
      <c r="F51" s="399">
        <f>1350000-F73-152000</f>
        <v>874000</v>
      </c>
      <c r="G51" s="485"/>
      <c r="H51" s="415">
        <f>1348000-H73</f>
        <v>794692</v>
      </c>
    </row>
    <row r="52" spans="1:8" ht="24">
      <c r="A52" s="414">
        <v>6</v>
      </c>
      <c r="B52" s="359" t="s">
        <v>2281</v>
      </c>
      <c r="C52" s="360" t="s">
        <v>1949</v>
      </c>
      <c r="D52" s="368"/>
      <c r="E52" s="407">
        <f t="shared" si="0"/>
        <v>0</v>
      </c>
      <c r="F52" s="399"/>
      <c r="G52" s="485"/>
      <c r="H52" s="416"/>
    </row>
    <row r="53" spans="1:8" ht="25.5">
      <c r="A53" s="412" t="s">
        <v>1973</v>
      </c>
      <c r="B53" s="357" t="s">
        <v>501</v>
      </c>
      <c r="C53" s="357" t="s">
        <v>2282</v>
      </c>
      <c r="D53" s="367" t="s">
        <v>1253</v>
      </c>
      <c r="E53" s="408"/>
      <c r="F53" s="377"/>
      <c r="G53" s="377"/>
      <c r="H53" s="413"/>
    </row>
    <row r="54" spans="1:8">
      <c r="A54" s="412" t="s">
        <v>1975</v>
      </c>
      <c r="B54" s="357" t="s">
        <v>502</v>
      </c>
      <c r="C54" s="357" t="s">
        <v>1403</v>
      </c>
      <c r="D54" s="367" t="s">
        <v>1253</v>
      </c>
      <c r="E54" s="408"/>
      <c r="F54" s="377"/>
      <c r="G54" s="377"/>
      <c r="H54" s="413"/>
    </row>
    <row r="55" spans="1:8" ht="24">
      <c r="A55" s="414" t="s">
        <v>1978</v>
      </c>
      <c r="B55" s="359" t="s">
        <v>2283</v>
      </c>
      <c r="C55" s="360" t="s">
        <v>2284</v>
      </c>
      <c r="D55" s="368" t="s">
        <v>1253</v>
      </c>
      <c r="E55" s="407">
        <f t="shared" si="0"/>
        <v>72407840</v>
      </c>
      <c r="F55" s="399">
        <f>57919927+14487913</f>
        <v>72407840</v>
      </c>
      <c r="G55" s="485"/>
      <c r="H55" s="415">
        <f>66701721+16379294</f>
        <v>83081015</v>
      </c>
    </row>
    <row r="56" spans="1:8">
      <c r="A56" s="414" t="s">
        <v>1978</v>
      </c>
      <c r="B56" s="359" t="s">
        <v>2285</v>
      </c>
      <c r="C56" s="360" t="s">
        <v>2286</v>
      </c>
      <c r="D56" s="368" t="s">
        <v>1253</v>
      </c>
      <c r="E56" s="407">
        <f t="shared" si="0"/>
        <v>645742</v>
      </c>
      <c r="F56" s="399">
        <v>645742</v>
      </c>
      <c r="G56" s="485"/>
      <c r="H56" s="415">
        <v>751087</v>
      </c>
    </row>
    <row r="57" spans="1:8" ht="24">
      <c r="A57" s="414" t="s">
        <v>1978</v>
      </c>
      <c r="B57" s="359" t="s">
        <v>2287</v>
      </c>
      <c r="C57" s="360" t="s">
        <v>2288</v>
      </c>
      <c r="D57" s="368" t="s">
        <v>1253</v>
      </c>
      <c r="E57" s="407">
        <f t="shared" si="0"/>
        <v>0</v>
      </c>
      <c r="F57" s="399"/>
      <c r="G57" s="485"/>
      <c r="H57" s="416"/>
    </row>
    <row r="58" spans="1:8">
      <c r="A58" s="412" t="s">
        <v>1975</v>
      </c>
      <c r="B58" s="357" t="s">
        <v>2289</v>
      </c>
      <c r="C58" s="357" t="s">
        <v>2290</v>
      </c>
      <c r="D58" s="367" t="s">
        <v>1253</v>
      </c>
      <c r="E58" s="408"/>
      <c r="F58" s="377"/>
      <c r="G58" s="377"/>
      <c r="H58" s="413"/>
    </row>
    <row r="59" spans="1:8">
      <c r="A59" s="414" t="s">
        <v>1978</v>
      </c>
      <c r="B59" s="362" t="s">
        <v>2291</v>
      </c>
      <c r="C59" s="360" t="s">
        <v>2292</v>
      </c>
      <c r="D59" s="368" t="s">
        <v>1253</v>
      </c>
      <c r="E59" s="407">
        <f t="shared" si="0"/>
        <v>0</v>
      </c>
      <c r="F59" s="399"/>
      <c r="G59" s="485"/>
      <c r="H59" s="416"/>
    </row>
    <row r="60" spans="1:8">
      <c r="A60" s="412" t="s">
        <v>1975</v>
      </c>
      <c r="B60" s="357" t="s">
        <v>503</v>
      </c>
      <c r="C60" s="357" t="s">
        <v>1404</v>
      </c>
      <c r="D60" s="367" t="s">
        <v>1253</v>
      </c>
      <c r="E60" s="408"/>
      <c r="F60" s="377"/>
      <c r="G60" s="377"/>
      <c r="H60" s="413"/>
    </row>
    <row r="61" spans="1:8">
      <c r="A61" s="414" t="s">
        <v>1978</v>
      </c>
      <c r="B61" s="359" t="s">
        <v>2293</v>
      </c>
      <c r="C61" s="360" t="s">
        <v>2294</v>
      </c>
      <c r="D61" s="368" t="s">
        <v>1253</v>
      </c>
      <c r="E61" s="407">
        <f t="shared" si="0"/>
        <v>23500000</v>
      </c>
      <c r="F61" s="399">
        <v>23500000</v>
      </c>
      <c r="G61" s="485"/>
      <c r="H61" s="415">
        <v>24992595</v>
      </c>
    </row>
    <row r="62" spans="1:8" ht="24">
      <c r="A62" s="414" t="s">
        <v>1978</v>
      </c>
      <c r="B62" s="359" t="s">
        <v>2295</v>
      </c>
      <c r="C62" s="360" t="s">
        <v>2296</v>
      </c>
      <c r="D62" s="368" t="s">
        <v>1253</v>
      </c>
      <c r="E62" s="407">
        <f t="shared" si="0"/>
        <v>2300000</v>
      </c>
      <c r="F62" s="399">
        <v>2300000</v>
      </c>
      <c r="G62" s="485"/>
      <c r="H62" s="415">
        <v>652613</v>
      </c>
    </row>
    <row r="63" spans="1:8" ht="24">
      <c r="A63" s="414" t="s">
        <v>1978</v>
      </c>
      <c r="B63" s="359" t="s">
        <v>2297</v>
      </c>
      <c r="C63" s="360" t="s">
        <v>2298</v>
      </c>
      <c r="D63" s="368" t="s">
        <v>1253</v>
      </c>
      <c r="E63" s="407">
        <f t="shared" si="0"/>
        <v>690000</v>
      </c>
      <c r="F63" s="399">
        <v>690000</v>
      </c>
      <c r="G63" s="485"/>
      <c r="H63" s="415">
        <v>617758</v>
      </c>
    </row>
    <row r="64" spans="1:8">
      <c r="A64" s="412" t="s">
        <v>1975</v>
      </c>
      <c r="B64" s="357" t="s">
        <v>504</v>
      </c>
      <c r="C64" s="357" t="s">
        <v>1405</v>
      </c>
      <c r="D64" s="367" t="s">
        <v>1253</v>
      </c>
      <c r="E64" s="408"/>
      <c r="F64" s="377"/>
      <c r="G64" s="377"/>
      <c r="H64" s="413"/>
    </row>
    <row r="65" spans="1:8">
      <c r="A65" s="414" t="s">
        <v>1978</v>
      </c>
      <c r="B65" s="359" t="s">
        <v>2299</v>
      </c>
      <c r="C65" s="360" t="s">
        <v>2300</v>
      </c>
      <c r="D65" s="368" t="s">
        <v>1253</v>
      </c>
      <c r="E65" s="407">
        <f t="shared" si="0"/>
        <v>866000</v>
      </c>
      <c r="F65" s="399">
        <v>866000</v>
      </c>
      <c r="G65" s="485"/>
      <c r="H65" s="415">
        <v>870774</v>
      </c>
    </row>
    <row r="66" spans="1:8">
      <c r="A66" s="412" t="s">
        <v>1975</v>
      </c>
      <c r="B66" s="357" t="s">
        <v>505</v>
      </c>
      <c r="C66" s="357" t="s">
        <v>1406</v>
      </c>
      <c r="D66" s="367" t="s">
        <v>1253</v>
      </c>
      <c r="E66" s="408"/>
      <c r="F66" s="377"/>
      <c r="G66" s="377"/>
      <c r="H66" s="413"/>
    </row>
    <row r="67" spans="1:8" ht="24">
      <c r="A67" s="414" t="s">
        <v>1978</v>
      </c>
      <c r="B67" s="359" t="s">
        <v>2301</v>
      </c>
      <c r="C67" s="360" t="s">
        <v>2302</v>
      </c>
      <c r="D67" s="368" t="s">
        <v>1253</v>
      </c>
      <c r="E67" s="407">
        <f t="shared" si="0"/>
        <v>4728000</v>
      </c>
      <c r="F67" s="399">
        <f>4178000+550000</f>
        <v>4728000</v>
      </c>
      <c r="G67" s="485"/>
      <c r="H67" s="415">
        <f>3979065+548495</f>
        <v>4527560</v>
      </c>
    </row>
    <row r="68" spans="1:8">
      <c r="A68" s="412" t="s">
        <v>1975</v>
      </c>
      <c r="B68" s="357" t="s">
        <v>506</v>
      </c>
      <c r="C68" s="357" t="s">
        <v>1407</v>
      </c>
      <c r="D68" s="367" t="s">
        <v>1253</v>
      </c>
      <c r="E68" s="408"/>
      <c r="F68" s="377"/>
      <c r="G68" s="377"/>
      <c r="H68" s="413"/>
    </row>
    <row r="69" spans="1:8">
      <c r="A69" s="414" t="s">
        <v>1978</v>
      </c>
      <c r="B69" s="359" t="s">
        <v>2303</v>
      </c>
      <c r="C69" s="360" t="s">
        <v>2304</v>
      </c>
      <c r="D69" s="368" t="s">
        <v>1253</v>
      </c>
      <c r="E69" s="407">
        <f t="shared" si="0"/>
        <v>1850</v>
      </c>
      <c r="F69" s="399">
        <v>1850</v>
      </c>
      <c r="G69" s="485"/>
      <c r="H69" s="416">
        <v>279</v>
      </c>
    </row>
    <row r="70" spans="1:8">
      <c r="A70" s="412" t="s">
        <v>1975</v>
      </c>
      <c r="B70" s="357" t="s">
        <v>507</v>
      </c>
      <c r="C70" s="357" t="s">
        <v>1408</v>
      </c>
      <c r="D70" s="367" t="s">
        <v>1253</v>
      </c>
      <c r="E70" s="408"/>
      <c r="F70" s="377"/>
      <c r="G70" s="377"/>
      <c r="H70" s="413"/>
    </row>
    <row r="71" spans="1:8" ht="24">
      <c r="A71" s="414" t="s">
        <v>1978</v>
      </c>
      <c r="B71" s="359" t="s">
        <v>2305</v>
      </c>
      <c r="C71" s="360" t="s">
        <v>2306</v>
      </c>
      <c r="D71" s="368" t="s">
        <v>1253</v>
      </c>
      <c r="E71" s="407">
        <f t="shared" si="0"/>
        <v>2400</v>
      </c>
      <c r="F71" s="399">
        <v>2400</v>
      </c>
      <c r="G71" s="485"/>
      <c r="H71" s="415">
        <v>2366</v>
      </c>
    </row>
    <row r="72" spans="1:8">
      <c r="A72" s="412" t="s">
        <v>1975</v>
      </c>
      <c r="B72" s="357" t="s">
        <v>508</v>
      </c>
      <c r="C72" s="357" t="s">
        <v>1409</v>
      </c>
      <c r="D72" s="367" t="s">
        <v>1253</v>
      </c>
      <c r="E72" s="408"/>
      <c r="F72" s="377"/>
      <c r="G72" s="377"/>
      <c r="H72" s="413"/>
    </row>
    <row r="73" spans="1:8">
      <c r="A73" s="414" t="s">
        <v>1978</v>
      </c>
      <c r="B73" s="359" t="s">
        <v>2307</v>
      </c>
      <c r="C73" s="360" t="s">
        <v>2308</v>
      </c>
      <c r="D73" s="368" t="s">
        <v>1253</v>
      </c>
      <c r="E73" s="407">
        <f t="shared" ref="E73:E135" si="1">F73+G73</f>
        <v>324000</v>
      </c>
      <c r="F73" s="399">
        <v>324000</v>
      </c>
      <c r="G73" s="485"/>
      <c r="H73" s="417">
        <v>553308</v>
      </c>
    </row>
    <row r="74" spans="1:8">
      <c r="A74" s="412" t="s">
        <v>1971</v>
      </c>
      <c r="B74" s="357" t="s">
        <v>509</v>
      </c>
      <c r="C74" s="357" t="s">
        <v>2309</v>
      </c>
      <c r="D74" s="367"/>
      <c r="E74" s="408"/>
      <c r="F74" s="377"/>
      <c r="G74" s="377"/>
      <c r="H74" s="413"/>
    </row>
    <row r="75" spans="1:8">
      <c r="A75" s="412" t="s">
        <v>1973</v>
      </c>
      <c r="B75" s="357" t="s">
        <v>511</v>
      </c>
      <c r="C75" s="357" t="s">
        <v>2310</v>
      </c>
      <c r="D75" s="367"/>
      <c r="E75" s="408"/>
      <c r="F75" s="377"/>
      <c r="G75" s="377"/>
      <c r="H75" s="413"/>
    </row>
    <row r="76" spans="1:8">
      <c r="A76" s="414">
        <v>6</v>
      </c>
      <c r="B76" s="359" t="s">
        <v>2311</v>
      </c>
      <c r="C76" s="360" t="s">
        <v>510</v>
      </c>
      <c r="D76" s="368"/>
      <c r="E76" s="407">
        <f t="shared" si="1"/>
        <v>36960</v>
      </c>
      <c r="F76" s="399">
        <f>42000-F97-5000</f>
        <v>36960</v>
      </c>
      <c r="G76" s="485"/>
      <c r="H76" s="415">
        <f>42000-H97</f>
        <v>41955</v>
      </c>
    </row>
    <row r="77" spans="1:8">
      <c r="A77" s="414">
        <v>6</v>
      </c>
      <c r="B77" s="359" t="s">
        <v>2312</v>
      </c>
      <c r="C77" s="360" t="s">
        <v>1950</v>
      </c>
      <c r="D77" s="368"/>
      <c r="E77" s="407">
        <f t="shared" si="1"/>
        <v>0</v>
      </c>
      <c r="F77" s="399"/>
      <c r="G77" s="485"/>
      <c r="H77" s="416"/>
    </row>
    <row r="78" spans="1:8" ht="25.5">
      <c r="A78" s="412" t="s">
        <v>1973</v>
      </c>
      <c r="B78" s="357" t="s">
        <v>513</v>
      </c>
      <c r="C78" s="357" t="s">
        <v>2313</v>
      </c>
      <c r="D78" s="367"/>
      <c r="E78" s="408"/>
      <c r="F78" s="377"/>
      <c r="G78" s="377"/>
      <c r="H78" s="413"/>
    </row>
    <row r="79" spans="1:8">
      <c r="A79" s="414" t="s">
        <v>1975</v>
      </c>
      <c r="B79" s="359" t="s">
        <v>2314</v>
      </c>
      <c r="C79" s="360" t="s">
        <v>512</v>
      </c>
      <c r="D79" s="368"/>
      <c r="E79" s="407">
        <f t="shared" si="1"/>
        <v>282000</v>
      </c>
      <c r="F79" s="399">
        <f>1600000-F98-180000</f>
        <v>282000</v>
      </c>
      <c r="G79" s="485"/>
      <c r="H79" s="415">
        <f>1605000-H98</f>
        <v>326531</v>
      </c>
    </row>
    <row r="80" spans="1:8" ht="24">
      <c r="A80" s="414">
        <v>6</v>
      </c>
      <c r="B80" s="359" t="s">
        <v>2315</v>
      </c>
      <c r="C80" s="360" t="s">
        <v>1951</v>
      </c>
      <c r="D80" s="368"/>
      <c r="E80" s="407">
        <f t="shared" si="1"/>
        <v>0</v>
      </c>
      <c r="F80" s="399"/>
      <c r="G80" s="485"/>
      <c r="H80" s="416"/>
    </row>
    <row r="81" spans="1:8">
      <c r="A81" s="412" t="s">
        <v>1973</v>
      </c>
      <c r="B81" s="357" t="s">
        <v>515</v>
      </c>
      <c r="C81" s="357" t="s">
        <v>2316</v>
      </c>
      <c r="D81" s="367"/>
      <c r="E81" s="408"/>
      <c r="F81" s="377"/>
      <c r="G81" s="377"/>
      <c r="H81" s="413"/>
    </row>
    <row r="82" spans="1:8">
      <c r="A82" s="414" t="s">
        <v>1975</v>
      </c>
      <c r="B82" s="359" t="s">
        <v>2317</v>
      </c>
      <c r="C82" s="360" t="s">
        <v>514</v>
      </c>
      <c r="D82" s="368"/>
      <c r="E82" s="407">
        <f t="shared" si="1"/>
        <v>417000</v>
      </c>
      <c r="F82" s="399">
        <f>470000-53000</f>
        <v>417000</v>
      </c>
      <c r="G82" s="485"/>
      <c r="H82" s="415">
        <v>470000</v>
      </c>
    </row>
    <row r="83" spans="1:8" ht="24">
      <c r="A83" s="414">
        <v>6</v>
      </c>
      <c r="B83" s="359" t="s">
        <v>2318</v>
      </c>
      <c r="C83" s="360" t="s">
        <v>1952</v>
      </c>
      <c r="D83" s="368"/>
      <c r="E83" s="407">
        <f t="shared" si="1"/>
        <v>0</v>
      </c>
      <c r="F83" s="399"/>
      <c r="G83" s="485"/>
      <c r="H83" s="416"/>
    </row>
    <row r="84" spans="1:8">
      <c r="A84" s="412" t="s">
        <v>1973</v>
      </c>
      <c r="B84" s="357" t="s">
        <v>516</v>
      </c>
      <c r="C84" s="357" t="s">
        <v>2319</v>
      </c>
      <c r="D84" s="367"/>
      <c r="E84" s="408"/>
      <c r="F84" s="377"/>
      <c r="G84" s="377"/>
      <c r="H84" s="413"/>
    </row>
    <row r="85" spans="1:8">
      <c r="A85" s="414">
        <v>6</v>
      </c>
      <c r="B85" s="359" t="s">
        <v>2320</v>
      </c>
      <c r="C85" s="360" t="s">
        <v>517</v>
      </c>
      <c r="D85" s="368"/>
      <c r="E85" s="407">
        <f t="shared" si="1"/>
        <v>114000</v>
      </c>
      <c r="F85" s="399">
        <f>740000-F100-83000</f>
        <v>114000</v>
      </c>
      <c r="G85" s="485"/>
      <c r="H85" s="415">
        <f>740000-H100</f>
        <v>190544</v>
      </c>
    </row>
    <row r="86" spans="1:8">
      <c r="A86" s="414">
        <v>6</v>
      </c>
      <c r="B86" s="359" t="s">
        <v>2321</v>
      </c>
      <c r="C86" s="360" t="s">
        <v>518</v>
      </c>
      <c r="D86" s="368"/>
      <c r="E86" s="407">
        <f t="shared" si="1"/>
        <v>337000</v>
      </c>
      <c r="F86" s="399">
        <f>380000-43000</f>
        <v>337000</v>
      </c>
      <c r="G86" s="485"/>
      <c r="H86" s="415">
        <v>382000</v>
      </c>
    </row>
    <row r="87" spans="1:8">
      <c r="A87" s="414">
        <v>6</v>
      </c>
      <c r="B87" s="359" t="s">
        <v>2322</v>
      </c>
      <c r="C87" s="360" t="s">
        <v>519</v>
      </c>
      <c r="D87" s="368"/>
      <c r="E87" s="407">
        <f t="shared" si="1"/>
        <v>80000</v>
      </c>
      <c r="F87" s="399">
        <f>90000-10000</f>
        <v>80000</v>
      </c>
      <c r="G87" s="485"/>
      <c r="H87" s="415">
        <v>90000</v>
      </c>
    </row>
    <row r="88" spans="1:8" ht="24">
      <c r="A88" s="414">
        <v>6</v>
      </c>
      <c r="B88" s="359" t="s">
        <v>2323</v>
      </c>
      <c r="C88" s="360" t="s">
        <v>1953</v>
      </c>
      <c r="D88" s="368"/>
      <c r="E88" s="407">
        <f t="shared" si="1"/>
        <v>0</v>
      </c>
      <c r="F88" s="399"/>
      <c r="G88" s="485"/>
      <c r="H88" s="416"/>
    </row>
    <row r="89" spans="1:8">
      <c r="A89" s="412" t="s">
        <v>1973</v>
      </c>
      <c r="B89" s="357" t="s">
        <v>520</v>
      </c>
      <c r="C89" s="357" t="s">
        <v>2324</v>
      </c>
      <c r="D89" s="367"/>
      <c r="E89" s="408"/>
      <c r="F89" s="377"/>
      <c r="G89" s="377"/>
      <c r="H89" s="413"/>
    </row>
    <row r="90" spans="1:8">
      <c r="A90" s="414">
        <v>6</v>
      </c>
      <c r="B90" s="359" t="s">
        <v>2325</v>
      </c>
      <c r="C90" s="360" t="s">
        <v>521</v>
      </c>
      <c r="D90" s="368"/>
      <c r="E90" s="407">
        <f t="shared" si="1"/>
        <v>647100</v>
      </c>
      <c r="F90" s="399">
        <f>730000-F101-82000</f>
        <v>647100</v>
      </c>
      <c r="G90" s="485"/>
      <c r="H90" s="415">
        <f>729000-H101</f>
        <v>716184</v>
      </c>
    </row>
    <row r="91" spans="1:8">
      <c r="A91" s="414">
        <v>6</v>
      </c>
      <c r="B91" s="359" t="s">
        <v>2326</v>
      </c>
      <c r="C91" s="360" t="s">
        <v>522</v>
      </c>
      <c r="D91" s="368"/>
      <c r="E91" s="407">
        <f t="shared" si="1"/>
        <v>422000</v>
      </c>
      <c r="F91" s="399">
        <f>475000-53000</f>
        <v>422000</v>
      </c>
      <c r="G91" s="485"/>
      <c r="H91" s="415">
        <v>475000</v>
      </c>
    </row>
    <row r="92" spans="1:8" ht="24">
      <c r="A92" s="414">
        <v>6</v>
      </c>
      <c r="B92" s="359" t="s">
        <v>2327</v>
      </c>
      <c r="C92" s="360" t="s">
        <v>1954</v>
      </c>
      <c r="D92" s="368"/>
      <c r="E92" s="407">
        <f t="shared" si="1"/>
        <v>0</v>
      </c>
      <c r="F92" s="399"/>
      <c r="G92" s="485"/>
      <c r="H92" s="416"/>
    </row>
    <row r="93" spans="1:8">
      <c r="A93" s="412" t="s">
        <v>1973</v>
      </c>
      <c r="B93" s="357" t="s">
        <v>524</v>
      </c>
      <c r="C93" s="357" t="s">
        <v>2328</v>
      </c>
      <c r="D93" s="367"/>
      <c r="E93" s="408"/>
      <c r="F93" s="377"/>
      <c r="G93" s="377"/>
      <c r="H93" s="413"/>
    </row>
    <row r="94" spans="1:8">
      <c r="A94" s="414" t="s">
        <v>1975</v>
      </c>
      <c r="B94" s="359" t="s">
        <v>2329</v>
      </c>
      <c r="C94" s="360" t="s">
        <v>523</v>
      </c>
      <c r="D94" s="368"/>
      <c r="E94" s="407">
        <f t="shared" si="1"/>
        <v>97500</v>
      </c>
      <c r="F94" s="399">
        <f>130000-F102-15000</f>
        <v>97500</v>
      </c>
      <c r="G94" s="485"/>
      <c r="H94" s="415">
        <f>126000-H102</f>
        <v>108180</v>
      </c>
    </row>
    <row r="95" spans="1:8" ht="24">
      <c r="A95" s="414">
        <v>6</v>
      </c>
      <c r="B95" s="359" t="s">
        <v>2330</v>
      </c>
      <c r="C95" s="360" t="s">
        <v>1955</v>
      </c>
      <c r="D95" s="368"/>
      <c r="E95" s="407">
        <f t="shared" si="1"/>
        <v>0</v>
      </c>
      <c r="F95" s="399"/>
      <c r="G95" s="485"/>
      <c r="H95" s="416"/>
    </row>
    <row r="96" spans="1:8" ht="25.5">
      <c r="A96" s="412" t="s">
        <v>1973</v>
      </c>
      <c r="B96" s="357" t="s">
        <v>525</v>
      </c>
      <c r="C96" s="357" t="s">
        <v>2331</v>
      </c>
      <c r="D96" s="367" t="s">
        <v>1253</v>
      </c>
      <c r="E96" s="408"/>
      <c r="F96" s="377"/>
      <c r="G96" s="377"/>
      <c r="H96" s="413"/>
    </row>
    <row r="97" spans="1:8">
      <c r="A97" s="414">
        <v>6</v>
      </c>
      <c r="B97" s="359" t="s">
        <v>2332</v>
      </c>
      <c r="C97" s="360" t="s">
        <v>2333</v>
      </c>
      <c r="D97" s="368" t="s">
        <v>1253</v>
      </c>
      <c r="E97" s="407">
        <f t="shared" si="1"/>
        <v>40</v>
      </c>
      <c r="F97" s="399">
        <v>40</v>
      </c>
      <c r="G97" s="485"/>
      <c r="H97" s="415">
        <v>45</v>
      </c>
    </row>
    <row r="98" spans="1:8" ht="24">
      <c r="A98" s="414">
        <v>6</v>
      </c>
      <c r="B98" s="359" t="s">
        <v>2334</v>
      </c>
      <c r="C98" s="360" t="s">
        <v>2335</v>
      </c>
      <c r="D98" s="368" t="s">
        <v>1253</v>
      </c>
      <c r="E98" s="407">
        <f t="shared" si="1"/>
        <v>1138000</v>
      </c>
      <c r="F98" s="399">
        <v>1138000</v>
      </c>
      <c r="G98" s="485"/>
      <c r="H98" s="415">
        <v>1278469</v>
      </c>
    </row>
    <row r="99" spans="1:8" ht="24">
      <c r="A99" s="414">
        <v>6</v>
      </c>
      <c r="B99" s="359" t="s">
        <v>2336</v>
      </c>
      <c r="C99" s="360" t="s">
        <v>2337</v>
      </c>
      <c r="D99" s="368" t="s">
        <v>1253</v>
      </c>
      <c r="E99" s="407">
        <f t="shared" si="1"/>
        <v>0</v>
      </c>
      <c r="F99" s="399"/>
      <c r="G99" s="485"/>
      <c r="H99" s="415"/>
    </row>
    <row r="100" spans="1:8" ht="24">
      <c r="A100" s="414">
        <v>6</v>
      </c>
      <c r="B100" s="359" t="s">
        <v>2338</v>
      </c>
      <c r="C100" s="360" t="s">
        <v>2339</v>
      </c>
      <c r="D100" s="368" t="s">
        <v>1253</v>
      </c>
      <c r="E100" s="407">
        <f t="shared" si="1"/>
        <v>543000</v>
      </c>
      <c r="F100" s="399">
        <f>275000+268000</f>
        <v>543000</v>
      </c>
      <c r="G100" s="485"/>
      <c r="H100" s="415">
        <f>356324+193132</f>
        <v>549456</v>
      </c>
    </row>
    <row r="101" spans="1:8" ht="24">
      <c r="A101" s="414">
        <v>6</v>
      </c>
      <c r="B101" s="359" t="s">
        <v>2340</v>
      </c>
      <c r="C101" s="360" t="s">
        <v>2341</v>
      </c>
      <c r="D101" s="368" t="s">
        <v>1253</v>
      </c>
      <c r="E101" s="407">
        <f t="shared" si="1"/>
        <v>900</v>
      </c>
      <c r="F101" s="399">
        <v>900</v>
      </c>
      <c r="G101" s="485"/>
      <c r="H101" s="415">
        <f>12006+810</f>
        <v>12816</v>
      </c>
    </row>
    <row r="102" spans="1:8" ht="24">
      <c r="A102" s="414">
        <v>6</v>
      </c>
      <c r="B102" s="359" t="s">
        <v>2342</v>
      </c>
      <c r="C102" s="360" t="s">
        <v>2343</v>
      </c>
      <c r="D102" s="368" t="s">
        <v>1253</v>
      </c>
      <c r="E102" s="407">
        <f t="shared" si="1"/>
        <v>17500</v>
      </c>
      <c r="F102" s="399">
        <v>17500</v>
      </c>
      <c r="G102" s="485"/>
      <c r="H102" s="415">
        <v>17820</v>
      </c>
    </row>
    <row r="103" spans="1:8">
      <c r="A103" s="412" t="s">
        <v>1969</v>
      </c>
      <c r="B103" s="357" t="s">
        <v>526</v>
      </c>
      <c r="C103" s="357" t="s">
        <v>2344</v>
      </c>
      <c r="D103" s="367"/>
      <c r="E103" s="408"/>
      <c r="F103" s="377"/>
      <c r="G103" s="377"/>
      <c r="H103" s="413"/>
    </row>
    <row r="104" spans="1:8">
      <c r="A104" s="412" t="s">
        <v>1971</v>
      </c>
      <c r="B104" s="357" t="s">
        <v>527</v>
      </c>
      <c r="C104" s="357" t="s">
        <v>2345</v>
      </c>
      <c r="D104" s="367"/>
      <c r="E104" s="408"/>
      <c r="F104" s="377"/>
      <c r="G104" s="377"/>
      <c r="H104" s="413"/>
    </row>
    <row r="105" spans="1:8">
      <c r="A105" s="412" t="s">
        <v>1973</v>
      </c>
      <c r="B105" s="357" t="s">
        <v>528</v>
      </c>
      <c r="C105" s="357" t="s">
        <v>2346</v>
      </c>
      <c r="D105" s="367"/>
      <c r="E105" s="408"/>
      <c r="F105" s="377"/>
      <c r="G105" s="377"/>
      <c r="H105" s="413"/>
    </row>
    <row r="106" spans="1:8">
      <c r="A106" s="412" t="s">
        <v>1975</v>
      </c>
      <c r="B106" s="357" t="s">
        <v>529</v>
      </c>
      <c r="C106" s="357" t="s">
        <v>1421</v>
      </c>
      <c r="D106" s="367"/>
      <c r="E106" s="408"/>
      <c r="F106" s="377"/>
      <c r="G106" s="377"/>
      <c r="H106" s="413"/>
    </row>
    <row r="107" spans="1:8">
      <c r="A107" s="412" t="s">
        <v>1978</v>
      </c>
      <c r="B107" s="357" t="s">
        <v>530</v>
      </c>
      <c r="C107" s="357" t="s">
        <v>1422</v>
      </c>
      <c r="D107" s="367"/>
      <c r="E107" s="408"/>
      <c r="F107" s="377"/>
      <c r="G107" s="377"/>
      <c r="H107" s="413"/>
    </row>
    <row r="108" spans="1:8">
      <c r="A108" s="414">
        <v>8</v>
      </c>
      <c r="B108" s="359" t="s">
        <v>2347</v>
      </c>
      <c r="C108" s="360" t="s">
        <v>2348</v>
      </c>
      <c r="D108" s="368"/>
      <c r="E108" s="407">
        <f t="shared" si="1"/>
        <v>14665000</v>
      </c>
      <c r="F108" s="399">
        <f>16526000-1861000</f>
        <v>14665000</v>
      </c>
      <c r="G108" s="485"/>
      <c r="H108" s="418">
        <v>16526000</v>
      </c>
    </row>
    <row r="109" spans="1:8">
      <c r="A109" s="414">
        <v>8</v>
      </c>
      <c r="B109" s="359" t="s">
        <v>2349</v>
      </c>
      <c r="C109" s="360" t="s">
        <v>2350</v>
      </c>
      <c r="D109" s="368"/>
      <c r="E109" s="407">
        <f t="shared" si="1"/>
        <v>1115000</v>
      </c>
      <c r="F109" s="399">
        <f>1257000-142000</f>
        <v>1115000</v>
      </c>
      <c r="G109" s="485"/>
      <c r="H109" s="418">
        <v>1257000</v>
      </c>
    </row>
    <row r="110" spans="1:8">
      <c r="A110" s="414">
        <v>8</v>
      </c>
      <c r="B110" s="359" t="s">
        <v>2351</v>
      </c>
      <c r="C110" s="360" t="s">
        <v>2352</v>
      </c>
      <c r="D110" s="368"/>
      <c r="E110" s="407">
        <f t="shared" si="1"/>
        <v>4720000</v>
      </c>
      <c r="F110" s="399">
        <f>5319000-599000</f>
        <v>4720000</v>
      </c>
      <c r="G110" s="485"/>
      <c r="H110" s="418">
        <v>5319000</v>
      </c>
    </row>
    <row r="111" spans="1:8">
      <c r="A111" s="414">
        <v>8</v>
      </c>
      <c r="B111" s="359" t="s">
        <v>2353</v>
      </c>
      <c r="C111" s="360" t="s">
        <v>2354</v>
      </c>
      <c r="D111" s="368"/>
      <c r="E111" s="407">
        <f t="shared" si="1"/>
        <v>1443000</v>
      </c>
      <c r="F111" s="399">
        <f>1626000-183000</f>
        <v>1443000</v>
      </c>
      <c r="G111" s="485"/>
      <c r="H111" s="418">
        <v>1626000</v>
      </c>
    </row>
    <row r="112" spans="1:8">
      <c r="A112" s="414">
        <v>8</v>
      </c>
      <c r="B112" s="359" t="s">
        <v>2355</v>
      </c>
      <c r="C112" s="360" t="s">
        <v>2356</v>
      </c>
      <c r="D112" s="368"/>
      <c r="E112" s="407">
        <f t="shared" si="1"/>
        <v>373000</v>
      </c>
      <c r="F112" s="399">
        <f>420000-47000</f>
        <v>373000</v>
      </c>
      <c r="G112" s="485"/>
      <c r="H112" s="418">
        <v>522000</v>
      </c>
    </row>
    <row r="113" spans="1:8">
      <c r="A113" s="414">
        <v>8</v>
      </c>
      <c r="B113" s="359" t="s">
        <v>2357</v>
      </c>
      <c r="C113" s="360" t="s">
        <v>2358</v>
      </c>
      <c r="D113" s="368"/>
      <c r="E113" s="407">
        <f t="shared" si="1"/>
        <v>3319000</v>
      </c>
      <c r="F113" s="399">
        <f>3740000-421000</f>
        <v>3319000</v>
      </c>
      <c r="G113" s="485"/>
      <c r="H113" s="418">
        <v>3740000</v>
      </c>
    </row>
    <row r="114" spans="1:8">
      <c r="A114" s="414">
        <v>8</v>
      </c>
      <c r="B114" s="359" t="s">
        <v>2359</v>
      </c>
      <c r="C114" s="360" t="s">
        <v>2360</v>
      </c>
      <c r="D114" s="368"/>
      <c r="E114" s="407">
        <f t="shared" si="1"/>
        <v>0</v>
      </c>
      <c r="F114" s="399"/>
      <c r="G114" s="485"/>
      <c r="H114" s="418"/>
    </row>
    <row r="115" spans="1:8">
      <c r="A115" s="414">
        <v>8</v>
      </c>
      <c r="B115" s="359" t="s">
        <v>2361</v>
      </c>
      <c r="C115" s="360" t="s">
        <v>2362</v>
      </c>
      <c r="D115" s="368"/>
      <c r="E115" s="407">
        <f t="shared" si="1"/>
        <v>84000</v>
      </c>
      <c r="F115" s="399">
        <f>95000-11000</f>
        <v>84000</v>
      </c>
      <c r="G115" s="485"/>
      <c r="H115" s="418">
        <v>95000</v>
      </c>
    </row>
    <row r="116" spans="1:8">
      <c r="A116" s="414">
        <v>8</v>
      </c>
      <c r="B116" s="359" t="s">
        <v>2363</v>
      </c>
      <c r="C116" s="360" t="s">
        <v>2364</v>
      </c>
      <c r="D116" s="368"/>
      <c r="E116" s="407">
        <f t="shared" si="1"/>
        <v>89000</v>
      </c>
      <c r="F116" s="399">
        <f>100000-11000</f>
        <v>89000</v>
      </c>
      <c r="G116" s="485"/>
      <c r="H116" s="418">
        <v>100000</v>
      </c>
    </row>
    <row r="117" spans="1:8">
      <c r="A117" s="414">
        <v>8</v>
      </c>
      <c r="B117" s="359" t="s">
        <v>2365</v>
      </c>
      <c r="C117" s="360" t="s">
        <v>2366</v>
      </c>
      <c r="D117" s="368"/>
      <c r="E117" s="407">
        <f t="shared" si="1"/>
        <v>13000</v>
      </c>
      <c r="F117" s="399">
        <f>15000-2000</f>
        <v>13000</v>
      </c>
      <c r="G117" s="485"/>
      <c r="H117" s="418">
        <v>15000</v>
      </c>
    </row>
    <row r="118" spans="1:8">
      <c r="A118" s="414">
        <v>8</v>
      </c>
      <c r="B118" s="359" t="s">
        <v>2367</v>
      </c>
      <c r="C118" s="360" t="s">
        <v>2368</v>
      </c>
      <c r="D118" s="368"/>
      <c r="E118" s="407">
        <f t="shared" si="1"/>
        <v>2680000</v>
      </c>
      <c r="F118" s="399">
        <f>3020000-340000</f>
        <v>2680000</v>
      </c>
      <c r="G118" s="485"/>
      <c r="H118" s="418">
        <v>3020000</v>
      </c>
    </row>
    <row r="119" spans="1:8">
      <c r="A119" s="412" t="s">
        <v>1978</v>
      </c>
      <c r="B119" s="357" t="s">
        <v>531</v>
      </c>
      <c r="C119" s="357" t="s">
        <v>1423</v>
      </c>
      <c r="D119" s="367"/>
      <c r="E119" s="408"/>
      <c r="F119" s="377"/>
      <c r="G119" s="377"/>
      <c r="H119" s="413"/>
    </row>
    <row r="120" spans="1:8">
      <c r="A120" s="414">
        <v>8</v>
      </c>
      <c r="B120" s="359" t="s">
        <v>2369</v>
      </c>
      <c r="C120" s="360" t="s">
        <v>2370</v>
      </c>
      <c r="D120" s="368"/>
      <c r="E120" s="407">
        <f t="shared" si="1"/>
        <v>3062000</v>
      </c>
      <c r="F120" s="399">
        <f>3450000-388000</f>
        <v>3062000</v>
      </c>
      <c r="G120" s="485"/>
      <c r="H120" s="418">
        <v>3452000</v>
      </c>
    </row>
    <row r="121" spans="1:8">
      <c r="A121" s="414">
        <v>8</v>
      </c>
      <c r="B121" s="359" t="s">
        <v>2371</v>
      </c>
      <c r="C121" s="360" t="s">
        <v>2372</v>
      </c>
      <c r="D121" s="368"/>
      <c r="E121" s="407">
        <f t="shared" si="1"/>
        <v>185000</v>
      </c>
      <c r="F121" s="399">
        <f>208000-23000</f>
        <v>185000</v>
      </c>
      <c r="G121" s="485"/>
      <c r="H121" s="418">
        <v>208000</v>
      </c>
    </row>
    <row r="122" spans="1:8">
      <c r="A122" s="414">
        <v>8</v>
      </c>
      <c r="B122" s="359" t="s">
        <v>2373</v>
      </c>
      <c r="C122" s="360" t="s">
        <v>2374</v>
      </c>
      <c r="D122" s="368"/>
      <c r="E122" s="407">
        <f t="shared" si="1"/>
        <v>310000</v>
      </c>
      <c r="F122" s="399">
        <f>349000-39000</f>
        <v>310000</v>
      </c>
      <c r="G122" s="485"/>
      <c r="H122" s="418">
        <v>349000</v>
      </c>
    </row>
    <row r="123" spans="1:8">
      <c r="A123" s="414">
        <v>8</v>
      </c>
      <c r="B123" s="359" t="s">
        <v>2375</v>
      </c>
      <c r="C123" s="360" t="s">
        <v>2376</v>
      </c>
      <c r="D123" s="368"/>
      <c r="E123" s="407">
        <f t="shared" si="1"/>
        <v>206000</v>
      </c>
      <c r="F123" s="399">
        <f>232000-26000</f>
        <v>206000</v>
      </c>
      <c r="G123" s="485"/>
      <c r="H123" s="418">
        <v>232000</v>
      </c>
    </row>
    <row r="124" spans="1:8">
      <c r="A124" s="414">
        <v>8</v>
      </c>
      <c r="B124" s="359" t="s">
        <v>2377</v>
      </c>
      <c r="C124" s="360" t="s">
        <v>2378</v>
      </c>
      <c r="D124" s="368"/>
      <c r="E124" s="407">
        <f t="shared" si="1"/>
        <v>271000</v>
      </c>
      <c r="F124" s="399">
        <f>305000-34000</f>
        <v>271000</v>
      </c>
      <c r="G124" s="485"/>
      <c r="H124" s="418">
        <v>307000</v>
      </c>
    </row>
    <row r="125" spans="1:8">
      <c r="A125" s="414">
        <v>8</v>
      </c>
      <c r="B125" s="359" t="s">
        <v>2379</v>
      </c>
      <c r="C125" s="360" t="s">
        <v>2380</v>
      </c>
      <c r="D125" s="368"/>
      <c r="E125" s="407">
        <f t="shared" si="1"/>
        <v>277000</v>
      </c>
      <c r="F125" s="399">
        <f>312000-35000</f>
        <v>277000</v>
      </c>
      <c r="G125" s="485"/>
      <c r="H125" s="418">
        <v>314000</v>
      </c>
    </row>
    <row r="126" spans="1:8">
      <c r="A126" s="414">
        <v>8</v>
      </c>
      <c r="B126" s="359" t="s">
        <v>2381</v>
      </c>
      <c r="C126" s="360" t="s">
        <v>2382</v>
      </c>
      <c r="D126" s="368"/>
      <c r="E126" s="407">
        <f t="shared" si="1"/>
        <v>0</v>
      </c>
      <c r="F126" s="399"/>
      <c r="G126" s="485"/>
      <c r="H126" s="418"/>
    </row>
    <row r="127" spans="1:8">
      <c r="A127" s="414">
        <v>8</v>
      </c>
      <c r="B127" s="359" t="s">
        <v>2383</v>
      </c>
      <c r="C127" s="360" t="s">
        <v>2384</v>
      </c>
      <c r="D127" s="368"/>
      <c r="E127" s="407">
        <f t="shared" si="1"/>
        <v>0</v>
      </c>
      <c r="F127" s="399"/>
      <c r="G127" s="485"/>
      <c r="H127" s="418"/>
    </row>
    <row r="128" spans="1:8">
      <c r="A128" s="414">
        <v>8</v>
      </c>
      <c r="B128" s="359" t="s">
        <v>2385</v>
      </c>
      <c r="C128" s="360" t="s">
        <v>2386</v>
      </c>
      <c r="D128" s="368"/>
      <c r="E128" s="407">
        <f t="shared" si="1"/>
        <v>16000</v>
      </c>
      <c r="F128" s="399">
        <f>18000-2000</f>
        <v>16000</v>
      </c>
      <c r="G128" s="485"/>
      <c r="H128" s="418">
        <v>18000</v>
      </c>
    </row>
    <row r="129" spans="1:9" s="252" customFormat="1">
      <c r="A129" s="414">
        <v>8</v>
      </c>
      <c r="B129" s="359" t="s">
        <v>2387</v>
      </c>
      <c r="C129" s="360" t="s">
        <v>2388</v>
      </c>
      <c r="D129" s="368"/>
      <c r="E129" s="407">
        <f t="shared" si="1"/>
        <v>1000</v>
      </c>
      <c r="F129" s="399">
        <v>1000</v>
      </c>
      <c r="G129" s="485"/>
      <c r="H129" s="418">
        <v>1000</v>
      </c>
      <c r="I129" s="380"/>
    </row>
    <row r="130" spans="1:9">
      <c r="A130" s="414">
        <v>8</v>
      </c>
      <c r="B130" s="359" t="s">
        <v>2389</v>
      </c>
      <c r="C130" s="360" t="s">
        <v>2390</v>
      </c>
      <c r="D130" s="368"/>
      <c r="E130" s="407">
        <f t="shared" si="1"/>
        <v>406000</v>
      </c>
      <c r="F130" s="399">
        <f>457000-51000</f>
        <v>406000</v>
      </c>
      <c r="G130" s="485"/>
      <c r="H130" s="418">
        <v>458000</v>
      </c>
    </row>
    <row r="131" spans="1:9">
      <c r="A131" s="412" t="s">
        <v>1978</v>
      </c>
      <c r="B131" s="357" t="s">
        <v>532</v>
      </c>
      <c r="C131" s="357" t="s">
        <v>1424</v>
      </c>
      <c r="D131" s="367"/>
      <c r="E131" s="408"/>
      <c r="F131" s="377"/>
      <c r="G131" s="377"/>
      <c r="H131" s="413"/>
    </row>
    <row r="132" spans="1:9" ht="24">
      <c r="A132" s="414">
        <v>8</v>
      </c>
      <c r="B132" s="359" t="s">
        <v>2391</v>
      </c>
      <c r="C132" s="360" t="s">
        <v>533</v>
      </c>
      <c r="D132" s="368"/>
      <c r="E132" s="407">
        <f t="shared" si="1"/>
        <v>1347000</v>
      </c>
      <c r="F132" s="399">
        <f>1518000-171000</f>
        <v>1347000</v>
      </c>
      <c r="G132" s="485"/>
      <c r="H132" s="418">
        <v>1518000</v>
      </c>
    </row>
    <row r="133" spans="1:9">
      <c r="A133" s="414">
        <v>8</v>
      </c>
      <c r="B133" s="359" t="s">
        <v>2392</v>
      </c>
      <c r="C133" s="360" t="s">
        <v>534</v>
      </c>
      <c r="D133" s="368"/>
      <c r="E133" s="407">
        <f t="shared" si="1"/>
        <v>160000</v>
      </c>
      <c r="F133" s="399">
        <f>180000-20000</f>
        <v>160000</v>
      </c>
      <c r="G133" s="485"/>
      <c r="H133" s="418">
        <v>242000</v>
      </c>
    </row>
    <row r="134" spans="1:9">
      <c r="A134" s="414">
        <v>8</v>
      </c>
      <c r="B134" s="359" t="s">
        <v>2393</v>
      </c>
      <c r="C134" s="360" t="s">
        <v>535</v>
      </c>
      <c r="D134" s="368"/>
      <c r="E134" s="407">
        <f t="shared" si="1"/>
        <v>27000</v>
      </c>
      <c r="F134" s="399">
        <f>30000-3000</f>
        <v>27000</v>
      </c>
      <c r="G134" s="485"/>
      <c r="H134" s="418">
        <v>30000</v>
      </c>
    </row>
    <row r="135" spans="1:9" ht="24">
      <c r="A135" s="414">
        <v>8</v>
      </c>
      <c r="B135" s="359" t="s">
        <v>2394</v>
      </c>
      <c r="C135" s="360" t="s">
        <v>536</v>
      </c>
      <c r="D135" s="368"/>
      <c r="E135" s="407">
        <f t="shared" si="1"/>
        <v>319000</v>
      </c>
      <c r="F135" s="399">
        <f>360000-41000</f>
        <v>319000</v>
      </c>
      <c r="G135" s="485"/>
      <c r="H135" s="418">
        <v>353000</v>
      </c>
    </row>
    <row r="136" spans="1:9" ht="24">
      <c r="A136" s="414">
        <v>8</v>
      </c>
      <c r="B136" s="359" t="s">
        <v>2395</v>
      </c>
      <c r="C136" s="360" t="s">
        <v>537</v>
      </c>
      <c r="D136" s="368"/>
      <c r="E136" s="407">
        <f t="shared" ref="E136:E199" si="2">F136+G136</f>
        <v>67000</v>
      </c>
      <c r="F136" s="399">
        <f>75000-8000</f>
        <v>67000</v>
      </c>
      <c r="G136" s="485"/>
      <c r="H136" s="418">
        <v>85000</v>
      </c>
    </row>
    <row r="137" spans="1:9" ht="24">
      <c r="A137" s="414">
        <v>8</v>
      </c>
      <c r="B137" s="359" t="s">
        <v>2396</v>
      </c>
      <c r="C137" s="360" t="s">
        <v>538</v>
      </c>
      <c r="D137" s="368"/>
      <c r="E137" s="407">
        <f t="shared" si="2"/>
        <v>0</v>
      </c>
      <c r="F137" s="399"/>
      <c r="G137" s="485"/>
      <c r="H137" s="418"/>
    </row>
    <row r="138" spans="1:9" s="252" customFormat="1" ht="24">
      <c r="A138" s="414">
        <v>8</v>
      </c>
      <c r="B138" s="359" t="s">
        <v>2397</v>
      </c>
      <c r="C138" s="360" t="s">
        <v>539</v>
      </c>
      <c r="D138" s="368"/>
      <c r="E138" s="407">
        <f t="shared" si="2"/>
        <v>0</v>
      </c>
      <c r="F138" s="399"/>
      <c r="G138" s="485"/>
      <c r="H138" s="418"/>
      <c r="I138" s="380"/>
    </row>
    <row r="139" spans="1:9">
      <c r="A139" s="414">
        <v>8</v>
      </c>
      <c r="B139" s="359" t="s">
        <v>2398</v>
      </c>
      <c r="C139" s="360" t="s">
        <v>2399</v>
      </c>
      <c r="D139" s="368"/>
      <c r="E139" s="407">
        <f t="shared" si="2"/>
        <v>916000</v>
      </c>
      <c r="F139" s="399">
        <f>1032000-116000</f>
        <v>916000</v>
      </c>
      <c r="G139" s="485"/>
      <c r="H139" s="418">
        <v>1100000</v>
      </c>
    </row>
    <row r="140" spans="1:9" ht="24">
      <c r="A140" s="414">
        <v>8</v>
      </c>
      <c r="B140" s="359" t="s">
        <v>2400</v>
      </c>
      <c r="C140" s="360" t="s">
        <v>540</v>
      </c>
      <c r="D140" s="368"/>
      <c r="E140" s="407">
        <f t="shared" si="2"/>
        <v>13000</v>
      </c>
      <c r="F140" s="399">
        <f>15000-2000</f>
        <v>13000</v>
      </c>
      <c r="G140" s="485"/>
      <c r="H140" s="418">
        <v>16000</v>
      </c>
    </row>
    <row r="141" spans="1:9" ht="24">
      <c r="A141" s="414">
        <v>8</v>
      </c>
      <c r="B141" s="359" t="s">
        <v>2401</v>
      </c>
      <c r="C141" s="360" t="s">
        <v>541</v>
      </c>
      <c r="D141" s="368"/>
      <c r="E141" s="407">
        <f t="shared" si="2"/>
        <v>1000</v>
      </c>
      <c r="F141" s="399">
        <v>1000</v>
      </c>
      <c r="G141" s="485"/>
      <c r="H141" s="418">
        <v>2000</v>
      </c>
    </row>
    <row r="142" spans="1:9" ht="24">
      <c r="A142" s="414">
        <v>8</v>
      </c>
      <c r="B142" s="359" t="s">
        <v>2402</v>
      </c>
      <c r="C142" s="360" t="s">
        <v>542</v>
      </c>
      <c r="D142" s="368"/>
      <c r="E142" s="407">
        <f t="shared" si="2"/>
        <v>1000</v>
      </c>
      <c r="F142" s="399">
        <v>1000</v>
      </c>
      <c r="G142" s="485"/>
      <c r="H142" s="418">
        <v>1000</v>
      </c>
    </row>
    <row r="143" spans="1:9">
      <c r="A143" s="414">
        <v>8</v>
      </c>
      <c r="B143" s="359" t="s">
        <v>2403</v>
      </c>
      <c r="C143" s="360" t="s">
        <v>543</v>
      </c>
      <c r="D143" s="368"/>
      <c r="E143" s="407">
        <f t="shared" si="2"/>
        <v>205000</v>
      </c>
      <c r="F143" s="399">
        <f>231000-26000</f>
        <v>205000</v>
      </c>
      <c r="G143" s="485"/>
      <c r="H143" s="418">
        <v>231000</v>
      </c>
    </row>
    <row r="144" spans="1:9">
      <c r="A144" s="414">
        <v>8</v>
      </c>
      <c r="B144" s="359" t="s">
        <v>2404</v>
      </c>
      <c r="C144" s="360" t="s">
        <v>544</v>
      </c>
      <c r="D144" s="368"/>
      <c r="E144" s="407">
        <f t="shared" si="2"/>
        <v>17000</v>
      </c>
      <c r="F144" s="399">
        <f>19000-2000</f>
        <v>17000</v>
      </c>
      <c r="G144" s="485"/>
      <c r="H144" s="418">
        <v>26000</v>
      </c>
    </row>
    <row r="145" spans="1:8">
      <c r="A145" s="414">
        <v>8</v>
      </c>
      <c r="B145" s="359" t="s">
        <v>2405</v>
      </c>
      <c r="C145" s="360" t="s">
        <v>545</v>
      </c>
      <c r="D145" s="368"/>
      <c r="E145" s="407">
        <f t="shared" si="2"/>
        <v>3000</v>
      </c>
      <c r="F145" s="399">
        <v>3000</v>
      </c>
      <c r="G145" s="485"/>
      <c r="H145" s="418">
        <v>3000</v>
      </c>
    </row>
    <row r="146" spans="1:8" ht="25.5">
      <c r="A146" s="412" t="s">
        <v>1978</v>
      </c>
      <c r="B146" s="357" t="s">
        <v>546</v>
      </c>
      <c r="C146" s="357" t="s">
        <v>1425</v>
      </c>
      <c r="D146" s="367"/>
      <c r="E146" s="408"/>
      <c r="F146" s="377"/>
      <c r="G146" s="377"/>
      <c r="H146" s="413"/>
    </row>
    <row r="147" spans="1:8">
      <c r="A147" s="414">
        <v>8</v>
      </c>
      <c r="B147" s="359" t="s">
        <v>2406</v>
      </c>
      <c r="C147" s="360" t="s">
        <v>2407</v>
      </c>
      <c r="D147" s="368"/>
      <c r="E147" s="407">
        <f t="shared" si="2"/>
        <v>362000</v>
      </c>
      <c r="F147" s="399">
        <f>403000-41000</f>
        <v>362000</v>
      </c>
      <c r="G147" s="485"/>
      <c r="H147" s="418">
        <v>401000</v>
      </c>
    </row>
    <row r="148" spans="1:8" ht="24">
      <c r="A148" s="414">
        <v>8</v>
      </c>
      <c r="B148" s="359" t="s">
        <v>2408</v>
      </c>
      <c r="C148" s="360" t="s">
        <v>2409</v>
      </c>
      <c r="D148" s="368"/>
      <c r="E148" s="407">
        <f t="shared" si="2"/>
        <v>42000</v>
      </c>
      <c r="F148" s="399">
        <f>47000-5000</f>
        <v>42000</v>
      </c>
      <c r="G148" s="485"/>
      <c r="H148" s="418">
        <v>47000</v>
      </c>
    </row>
    <row r="149" spans="1:8" ht="24">
      <c r="A149" s="414">
        <v>8</v>
      </c>
      <c r="B149" s="359" t="s">
        <v>2410</v>
      </c>
      <c r="C149" s="360" t="s">
        <v>2411</v>
      </c>
      <c r="D149" s="368"/>
      <c r="E149" s="407">
        <f t="shared" si="2"/>
        <v>4000</v>
      </c>
      <c r="F149" s="399">
        <f>5000-1000</f>
        <v>4000</v>
      </c>
      <c r="G149" s="485"/>
      <c r="H149" s="418">
        <v>5000</v>
      </c>
    </row>
    <row r="150" spans="1:8" ht="24">
      <c r="A150" s="414">
        <v>8</v>
      </c>
      <c r="B150" s="359" t="s">
        <v>2412</v>
      </c>
      <c r="C150" s="360" t="s">
        <v>2413</v>
      </c>
      <c r="D150" s="368"/>
      <c r="E150" s="407">
        <f t="shared" si="2"/>
        <v>38000</v>
      </c>
      <c r="F150" s="399">
        <f>42000-4000</f>
        <v>38000</v>
      </c>
      <c r="G150" s="485"/>
      <c r="H150" s="418">
        <v>42000</v>
      </c>
    </row>
    <row r="151" spans="1:8" ht="24">
      <c r="A151" s="414">
        <v>8</v>
      </c>
      <c r="B151" s="359" t="s">
        <v>2414</v>
      </c>
      <c r="C151" s="360" t="s">
        <v>2415</v>
      </c>
      <c r="D151" s="368"/>
      <c r="E151" s="407">
        <f t="shared" si="2"/>
        <v>0</v>
      </c>
      <c r="F151" s="399"/>
      <c r="G151" s="485"/>
      <c r="H151" s="418"/>
    </row>
    <row r="152" spans="1:8">
      <c r="A152" s="414">
        <v>8</v>
      </c>
      <c r="B152" s="359" t="s">
        <v>2416</v>
      </c>
      <c r="C152" s="360" t="s">
        <v>2417</v>
      </c>
      <c r="D152" s="368"/>
      <c r="E152" s="407">
        <f t="shared" si="2"/>
        <v>0</v>
      </c>
      <c r="F152" s="399"/>
      <c r="G152" s="485"/>
      <c r="H152" s="418"/>
    </row>
    <row r="153" spans="1:8">
      <c r="A153" s="414">
        <v>8</v>
      </c>
      <c r="B153" s="359" t="s">
        <v>2418</v>
      </c>
      <c r="C153" s="360" t="s">
        <v>2419</v>
      </c>
      <c r="D153" s="368"/>
      <c r="E153" s="407">
        <f t="shared" si="2"/>
        <v>63000</v>
      </c>
      <c r="F153" s="399">
        <f>70000-7000</f>
        <v>63000</v>
      </c>
      <c r="G153" s="485"/>
      <c r="H153" s="418">
        <v>70000</v>
      </c>
    </row>
    <row r="154" spans="1:8">
      <c r="A154" s="414">
        <v>8</v>
      </c>
      <c r="B154" s="359" t="s">
        <v>2420</v>
      </c>
      <c r="C154" s="360" t="s">
        <v>547</v>
      </c>
      <c r="D154" s="368"/>
      <c r="E154" s="407">
        <f t="shared" si="2"/>
        <v>0</v>
      </c>
      <c r="F154" s="399"/>
      <c r="G154" s="485"/>
      <c r="H154" s="416"/>
    </row>
    <row r="155" spans="1:8" ht="25.5">
      <c r="A155" s="412" t="s">
        <v>1975</v>
      </c>
      <c r="B155" s="357" t="s">
        <v>548</v>
      </c>
      <c r="C155" s="357" t="s">
        <v>1426</v>
      </c>
      <c r="D155" s="367" t="s">
        <v>1253</v>
      </c>
      <c r="E155" s="408"/>
      <c r="F155" s="377"/>
      <c r="G155" s="377"/>
      <c r="H155" s="413"/>
    </row>
    <row r="156" spans="1:8" ht="24">
      <c r="A156" s="414" t="s">
        <v>1978</v>
      </c>
      <c r="B156" s="359" t="s">
        <v>2421</v>
      </c>
      <c r="C156" s="360" t="s">
        <v>2422</v>
      </c>
      <c r="D156" s="368" t="s">
        <v>1253</v>
      </c>
      <c r="E156" s="407">
        <f t="shared" si="2"/>
        <v>0</v>
      </c>
      <c r="F156" s="399"/>
      <c r="G156" s="485"/>
      <c r="H156" s="416"/>
    </row>
    <row r="157" spans="1:8" ht="25.5">
      <c r="A157" s="412" t="s">
        <v>1975</v>
      </c>
      <c r="B157" s="357" t="s">
        <v>549</v>
      </c>
      <c r="C157" s="357" t="s">
        <v>1427</v>
      </c>
      <c r="D157" s="367"/>
      <c r="E157" s="408"/>
      <c r="F157" s="377"/>
      <c r="G157" s="377"/>
      <c r="H157" s="413"/>
    </row>
    <row r="158" spans="1:8" ht="24">
      <c r="A158" s="414" t="s">
        <v>1978</v>
      </c>
      <c r="B158" s="359" t="s">
        <v>2423</v>
      </c>
      <c r="C158" s="360" t="s">
        <v>2424</v>
      </c>
      <c r="D158" s="368"/>
      <c r="E158" s="407">
        <f t="shared" si="2"/>
        <v>157238</v>
      </c>
      <c r="F158" s="399">
        <v>157238</v>
      </c>
      <c r="G158" s="485"/>
      <c r="H158" s="418">
        <v>157238</v>
      </c>
    </row>
    <row r="159" spans="1:8">
      <c r="A159" s="412" t="s">
        <v>1973</v>
      </c>
      <c r="B159" s="357" t="s">
        <v>550</v>
      </c>
      <c r="C159" s="357" t="s">
        <v>2425</v>
      </c>
      <c r="D159" s="367"/>
      <c r="E159" s="408"/>
      <c r="F159" s="377"/>
      <c r="G159" s="377"/>
      <c r="H159" s="413"/>
    </row>
    <row r="160" spans="1:8">
      <c r="A160" s="412" t="s">
        <v>1975</v>
      </c>
      <c r="B160" s="357" t="s">
        <v>551</v>
      </c>
      <c r="C160" s="357" t="s">
        <v>1429</v>
      </c>
      <c r="D160" s="367"/>
      <c r="E160" s="408"/>
      <c r="F160" s="377"/>
      <c r="G160" s="377"/>
      <c r="H160" s="413"/>
    </row>
    <row r="161" spans="1:8">
      <c r="A161" s="414">
        <v>7</v>
      </c>
      <c r="B161" s="359" t="s">
        <v>2426</v>
      </c>
      <c r="C161" s="360" t="s">
        <v>552</v>
      </c>
      <c r="D161" s="368"/>
      <c r="E161" s="407">
        <f t="shared" si="2"/>
        <v>42184322</v>
      </c>
      <c r="F161" s="399">
        <f>47584322-47000-5353000</f>
        <v>42184322</v>
      </c>
      <c r="G161" s="485"/>
      <c r="H161" s="415">
        <v>48657170</v>
      </c>
    </row>
    <row r="162" spans="1:8">
      <c r="A162" s="414">
        <v>7</v>
      </c>
      <c r="B162" s="359" t="s">
        <v>2427</v>
      </c>
      <c r="C162" s="360" t="s">
        <v>553</v>
      </c>
      <c r="D162" s="368"/>
      <c r="E162" s="407">
        <f t="shared" si="2"/>
        <v>42000</v>
      </c>
      <c r="F162" s="399">
        <f>47000-5000</f>
        <v>42000</v>
      </c>
      <c r="G162" s="485"/>
      <c r="H162" s="415">
        <v>47000</v>
      </c>
    </row>
    <row r="163" spans="1:8" ht="25.5">
      <c r="A163" s="412" t="s">
        <v>1975</v>
      </c>
      <c r="B163" s="357" t="s">
        <v>554</v>
      </c>
      <c r="C163" s="357" t="s">
        <v>1430</v>
      </c>
      <c r="D163" s="367" t="s">
        <v>1253</v>
      </c>
      <c r="E163" s="408"/>
      <c r="F163" s="377"/>
      <c r="G163" s="377"/>
      <c r="H163" s="413"/>
    </row>
    <row r="164" spans="1:8" ht="24">
      <c r="A164" s="414" t="s">
        <v>1978</v>
      </c>
      <c r="B164" s="359" t="s">
        <v>2428</v>
      </c>
      <c r="C164" s="360" t="s">
        <v>2429</v>
      </c>
      <c r="D164" s="368" t="s">
        <v>1253</v>
      </c>
      <c r="E164" s="407">
        <f t="shared" si="2"/>
        <v>0</v>
      </c>
      <c r="F164" s="399"/>
      <c r="G164" s="485"/>
      <c r="H164" s="416"/>
    </row>
    <row r="165" spans="1:8">
      <c r="A165" s="412" t="s">
        <v>1975</v>
      </c>
      <c r="B165" s="357" t="s">
        <v>555</v>
      </c>
      <c r="C165" s="357" t="s">
        <v>1431</v>
      </c>
      <c r="D165" s="367"/>
      <c r="E165" s="408"/>
      <c r="F165" s="377"/>
      <c r="G165" s="377"/>
      <c r="H165" s="413"/>
    </row>
    <row r="166" spans="1:8">
      <c r="A166" s="414" t="s">
        <v>1978</v>
      </c>
      <c r="B166" s="359" t="s">
        <v>2430</v>
      </c>
      <c r="C166" s="360" t="s">
        <v>2431</v>
      </c>
      <c r="D166" s="368"/>
      <c r="E166" s="407">
        <f t="shared" si="2"/>
        <v>175453</v>
      </c>
      <c r="F166" s="399">
        <v>175453</v>
      </c>
      <c r="G166" s="485"/>
      <c r="H166" s="415">
        <v>175453</v>
      </c>
    </row>
    <row r="167" spans="1:8" ht="25.5">
      <c r="A167" s="412" t="s">
        <v>1973</v>
      </c>
      <c r="B167" s="357" t="s">
        <v>556</v>
      </c>
      <c r="C167" s="357" t="s">
        <v>2432</v>
      </c>
      <c r="D167" s="367"/>
      <c r="E167" s="408"/>
      <c r="F167" s="377"/>
      <c r="G167" s="377"/>
      <c r="H167" s="413"/>
    </row>
    <row r="168" spans="1:8" ht="25.5">
      <c r="A168" s="412" t="s">
        <v>1975</v>
      </c>
      <c r="B168" s="357" t="s">
        <v>557</v>
      </c>
      <c r="C168" s="357" t="s">
        <v>1433</v>
      </c>
      <c r="D168" s="367" t="s">
        <v>1253</v>
      </c>
      <c r="E168" s="408"/>
      <c r="F168" s="377"/>
      <c r="G168" s="377"/>
      <c r="H168" s="413"/>
    </row>
    <row r="169" spans="1:8">
      <c r="A169" s="414">
        <v>7</v>
      </c>
      <c r="B169" s="359" t="s">
        <v>2433</v>
      </c>
      <c r="C169" s="360" t="s">
        <v>558</v>
      </c>
      <c r="D169" s="368" t="s">
        <v>1253</v>
      </c>
      <c r="E169" s="407">
        <f t="shared" si="2"/>
        <v>9403754</v>
      </c>
      <c r="F169" s="399">
        <v>9403754</v>
      </c>
      <c r="G169" s="485"/>
      <c r="H169" s="415">
        <v>9547532</v>
      </c>
    </row>
    <row r="170" spans="1:8" ht="24">
      <c r="A170" s="414">
        <v>7</v>
      </c>
      <c r="B170" s="359" t="s">
        <v>2434</v>
      </c>
      <c r="C170" s="360" t="s">
        <v>559</v>
      </c>
      <c r="D170" s="368" t="s">
        <v>1253</v>
      </c>
      <c r="E170" s="407">
        <f t="shared" si="2"/>
        <v>1043388</v>
      </c>
      <c r="F170" s="401">
        <v>1043388</v>
      </c>
      <c r="G170" s="485"/>
      <c r="H170" s="418">
        <v>1043578</v>
      </c>
    </row>
    <row r="171" spans="1:8" ht="38.25">
      <c r="A171" s="412" t="s">
        <v>1975</v>
      </c>
      <c r="B171" s="357" t="s">
        <v>561</v>
      </c>
      <c r="C171" s="357" t="s">
        <v>2435</v>
      </c>
      <c r="D171" s="367" t="s">
        <v>1253</v>
      </c>
      <c r="E171" s="408"/>
      <c r="F171" s="377"/>
      <c r="G171" s="377"/>
      <c r="H171" s="413"/>
    </row>
    <row r="172" spans="1:8" ht="24">
      <c r="A172" s="414" t="s">
        <v>1978</v>
      </c>
      <c r="B172" s="359" t="s">
        <v>2436</v>
      </c>
      <c r="C172" s="360" t="s">
        <v>560</v>
      </c>
      <c r="D172" s="368" t="s">
        <v>1253</v>
      </c>
      <c r="E172" s="407">
        <f t="shared" si="2"/>
        <v>0</v>
      </c>
      <c r="F172" s="399"/>
      <c r="G172" s="485"/>
      <c r="H172" s="416"/>
    </row>
    <row r="173" spans="1:8" ht="38.25">
      <c r="A173" s="412" t="s">
        <v>1975</v>
      </c>
      <c r="B173" s="357" t="s">
        <v>562</v>
      </c>
      <c r="C173" s="357" t="s">
        <v>2437</v>
      </c>
      <c r="D173" s="367"/>
      <c r="E173" s="408"/>
      <c r="F173" s="377"/>
      <c r="G173" s="377"/>
      <c r="H173" s="413"/>
    </row>
    <row r="174" spans="1:8" ht="24">
      <c r="A174" s="414" t="s">
        <v>1978</v>
      </c>
      <c r="B174" s="359" t="s">
        <v>2438</v>
      </c>
      <c r="C174" s="360" t="s">
        <v>2439</v>
      </c>
      <c r="D174" s="368"/>
      <c r="E174" s="407">
        <f t="shared" si="2"/>
        <v>0</v>
      </c>
      <c r="F174" s="399"/>
      <c r="G174" s="485"/>
      <c r="H174" s="416"/>
    </row>
    <row r="175" spans="1:8" ht="25.5">
      <c r="A175" s="412" t="s">
        <v>1975</v>
      </c>
      <c r="B175" s="357" t="s">
        <v>564</v>
      </c>
      <c r="C175" s="357" t="s">
        <v>2440</v>
      </c>
      <c r="D175" s="367"/>
      <c r="E175" s="408"/>
      <c r="F175" s="377"/>
      <c r="G175" s="377"/>
      <c r="H175" s="413"/>
    </row>
    <row r="176" spans="1:8" ht="24">
      <c r="A176" s="414" t="s">
        <v>1978</v>
      </c>
      <c r="B176" s="359" t="s">
        <v>2441</v>
      </c>
      <c r="C176" s="360" t="s">
        <v>563</v>
      </c>
      <c r="D176" s="368"/>
      <c r="E176" s="407">
        <f t="shared" si="2"/>
        <v>0</v>
      </c>
      <c r="F176" s="399"/>
      <c r="G176" s="485"/>
      <c r="H176" s="416"/>
    </row>
    <row r="177" spans="1:8">
      <c r="A177" s="412" t="s">
        <v>1975</v>
      </c>
      <c r="B177" s="357" t="s">
        <v>565</v>
      </c>
      <c r="C177" s="357" t="s">
        <v>1437</v>
      </c>
      <c r="D177" s="367"/>
      <c r="E177" s="408"/>
      <c r="F177" s="377"/>
      <c r="G177" s="377"/>
      <c r="H177" s="413"/>
    </row>
    <row r="178" spans="1:8" ht="24">
      <c r="A178" s="414">
        <v>7</v>
      </c>
      <c r="B178" s="359" t="s">
        <v>2442</v>
      </c>
      <c r="C178" s="360" t="s">
        <v>566</v>
      </c>
      <c r="D178" s="368"/>
      <c r="E178" s="407">
        <f t="shared" si="2"/>
        <v>5170591</v>
      </c>
      <c r="F178" s="399">
        <f>4715026+355132+23252+77181</f>
        <v>5170591</v>
      </c>
      <c r="G178" s="485"/>
      <c r="H178" s="415">
        <f>4715026+355132+23252+77181</f>
        <v>5170591</v>
      </c>
    </row>
    <row r="179" spans="1:8" ht="25.5">
      <c r="A179" s="412" t="s">
        <v>1975</v>
      </c>
      <c r="B179" s="357" t="s">
        <v>569</v>
      </c>
      <c r="C179" s="357" t="s">
        <v>2443</v>
      </c>
      <c r="D179" s="367"/>
      <c r="E179" s="408"/>
      <c r="F179" s="377"/>
      <c r="G179" s="377"/>
      <c r="H179" s="413"/>
    </row>
    <row r="180" spans="1:8" ht="24">
      <c r="A180" s="414" t="s">
        <v>1978</v>
      </c>
      <c r="B180" s="359" t="s">
        <v>2444</v>
      </c>
      <c r="C180" s="360" t="s">
        <v>568</v>
      </c>
      <c r="D180" s="368"/>
      <c r="E180" s="407">
        <f t="shared" si="2"/>
        <v>0</v>
      </c>
      <c r="F180" s="399"/>
      <c r="G180" s="485"/>
      <c r="H180" s="416"/>
    </row>
    <row r="181" spans="1:8">
      <c r="A181" s="412" t="s">
        <v>1975</v>
      </c>
      <c r="B181" s="357" t="s">
        <v>570</v>
      </c>
      <c r="C181" s="357" t="s">
        <v>1439</v>
      </c>
      <c r="D181" s="367"/>
      <c r="E181" s="408"/>
      <c r="F181" s="377"/>
      <c r="G181" s="377"/>
      <c r="H181" s="413"/>
    </row>
    <row r="182" spans="1:8">
      <c r="A182" s="414">
        <v>7</v>
      </c>
      <c r="B182" s="359" t="s">
        <v>2445</v>
      </c>
      <c r="C182" s="360" t="s">
        <v>2446</v>
      </c>
      <c r="D182" s="368"/>
      <c r="E182" s="407">
        <f t="shared" si="2"/>
        <v>1242000</v>
      </c>
      <c r="F182" s="399">
        <f>1400000-158000</f>
        <v>1242000</v>
      </c>
      <c r="G182" s="485"/>
      <c r="H182" s="418">
        <v>1400000</v>
      </c>
    </row>
    <row r="183" spans="1:8">
      <c r="A183" s="414">
        <v>7</v>
      </c>
      <c r="B183" s="359" t="s">
        <v>2447</v>
      </c>
      <c r="C183" s="360" t="s">
        <v>2448</v>
      </c>
      <c r="D183" s="368"/>
      <c r="E183" s="407">
        <f t="shared" si="2"/>
        <v>333000</v>
      </c>
      <c r="F183" s="399">
        <f>375000-42000</f>
        <v>333000</v>
      </c>
      <c r="G183" s="485"/>
      <c r="H183" s="418">
        <v>375000</v>
      </c>
    </row>
    <row r="184" spans="1:8">
      <c r="A184" s="414">
        <v>7</v>
      </c>
      <c r="B184" s="359" t="s">
        <v>2449</v>
      </c>
      <c r="C184" s="360" t="s">
        <v>2450</v>
      </c>
      <c r="D184" s="368"/>
      <c r="E184" s="407">
        <f t="shared" si="2"/>
        <v>0</v>
      </c>
      <c r="F184" s="399"/>
      <c r="G184" s="485"/>
      <c r="H184" s="418"/>
    </row>
    <row r="185" spans="1:8">
      <c r="A185" s="414">
        <v>7</v>
      </c>
      <c r="B185" s="359" t="s">
        <v>2451</v>
      </c>
      <c r="C185" s="360" t="s">
        <v>2452</v>
      </c>
      <c r="D185" s="368"/>
      <c r="E185" s="407">
        <f t="shared" si="2"/>
        <v>154000</v>
      </c>
      <c r="F185" s="399">
        <f>173000-19000</f>
        <v>154000</v>
      </c>
      <c r="G185" s="485"/>
      <c r="H185" s="418">
        <v>173000</v>
      </c>
    </row>
    <row r="186" spans="1:8">
      <c r="A186" s="414">
        <v>7</v>
      </c>
      <c r="B186" s="359" t="s">
        <v>2453</v>
      </c>
      <c r="C186" s="360" t="s">
        <v>2454</v>
      </c>
      <c r="D186" s="368"/>
      <c r="E186" s="407">
        <f t="shared" si="2"/>
        <v>1000</v>
      </c>
      <c r="F186" s="399">
        <v>1000</v>
      </c>
      <c r="G186" s="485"/>
      <c r="H186" s="418">
        <v>1000</v>
      </c>
    </row>
    <row r="187" spans="1:8">
      <c r="A187" s="414">
        <v>7</v>
      </c>
      <c r="B187" s="359" t="s">
        <v>2455</v>
      </c>
      <c r="C187" s="360" t="s">
        <v>2456</v>
      </c>
      <c r="D187" s="368"/>
      <c r="E187" s="407">
        <f t="shared" si="2"/>
        <v>0</v>
      </c>
      <c r="F187" s="399"/>
      <c r="G187" s="485"/>
      <c r="H187" s="418"/>
    </row>
    <row r="188" spans="1:8">
      <c r="A188" s="414">
        <v>7</v>
      </c>
      <c r="B188" s="359" t="s">
        <v>2457</v>
      </c>
      <c r="C188" s="360" t="s">
        <v>2458</v>
      </c>
      <c r="D188" s="368"/>
      <c r="E188" s="407">
        <f t="shared" si="2"/>
        <v>245000</v>
      </c>
      <c r="F188" s="399">
        <f>276000-31000</f>
        <v>245000</v>
      </c>
      <c r="G188" s="485"/>
      <c r="H188" s="418">
        <v>276000</v>
      </c>
    </row>
    <row r="189" spans="1:8">
      <c r="A189" s="412" t="s">
        <v>1975</v>
      </c>
      <c r="B189" s="357" t="s">
        <v>571</v>
      </c>
      <c r="C189" s="357" t="s">
        <v>1440</v>
      </c>
      <c r="D189" s="367"/>
      <c r="E189" s="408"/>
      <c r="F189" s="377"/>
      <c r="G189" s="377"/>
      <c r="H189" s="413"/>
    </row>
    <row r="190" spans="1:8" ht="25.5">
      <c r="A190" s="412" t="s">
        <v>1978</v>
      </c>
      <c r="B190" s="357" t="s">
        <v>573</v>
      </c>
      <c r="C190" s="357" t="s">
        <v>1441</v>
      </c>
      <c r="D190" s="367"/>
      <c r="E190" s="408"/>
      <c r="F190" s="377"/>
      <c r="G190" s="377"/>
      <c r="H190" s="413"/>
    </row>
    <row r="191" spans="1:8" ht="24">
      <c r="A191" s="414" t="s">
        <v>2094</v>
      </c>
      <c r="B191" s="359" t="s">
        <v>2459</v>
      </c>
      <c r="C191" s="360" t="s">
        <v>572</v>
      </c>
      <c r="D191" s="368"/>
      <c r="E191" s="407">
        <f t="shared" si="2"/>
        <v>0</v>
      </c>
      <c r="F191" s="399"/>
      <c r="G191" s="485"/>
      <c r="H191" s="416"/>
    </row>
    <row r="192" spans="1:8" ht="38.25">
      <c r="A192" s="412" t="s">
        <v>1978</v>
      </c>
      <c r="B192" s="357" t="s">
        <v>574</v>
      </c>
      <c r="C192" s="357" t="s">
        <v>2460</v>
      </c>
      <c r="D192" s="367"/>
      <c r="E192" s="408"/>
      <c r="F192" s="377"/>
      <c r="G192" s="377"/>
      <c r="H192" s="413"/>
    </row>
    <row r="193" spans="1:8" ht="24">
      <c r="A193" s="414" t="s">
        <v>2094</v>
      </c>
      <c r="B193" s="359" t="s">
        <v>2461</v>
      </c>
      <c r="C193" s="360" t="s">
        <v>2462</v>
      </c>
      <c r="D193" s="368"/>
      <c r="E193" s="407">
        <f t="shared" si="2"/>
        <v>0</v>
      </c>
      <c r="F193" s="399"/>
      <c r="G193" s="485"/>
      <c r="H193" s="416"/>
    </row>
    <row r="194" spans="1:8" ht="25.5">
      <c r="A194" s="412" t="s">
        <v>1978</v>
      </c>
      <c r="B194" s="357" t="s">
        <v>576</v>
      </c>
      <c r="C194" s="357" t="s">
        <v>1443</v>
      </c>
      <c r="D194" s="367"/>
      <c r="E194" s="408"/>
      <c r="F194" s="377"/>
      <c r="G194" s="377"/>
      <c r="H194" s="413"/>
    </row>
    <row r="195" spans="1:8" ht="24">
      <c r="A195" s="414" t="s">
        <v>2094</v>
      </c>
      <c r="B195" s="359" t="s">
        <v>2463</v>
      </c>
      <c r="C195" s="360" t="s">
        <v>575</v>
      </c>
      <c r="D195" s="368"/>
      <c r="E195" s="407">
        <f t="shared" si="2"/>
        <v>0</v>
      </c>
      <c r="F195" s="399"/>
      <c r="G195" s="485"/>
      <c r="H195" s="416"/>
    </row>
    <row r="196" spans="1:8" ht="38.25">
      <c r="A196" s="412" t="s">
        <v>1978</v>
      </c>
      <c r="B196" s="357" t="s">
        <v>578</v>
      </c>
      <c r="C196" s="357" t="s">
        <v>2464</v>
      </c>
      <c r="D196" s="367"/>
      <c r="E196" s="408"/>
      <c r="F196" s="377"/>
      <c r="G196" s="377"/>
      <c r="H196" s="413"/>
    </row>
    <row r="197" spans="1:8" ht="24">
      <c r="A197" s="414" t="s">
        <v>2094</v>
      </c>
      <c r="B197" s="359" t="s">
        <v>2465</v>
      </c>
      <c r="C197" s="360" t="s">
        <v>577</v>
      </c>
      <c r="D197" s="368"/>
      <c r="E197" s="407">
        <f t="shared" si="2"/>
        <v>0</v>
      </c>
      <c r="F197" s="399"/>
      <c r="G197" s="485"/>
      <c r="H197" s="416"/>
    </row>
    <row r="198" spans="1:8" ht="25.5">
      <c r="A198" s="412" t="s">
        <v>1978</v>
      </c>
      <c r="B198" s="357" t="s">
        <v>580</v>
      </c>
      <c r="C198" s="357" t="s">
        <v>1445</v>
      </c>
      <c r="D198" s="367"/>
      <c r="E198" s="408"/>
      <c r="F198" s="377"/>
      <c r="G198" s="377"/>
      <c r="H198" s="413"/>
    </row>
    <row r="199" spans="1:8" ht="24">
      <c r="A199" s="414" t="s">
        <v>2094</v>
      </c>
      <c r="B199" s="359" t="s">
        <v>2466</v>
      </c>
      <c r="C199" s="360" t="s">
        <v>579</v>
      </c>
      <c r="D199" s="368"/>
      <c r="E199" s="407">
        <f t="shared" si="2"/>
        <v>12449134</v>
      </c>
      <c r="F199" s="399">
        <v>12449134</v>
      </c>
      <c r="G199" s="485"/>
      <c r="H199" s="415">
        <f>12351122+644890</f>
        <v>12996012</v>
      </c>
    </row>
    <row r="200" spans="1:8" ht="25.5">
      <c r="A200" s="412" t="s">
        <v>1978</v>
      </c>
      <c r="B200" s="357" t="s">
        <v>582</v>
      </c>
      <c r="C200" s="357" t="s">
        <v>2467</v>
      </c>
      <c r="D200" s="367"/>
      <c r="E200" s="408"/>
      <c r="F200" s="377"/>
      <c r="G200" s="377"/>
      <c r="H200" s="413"/>
    </row>
    <row r="201" spans="1:8" ht="24">
      <c r="A201" s="414" t="s">
        <v>2094</v>
      </c>
      <c r="B201" s="359" t="s">
        <v>2468</v>
      </c>
      <c r="C201" s="360" t="s">
        <v>581</v>
      </c>
      <c r="D201" s="368"/>
      <c r="E201" s="407">
        <f t="shared" ref="E201:E262" si="3">F201+G201</f>
        <v>0</v>
      </c>
      <c r="F201" s="399"/>
      <c r="G201" s="485"/>
      <c r="H201" s="416"/>
    </row>
    <row r="202" spans="1:8" ht="25.5">
      <c r="A202" s="412" t="s">
        <v>1978</v>
      </c>
      <c r="B202" s="357" t="s">
        <v>584</v>
      </c>
      <c r="C202" s="357" t="s">
        <v>1447</v>
      </c>
      <c r="D202" s="367"/>
      <c r="E202" s="408"/>
      <c r="F202" s="377"/>
      <c r="G202" s="377"/>
      <c r="H202" s="413"/>
    </row>
    <row r="203" spans="1:8">
      <c r="A203" s="414" t="s">
        <v>2094</v>
      </c>
      <c r="B203" s="359" t="s">
        <v>2469</v>
      </c>
      <c r="C203" s="360" t="s">
        <v>583</v>
      </c>
      <c r="D203" s="368"/>
      <c r="E203" s="407">
        <f t="shared" si="3"/>
        <v>5633647</v>
      </c>
      <c r="F203" s="399">
        <v>5633647</v>
      </c>
      <c r="G203" s="485"/>
      <c r="H203" s="415">
        <f>5579174+150515</f>
        <v>5729689</v>
      </c>
    </row>
    <row r="204" spans="1:8" ht="25.5">
      <c r="A204" s="412" t="s">
        <v>1978</v>
      </c>
      <c r="B204" s="357" t="s">
        <v>586</v>
      </c>
      <c r="C204" s="357" t="s">
        <v>2470</v>
      </c>
      <c r="D204" s="367"/>
      <c r="E204" s="408"/>
      <c r="F204" s="377"/>
      <c r="G204" s="377"/>
      <c r="H204" s="413"/>
    </row>
    <row r="205" spans="1:8" ht="24">
      <c r="A205" s="414" t="s">
        <v>2094</v>
      </c>
      <c r="B205" s="359" t="s">
        <v>2471</v>
      </c>
      <c r="C205" s="360" t="s">
        <v>585</v>
      </c>
      <c r="D205" s="368"/>
      <c r="E205" s="407">
        <f t="shared" si="3"/>
        <v>0</v>
      </c>
      <c r="F205" s="399"/>
      <c r="G205" s="485"/>
      <c r="H205" s="416"/>
    </row>
    <row r="206" spans="1:8" ht="25.5">
      <c r="A206" s="412" t="s">
        <v>1975</v>
      </c>
      <c r="B206" s="357" t="s">
        <v>587</v>
      </c>
      <c r="C206" s="357" t="s">
        <v>1449</v>
      </c>
      <c r="D206" s="367"/>
      <c r="E206" s="408"/>
      <c r="F206" s="377"/>
      <c r="G206" s="377"/>
      <c r="H206" s="413"/>
    </row>
    <row r="207" spans="1:8" ht="36">
      <c r="A207" s="414" t="s">
        <v>1978</v>
      </c>
      <c r="B207" s="359" t="s">
        <v>2472</v>
      </c>
      <c r="C207" s="360" t="s">
        <v>2473</v>
      </c>
      <c r="D207" s="368"/>
      <c r="E207" s="407">
        <f t="shared" si="3"/>
        <v>93668</v>
      </c>
      <c r="F207" s="399">
        <v>93668</v>
      </c>
      <c r="G207" s="485"/>
      <c r="H207" s="415">
        <v>93668</v>
      </c>
    </row>
    <row r="208" spans="1:8" ht="51">
      <c r="A208" s="412" t="s">
        <v>1975</v>
      </c>
      <c r="B208" s="357" t="s">
        <v>589</v>
      </c>
      <c r="C208" s="357" t="s">
        <v>2474</v>
      </c>
      <c r="D208" s="367"/>
      <c r="E208" s="408"/>
      <c r="F208" s="377"/>
      <c r="G208" s="377"/>
      <c r="H208" s="413"/>
    </row>
    <row r="209" spans="1:8" ht="36">
      <c r="A209" s="414" t="s">
        <v>1978</v>
      </c>
      <c r="B209" s="359" t="s">
        <v>2475</v>
      </c>
      <c r="C209" s="360" t="s">
        <v>588</v>
      </c>
      <c r="D209" s="368"/>
      <c r="E209" s="407">
        <f t="shared" si="3"/>
        <v>0</v>
      </c>
      <c r="F209" s="399"/>
      <c r="G209" s="485"/>
      <c r="H209" s="416"/>
    </row>
    <row r="210" spans="1:8">
      <c r="A210" s="412" t="s">
        <v>1973</v>
      </c>
      <c r="B210" s="357" t="s">
        <v>590</v>
      </c>
      <c r="C210" s="357" t="s">
        <v>2476</v>
      </c>
      <c r="D210" s="367"/>
      <c r="E210" s="408"/>
      <c r="F210" s="377"/>
      <c r="G210" s="377"/>
      <c r="H210" s="413"/>
    </row>
    <row r="211" spans="1:8" ht="25.5">
      <c r="A211" s="412" t="s">
        <v>1975</v>
      </c>
      <c r="B211" s="357" t="s">
        <v>591</v>
      </c>
      <c r="C211" s="357" t="s">
        <v>1452</v>
      </c>
      <c r="D211" s="367" t="s">
        <v>1253</v>
      </c>
      <c r="E211" s="408"/>
      <c r="F211" s="377"/>
      <c r="G211" s="377"/>
      <c r="H211" s="413"/>
    </row>
    <row r="212" spans="1:8" ht="24">
      <c r="A212" s="414" t="s">
        <v>1978</v>
      </c>
      <c r="B212" s="359" t="s">
        <v>2477</v>
      </c>
      <c r="C212" s="360" t="s">
        <v>2478</v>
      </c>
      <c r="D212" s="368" t="s">
        <v>1253</v>
      </c>
      <c r="E212" s="407">
        <f t="shared" si="3"/>
        <v>0</v>
      </c>
      <c r="F212" s="399"/>
      <c r="G212" s="485"/>
      <c r="H212" s="416"/>
    </row>
    <row r="213" spans="1:8">
      <c r="A213" s="412" t="s">
        <v>1975</v>
      </c>
      <c r="B213" s="357" t="s">
        <v>592</v>
      </c>
      <c r="C213" s="357" t="s">
        <v>1453</v>
      </c>
      <c r="D213" s="367"/>
      <c r="E213" s="408"/>
      <c r="F213" s="377"/>
      <c r="G213" s="377"/>
      <c r="H213" s="413"/>
    </row>
    <row r="214" spans="1:8" ht="24">
      <c r="A214" s="414" t="s">
        <v>1978</v>
      </c>
      <c r="B214" s="359" t="s">
        <v>2479</v>
      </c>
      <c r="C214" s="360" t="s">
        <v>2480</v>
      </c>
      <c r="D214" s="368"/>
      <c r="E214" s="407">
        <f t="shared" si="3"/>
        <v>0</v>
      </c>
      <c r="F214" s="399"/>
      <c r="G214" s="485"/>
      <c r="H214" s="416"/>
    </row>
    <row r="215" spans="1:8" ht="25.5">
      <c r="A215" s="412" t="s">
        <v>1975</v>
      </c>
      <c r="B215" s="357" t="s">
        <v>593</v>
      </c>
      <c r="C215" s="357" t="s">
        <v>1454</v>
      </c>
      <c r="D215" s="367"/>
      <c r="E215" s="408"/>
      <c r="F215" s="377"/>
      <c r="G215" s="377"/>
      <c r="H215" s="413"/>
    </row>
    <row r="216" spans="1:8" ht="24">
      <c r="A216" s="414" t="s">
        <v>1978</v>
      </c>
      <c r="B216" s="359" t="s">
        <v>2481</v>
      </c>
      <c r="C216" s="360" t="s">
        <v>2482</v>
      </c>
      <c r="D216" s="368"/>
      <c r="E216" s="407">
        <f t="shared" si="3"/>
        <v>0</v>
      </c>
      <c r="F216" s="399"/>
      <c r="G216" s="485"/>
      <c r="H216" s="416"/>
    </row>
    <row r="217" spans="1:8">
      <c r="A217" s="412" t="s">
        <v>1975</v>
      </c>
      <c r="B217" s="357" t="s">
        <v>594</v>
      </c>
      <c r="C217" s="357" t="s">
        <v>1455</v>
      </c>
      <c r="D217" s="367"/>
      <c r="E217" s="408"/>
      <c r="F217" s="377"/>
      <c r="G217" s="377"/>
      <c r="H217" s="413"/>
    </row>
    <row r="218" spans="1:8" ht="24">
      <c r="A218" s="414">
        <v>7</v>
      </c>
      <c r="B218" s="359" t="s">
        <v>2483</v>
      </c>
      <c r="C218" s="360" t="s">
        <v>2484</v>
      </c>
      <c r="D218" s="368"/>
      <c r="E218" s="407">
        <f t="shared" si="3"/>
        <v>1031000</v>
      </c>
      <c r="F218" s="399">
        <f>1162000-131000</f>
        <v>1031000</v>
      </c>
      <c r="G218" s="485"/>
      <c r="H218" s="415">
        <v>1162000</v>
      </c>
    </row>
    <row r="219" spans="1:8" ht="24">
      <c r="A219" s="414">
        <v>7</v>
      </c>
      <c r="B219" s="359" t="s">
        <v>2485</v>
      </c>
      <c r="C219" s="360" t="s">
        <v>2486</v>
      </c>
      <c r="D219" s="368"/>
      <c r="E219" s="407">
        <f t="shared" si="3"/>
        <v>531000</v>
      </c>
      <c r="F219" s="399">
        <f>587000-G219-56000</f>
        <v>437000</v>
      </c>
      <c r="G219" s="485">
        <v>94000</v>
      </c>
      <c r="H219" s="415">
        <v>587000</v>
      </c>
    </row>
    <row r="220" spans="1:8">
      <c r="A220" s="412" t="s">
        <v>1975</v>
      </c>
      <c r="B220" s="357" t="s">
        <v>595</v>
      </c>
      <c r="C220" s="357" t="s">
        <v>1456</v>
      </c>
      <c r="D220" s="367"/>
      <c r="E220" s="408"/>
      <c r="F220" s="377"/>
      <c r="G220" s="377"/>
      <c r="H220" s="413"/>
    </row>
    <row r="221" spans="1:8" ht="24">
      <c r="A221" s="414">
        <v>7</v>
      </c>
      <c r="B221" s="359" t="s">
        <v>2487</v>
      </c>
      <c r="C221" s="360" t="s">
        <v>2488</v>
      </c>
      <c r="D221" s="368"/>
      <c r="E221" s="407">
        <f t="shared" si="3"/>
        <v>15000</v>
      </c>
      <c r="F221" s="399">
        <f>17000-2000</f>
        <v>15000</v>
      </c>
      <c r="G221" s="485"/>
      <c r="H221" s="415">
        <v>17000</v>
      </c>
    </row>
    <row r="222" spans="1:8" ht="24">
      <c r="A222" s="414">
        <v>7</v>
      </c>
      <c r="B222" s="359" t="s">
        <v>2489</v>
      </c>
      <c r="C222" s="360" t="s">
        <v>2490</v>
      </c>
      <c r="D222" s="368"/>
      <c r="E222" s="407">
        <f t="shared" si="3"/>
        <v>7000</v>
      </c>
      <c r="F222" s="399">
        <f>8000-1000</f>
        <v>7000</v>
      </c>
      <c r="G222" s="485"/>
      <c r="H222" s="415">
        <v>8000</v>
      </c>
    </row>
    <row r="223" spans="1:8">
      <c r="A223" s="412" t="s">
        <v>1973</v>
      </c>
      <c r="B223" s="357" t="s">
        <v>596</v>
      </c>
      <c r="C223" s="357" t="s">
        <v>2491</v>
      </c>
      <c r="D223" s="367"/>
      <c r="E223" s="408"/>
      <c r="F223" s="377"/>
      <c r="G223" s="377"/>
      <c r="H223" s="413"/>
    </row>
    <row r="224" spans="1:8" ht="25.5">
      <c r="A224" s="412" t="s">
        <v>1975</v>
      </c>
      <c r="B224" s="357" t="s">
        <v>597</v>
      </c>
      <c r="C224" s="357" t="s">
        <v>1458</v>
      </c>
      <c r="D224" s="367" t="s">
        <v>1253</v>
      </c>
      <c r="E224" s="408"/>
      <c r="F224" s="377"/>
      <c r="G224" s="377"/>
      <c r="H224" s="413"/>
    </row>
    <row r="225" spans="1:9" ht="24">
      <c r="A225" s="414" t="s">
        <v>1978</v>
      </c>
      <c r="B225" s="359" t="s">
        <v>2492</v>
      </c>
      <c r="C225" s="360" t="s">
        <v>2493</v>
      </c>
      <c r="D225" s="368" t="s">
        <v>1253</v>
      </c>
      <c r="E225" s="407">
        <f t="shared" si="3"/>
        <v>0</v>
      </c>
      <c r="F225" s="399"/>
      <c r="G225" s="485"/>
      <c r="H225" s="415">
        <v>688</v>
      </c>
    </row>
    <row r="226" spans="1:9">
      <c r="A226" s="412" t="s">
        <v>1975</v>
      </c>
      <c r="B226" s="357" t="s">
        <v>598</v>
      </c>
      <c r="C226" s="357" t="s">
        <v>1459</v>
      </c>
      <c r="D226" s="367"/>
      <c r="E226" s="408"/>
      <c r="F226" s="377"/>
      <c r="G226" s="377"/>
      <c r="H226" s="413"/>
    </row>
    <row r="227" spans="1:9" ht="24">
      <c r="A227" s="414" t="s">
        <v>1978</v>
      </c>
      <c r="B227" s="359" t="s">
        <v>2494</v>
      </c>
      <c r="C227" s="360" t="s">
        <v>2495</v>
      </c>
      <c r="D227" s="368"/>
      <c r="E227" s="407">
        <f t="shared" si="3"/>
        <v>0</v>
      </c>
      <c r="F227" s="399"/>
      <c r="G227" s="485"/>
      <c r="H227" s="416"/>
    </row>
    <row r="228" spans="1:9" s="252" customFormat="1">
      <c r="A228" s="412" t="s">
        <v>1975</v>
      </c>
      <c r="B228" s="357" t="s">
        <v>599</v>
      </c>
      <c r="C228" s="357" t="s">
        <v>1460</v>
      </c>
      <c r="D228" s="367"/>
      <c r="E228" s="408"/>
      <c r="F228" s="377"/>
      <c r="G228" s="377"/>
      <c r="H228" s="413"/>
      <c r="I228" s="380"/>
    </row>
    <row r="229" spans="1:9" ht="24">
      <c r="A229" s="414" t="s">
        <v>1978</v>
      </c>
      <c r="B229" s="359" t="s">
        <v>2496</v>
      </c>
      <c r="C229" s="360" t="s">
        <v>2497</v>
      </c>
      <c r="D229" s="368"/>
      <c r="E229" s="407">
        <f t="shared" si="3"/>
        <v>0</v>
      </c>
      <c r="F229" s="399"/>
      <c r="G229" s="485"/>
      <c r="H229" s="416"/>
    </row>
    <row r="230" spans="1:9">
      <c r="A230" s="412" t="s">
        <v>1975</v>
      </c>
      <c r="B230" s="357" t="s">
        <v>600</v>
      </c>
      <c r="C230" s="357" t="s">
        <v>1461</v>
      </c>
      <c r="D230" s="367"/>
      <c r="E230" s="408"/>
      <c r="F230" s="377"/>
      <c r="G230" s="377"/>
      <c r="H230" s="413"/>
    </row>
    <row r="231" spans="1:9">
      <c r="A231" s="414">
        <v>7</v>
      </c>
      <c r="B231" s="359" t="s">
        <v>2498</v>
      </c>
      <c r="C231" s="360" t="s">
        <v>601</v>
      </c>
      <c r="D231" s="368"/>
      <c r="E231" s="407">
        <f t="shared" si="3"/>
        <v>2464257</v>
      </c>
      <c r="F231" s="399">
        <f>4147257-1370000-313000</f>
        <v>2464257</v>
      </c>
      <c r="G231" s="485"/>
      <c r="H231" s="415">
        <v>4666000</v>
      </c>
    </row>
    <row r="232" spans="1:9">
      <c r="A232" s="414">
        <v>7</v>
      </c>
      <c r="B232" s="359" t="s">
        <v>2499</v>
      </c>
      <c r="C232" s="360" t="s">
        <v>602</v>
      </c>
      <c r="D232" s="368"/>
      <c r="E232" s="407">
        <f t="shared" si="3"/>
        <v>3328000</v>
      </c>
      <c r="F232" s="399">
        <f>3750000-422000</f>
        <v>3328000</v>
      </c>
      <c r="G232" s="485"/>
      <c r="H232" s="415">
        <v>3418000</v>
      </c>
    </row>
    <row r="233" spans="1:9">
      <c r="A233" s="414">
        <v>7</v>
      </c>
      <c r="B233" s="359" t="s">
        <v>2500</v>
      </c>
      <c r="C233" s="360" t="s">
        <v>604</v>
      </c>
      <c r="D233" s="368"/>
      <c r="E233" s="407">
        <f t="shared" si="3"/>
        <v>1216000</v>
      </c>
      <c r="F233" s="399">
        <f>1370000-154000</f>
        <v>1216000</v>
      </c>
      <c r="G233" s="485"/>
      <c r="H233" s="415">
        <v>1363000</v>
      </c>
    </row>
    <row r="234" spans="1:9">
      <c r="A234" s="412" t="s">
        <v>1973</v>
      </c>
      <c r="B234" s="357" t="s">
        <v>1462</v>
      </c>
      <c r="C234" s="357" t="s">
        <v>2501</v>
      </c>
      <c r="D234" s="367"/>
      <c r="E234" s="408"/>
      <c r="F234" s="377"/>
      <c r="G234" s="377"/>
      <c r="H234" s="413"/>
    </row>
    <row r="235" spans="1:9" ht="25.5">
      <c r="A235" s="412" t="s">
        <v>1975</v>
      </c>
      <c r="B235" s="357" t="s">
        <v>605</v>
      </c>
      <c r="C235" s="357" t="s">
        <v>1464</v>
      </c>
      <c r="D235" s="367" t="s">
        <v>1253</v>
      </c>
      <c r="E235" s="408"/>
      <c r="F235" s="377"/>
      <c r="G235" s="377"/>
      <c r="H235" s="413"/>
    </row>
    <row r="236" spans="1:9" ht="24">
      <c r="A236" s="414" t="s">
        <v>1978</v>
      </c>
      <c r="B236" s="359" t="s">
        <v>2502</v>
      </c>
      <c r="C236" s="360" t="s">
        <v>2503</v>
      </c>
      <c r="D236" s="368" t="s">
        <v>1253</v>
      </c>
      <c r="E236" s="407">
        <f t="shared" si="3"/>
        <v>0</v>
      </c>
      <c r="F236" s="399"/>
      <c r="G236" s="485"/>
      <c r="H236" s="416"/>
    </row>
    <row r="237" spans="1:9">
      <c r="A237" s="412" t="s">
        <v>1975</v>
      </c>
      <c r="B237" s="357" t="s">
        <v>606</v>
      </c>
      <c r="C237" s="357" t="s">
        <v>1465</v>
      </c>
      <c r="D237" s="367"/>
      <c r="E237" s="408"/>
      <c r="F237" s="377"/>
      <c r="G237" s="377"/>
      <c r="H237" s="413"/>
    </row>
    <row r="238" spans="1:9" ht="24">
      <c r="A238" s="414" t="s">
        <v>1978</v>
      </c>
      <c r="B238" s="359" t="s">
        <v>2504</v>
      </c>
      <c r="C238" s="360" t="s">
        <v>2505</v>
      </c>
      <c r="D238" s="368"/>
      <c r="E238" s="407">
        <f t="shared" si="3"/>
        <v>0</v>
      </c>
      <c r="F238" s="399"/>
      <c r="G238" s="485"/>
      <c r="H238" s="416"/>
    </row>
    <row r="239" spans="1:9">
      <c r="A239" s="412" t="s">
        <v>1975</v>
      </c>
      <c r="B239" s="357" t="s">
        <v>607</v>
      </c>
      <c r="C239" s="357" t="s">
        <v>1466</v>
      </c>
      <c r="D239" s="367"/>
      <c r="E239" s="408"/>
      <c r="F239" s="377"/>
      <c r="G239" s="377"/>
      <c r="H239" s="413"/>
    </row>
    <row r="240" spans="1:9" ht="24">
      <c r="A240" s="414" t="s">
        <v>1978</v>
      </c>
      <c r="B240" s="359" t="s">
        <v>2506</v>
      </c>
      <c r="C240" s="360" t="s">
        <v>2507</v>
      </c>
      <c r="D240" s="368"/>
      <c r="E240" s="407">
        <f t="shared" si="3"/>
        <v>0</v>
      </c>
      <c r="F240" s="399"/>
      <c r="G240" s="485"/>
      <c r="H240" s="416"/>
    </row>
    <row r="241" spans="1:8">
      <c r="A241" s="412" t="s">
        <v>1975</v>
      </c>
      <c r="B241" s="357" t="s">
        <v>608</v>
      </c>
      <c r="C241" s="357" t="s">
        <v>1467</v>
      </c>
      <c r="D241" s="367"/>
      <c r="E241" s="408"/>
      <c r="F241" s="377"/>
      <c r="G241" s="377"/>
      <c r="H241" s="413"/>
    </row>
    <row r="242" spans="1:8">
      <c r="A242" s="414">
        <v>7</v>
      </c>
      <c r="B242" s="359" t="s">
        <v>2508</v>
      </c>
      <c r="C242" s="360" t="s">
        <v>609</v>
      </c>
      <c r="D242" s="368"/>
      <c r="E242" s="407">
        <f t="shared" si="3"/>
        <v>887000</v>
      </c>
      <c r="F242" s="399">
        <f>1000000-113000</f>
        <v>887000</v>
      </c>
      <c r="G242" s="485"/>
      <c r="H242" s="415">
        <v>4200000</v>
      </c>
    </row>
    <row r="243" spans="1:8">
      <c r="A243" s="414">
        <v>7</v>
      </c>
      <c r="B243" s="359" t="s">
        <v>2509</v>
      </c>
      <c r="C243" s="360" t="s">
        <v>610</v>
      </c>
      <c r="D243" s="368"/>
      <c r="E243" s="407">
        <f t="shared" si="3"/>
        <v>887000</v>
      </c>
      <c r="F243" s="399">
        <f>1000000-113000</f>
        <v>887000</v>
      </c>
      <c r="G243" s="485"/>
      <c r="H243" s="415">
        <v>1004000</v>
      </c>
    </row>
    <row r="244" spans="1:8">
      <c r="A244" s="412" t="s">
        <v>1973</v>
      </c>
      <c r="B244" s="357" t="s">
        <v>611</v>
      </c>
      <c r="C244" s="357" t="s">
        <v>2510</v>
      </c>
      <c r="D244" s="367"/>
      <c r="E244" s="408"/>
      <c r="F244" s="377"/>
      <c r="G244" s="377"/>
      <c r="H244" s="413"/>
    </row>
    <row r="245" spans="1:8" ht="25.5">
      <c r="A245" s="412" t="s">
        <v>1975</v>
      </c>
      <c r="B245" s="357" t="s">
        <v>612</v>
      </c>
      <c r="C245" s="357" t="s">
        <v>1469</v>
      </c>
      <c r="D245" s="367" t="s">
        <v>1253</v>
      </c>
      <c r="E245" s="408"/>
      <c r="F245" s="377"/>
      <c r="G245" s="377"/>
      <c r="H245" s="413"/>
    </row>
    <row r="246" spans="1:8">
      <c r="A246" s="414">
        <v>7</v>
      </c>
      <c r="B246" s="359" t="s">
        <v>2511</v>
      </c>
      <c r="C246" s="360" t="s">
        <v>613</v>
      </c>
      <c r="D246" s="368" t="s">
        <v>1253</v>
      </c>
      <c r="E246" s="407">
        <f t="shared" si="3"/>
        <v>32246712</v>
      </c>
      <c r="F246" s="399">
        <v>32246712</v>
      </c>
      <c r="G246" s="485"/>
      <c r="H246" s="415">
        <v>31762716</v>
      </c>
    </row>
    <row r="247" spans="1:8" ht="24">
      <c r="A247" s="414">
        <v>7</v>
      </c>
      <c r="B247" s="359" t="s">
        <v>2512</v>
      </c>
      <c r="C247" s="360" t="s">
        <v>614</v>
      </c>
      <c r="D247" s="368" t="s">
        <v>1253</v>
      </c>
      <c r="E247" s="407">
        <f t="shared" si="3"/>
        <v>0</v>
      </c>
      <c r="F247" s="399"/>
      <c r="G247" s="485"/>
      <c r="H247" s="418">
        <v>3830</v>
      </c>
    </row>
    <row r="248" spans="1:8">
      <c r="A248" s="412" t="s">
        <v>1975</v>
      </c>
      <c r="B248" s="357" t="s">
        <v>615</v>
      </c>
      <c r="C248" s="357" t="s">
        <v>1470</v>
      </c>
      <c r="D248" s="367"/>
      <c r="E248" s="408"/>
      <c r="F248" s="377"/>
      <c r="G248" s="377"/>
      <c r="H248" s="413"/>
    </row>
    <row r="249" spans="1:8" ht="24">
      <c r="A249" s="414" t="s">
        <v>1978</v>
      </c>
      <c r="B249" s="359" t="s">
        <v>2513</v>
      </c>
      <c r="C249" s="360" t="s">
        <v>2514</v>
      </c>
      <c r="D249" s="368"/>
      <c r="E249" s="407">
        <f t="shared" si="3"/>
        <v>0</v>
      </c>
      <c r="F249" s="399"/>
      <c r="G249" s="485"/>
      <c r="H249" s="416"/>
    </row>
    <row r="250" spans="1:8">
      <c r="A250" s="412" t="s">
        <v>1975</v>
      </c>
      <c r="B250" s="357" t="s">
        <v>616</v>
      </c>
      <c r="C250" s="357" t="s">
        <v>1471</v>
      </c>
      <c r="D250" s="367"/>
      <c r="E250" s="408"/>
      <c r="F250" s="377"/>
      <c r="G250" s="377"/>
      <c r="H250" s="413"/>
    </row>
    <row r="251" spans="1:8" ht="24">
      <c r="A251" s="414">
        <v>7</v>
      </c>
      <c r="B251" s="359" t="s">
        <v>2515</v>
      </c>
      <c r="C251" s="360" t="s">
        <v>617</v>
      </c>
      <c r="D251" s="368"/>
      <c r="E251" s="407">
        <f t="shared" si="3"/>
        <v>15218033</v>
      </c>
      <c r="F251" s="399">
        <v>15218033</v>
      </c>
      <c r="G251" s="485"/>
      <c r="H251" s="415">
        <v>15218033</v>
      </c>
    </row>
    <row r="252" spans="1:8">
      <c r="A252" s="412" t="s">
        <v>1975</v>
      </c>
      <c r="B252" s="357" t="s">
        <v>619</v>
      </c>
      <c r="C252" s="357" t="s">
        <v>1472</v>
      </c>
      <c r="D252" s="367"/>
      <c r="E252" s="408"/>
      <c r="F252" s="377"/>
      <c r="G252" s="377"/>
      <c r="H252" s="413"/>
    </row>
    <row r="253" spans="1:8" ht="25.5">
      <c r="A253" s="412" t="s">
        <v>1978</v>
      </c>
      <c r="B253" s="357" t="s">
        <v>621</v>
      </c>
      <c r="C253" s="357" t="s">
        <v>1473</v>
      </c>
      <c r="D253" s="367"/>
      <c r="E253" s="408"/>
      <c r="F253" s="377"/>
      <c r="G253" s="377"/>
      <c r="H253" s="413"/>
    </row>
    <row r="254" spans="1:8" ht="24">
      <c r="A254" s="414" t="s">
        <v>2094</v>
      </c>
      <c r="B254" s="359" t="s">
        <v>2516</v>
      </c>
      <c r="C254" s="360" t="s">
        <v>620</v>
      </c>
      <c r="D254" s="368"/>
      <c r="E254" s="407">
        <f t="shared" si="3"/>
        <v>0</v>
      </c>
      <c r="F254" s="399"/>
      <c r="G254" s="485"/>
      <c r="H254" s="416"/>
    </row>
    <row r="255" spans="1:8" ht="25.5">
      <c r="A255" s="412" t="s">
        <v>1978</v>
      </c>
      <c r="B255" s="357" t="s">
        <v>623</v>
      </c>
      <c r="C255" s="357" t="s">
        <v>1474</v>
      </c>
      <c r="D255" s="367"/>
      <c r="E255" s="408"/>
      <c r="F255" s="377"/>
      <c r="G255" s="377"/>
      <c r="H255" s="413"/>
    </row>
    <row r="256" spans="1:8" ht="24">
      <c r="A256" s="414" t="s">
        <v>2094</v>
      </c>
      <c r="B256" s="359" t="s">
        <v>2517</v>
      </c>
      <c r="C256" s="360" t="s">
        <v>622</v>
      </c>
      <c r="D256" s="368"/>
      <c r="E256" s="407">
        <f t="shared" si="3"/>
        <v>0</v>
      </c>
      <c r="F256" s="399"/>
      <c r="G256" s="485"/>
      <c r="H256" s="416"/>
    </row>
    <row r="257" spans="1:8" ht="25.5">
      <c r="A257" s="412" t="s">
        <v>1978</v>
      </c>
      <c r="B257" s="357" t="s">
        <v>625</v>
      </c>
      <c r="C257" s="357" t="s">
        <v>1475</v>
      </c>
      <c r="D257" s="367"/>
      <c r="E257" s="408"/>
      <c r="F257" s="377"/>
      <c r="G257" s="377"/>
      <c r="H257" s="413"/>
    </row>
    <row r="258" spans="1:8" ht="24">
      <c r="A258" s="414" t="s">
        <v>2094</v>
      </c>
      <c r="B258" s="359" t="s">
        <v>2518</v>
      </c>
      <c r="C258" s="360" t="s">
        <v>624</v>
      </c>
      <c r="D258" s="368"/>
      <c r="E258" s="407">
        <f t="shared" si="3"/>
        <v>24920332</v>
      </c>
      <c r="F258" s="399">
        <v>24920332</v>
      </c>
      <c r="G258" s="485"/>
      <c r="H258" s="415">
        <f>24788566+437000</f>
        <v>25225566</v>
      </c>
    </row>
    <row r="259" spans="1:8" ht="25.5">
      <c r="A259" s="412" t="s">
        <v>1978</v>
      </c>
      <c r="B259" s="357" t="s">
        <v>627</v>
      </c>
      <c r="C259" s="357" t="s">
        <v>1476</v>
      </c>
      <c r="D259" s="367"/>
      <c r="E259" s="408"/>
      <c r="F259" s="377"/>
      <c r="G259" s="377"/>
      <c r="H259" s="413"/>
    </row>
    <row r="260" spans="1:8">
      <c r="A260" s="414" t="s">
        <v>2094</v>
      </c>
      <c r="B260" s="359" t="s">
        <v>2519</v>
      </c>
      <c r="C260" s="360" t="s">
        <v>626</v>
      </c>
      <c r="D260" s="368"/>
      <c r="E260" s="407">
        <f t="shared" si="3"/>
        <v>0</v>
      </c>
      <c r="F260" s="399"/>
      <c r="G260" s="485"/>
      <c r="H260" s="416"/>
    </row>
    <row r="261" spans="1:8" ht="25.5">
      <c r="A261" s="412" t="s">
        <v>1975</v>
      </c>
      <c r="B261" s="357" t="s">
        <v>628</v>
      </c>
      <c r="C261" s="357" t="s">
        <v>1477</v>
      </c>
      <c r="D261" s="367"/>
      <c r="E261" s="408"/>
      <c r="F261" s="377"/>
      <c r="G261" s="377"/>
      <c r="H261" s="413"/>
    </row>
    <row r="262" spans="1:8" ht="24">
      <c r="A262" s="414" t="s">
        <v>1978</v>
      </c>
      <c r="B262" s="359" t="s">
        <v>2520</v>
      </c>
      <c r="C262" s="360" t="s">
        <v>2521</v>
      </c>
      <c r="D262" s="368"/>
      <c r="E262" s="407">
        <f t="shared" si="3"/>
        <v>1581402</v>
      </c>
      <c r="F262" s="399">
        <v>1581402</v>
      </c>
      <c r="G262" s="485"/>
      <c r="H262" s="415">
        <v>1581402</v>
      </c>
    </row>
    <row r="263" spans="1:8" ht="25.5">
      <c r="A263" s="412" t="s">
        <v>1973</v>
      </c>
      <c r="B263" s="357" t="s">
        <v>629</v>
      </c>
      <c r="C263" s="357" t="s">
        <v>2522</v>
      </c>
      <c r="D263" s="367"/>
      <c r="E263" s="408"/>
      <c r="F263" s="377"/>
      <c r="G263" s="377"/>
      <c r="H263" s="413"/>
    </row>
    <row r="264" spans="1:8" ht="25.5">
      <c r="A264" s="412" t="s">
        <v>1975</v>
      </c>
      <c r="B264" s="357" t="s">
        <v>630</v>
      </c>
      <c r="C264" s="357" t="s">
        <v>1479</v>
      </c>
      <c r="D264" s="367" t="s">
        <v>1253</v>
      </c>
      <c r="E264" s="408"/>
      <c r="F264" s="377"/>
      <c r="G264" s="377"/>
      <c r="H264" s="413"/>
    </row>
    <row r="265" spans="1:8" ht="24">
      <c r="A265" s="414" t="s">
        <v>1978</v>
      </c>
      <c r="B265" s="359" t="s">
        <v>2523</v>
      </c>
      <c r="C265" s="360" t="s">
        <v>2524</v>
      </c>
      <c r="D265" s="368" t="s">
        <v>1253</v>
      </c>
      <c r="E265" s="407">
        <f t="shared" ref="E265:E327" si="4">F265+G265</f>
        <v>0</v>
      </c>
      <c r="F265" s="399"/>
      <c r="G265" s="485"/>
      <c r="H265" s="416"/>
    </row>
    <row r="266" spans="1:8">
      <c r="A266" s="412" t="s">
        <v>1975</v>
      </c>
      <c r="B266" s="357" t="s">
        <v>631</v>
      </c>
      <c r="C266" s="357" t="s">
        <v>1480</v>
      </c>
      <c r="D266" s="367"/>
      <c r="E266" s="408"/>
      <c r="F266" s="377"/>
      <c r="G266" s="377"/>
      <c r="H266" s="413"/>
    </row>
    <row r="267" spans="1:8" ht="24">
      <c r="A267" s="414" t="s">
        <v>1978</v>
      </c>
      <c r="B267" s="359" t="s">
        <v>2525</v>
      </c>
      <c r="C267" s="360" t="s">
        <v>2526</v>
      </c>
      <c r="D267" s="368"/>
      <c r="E267" s="407">
        <f t="shared" si="4"/>
        <v>0</v>
      </c>
      <c r="F267" s="399"/>
      <c r="G267" s="485"/>
      <c r="H267" s="416"/>
    </row>
    <row r="268" spans="1:8" ht="25.5">
      <c r="A268" s="412" t="s">
        <v>1975</v>
      </c>
      <c r="B268" s="357" t="s">
        <v>632</v>
      </c>
      <c r="C268" s="357" t="s">
        <v>1481</v>
      </c>
      <c r="D268" s="367"/>
      <c r="E268" s="408"/>
      <c r="F268" s="377"/>
      <c r="G268" s="377"/>
      <c r="H268" s="413"/>
    </row>
    <row r="269" spans="1:8" ht="24">
      <c r="A269" s="414" t="s">
        <v>1978</v>
      </c>
      <c r="B269" s="359" t="s">
        <v>2527</v>
      </c>
      <c r="C269" s="360" t="s">
        <v>2528</v>
      </c>
      <c r="D269" s="368"/>
      <c r="E269" s="407">
        <f t="shared" si="4"/>
        <v>0</v>
      </c>
      <c r="F269" s="399"/>
      <c r="G269" s="485"/>
      <c r="H269" s="416"/>
    </row>
    <row r="270" spans="1:8">
      <c r="A270" s="412" t="s">
        <v>1975</v>
      </c>
      <c r="B270" s="357" t="s">
        <v>633</v>
      </c>
      <c r="C270" s="357" t="s">
        <v>1482</v>
      </c>
      <c r="D270" s="367"/>
      <c r="E270" s="408"/>
      <c r="F270" s="377"/>
      <c r="G270" s="377"/>
      <c r="H270" s="413"/>
    </row>
    <row r="271" spans="1:8" ht="24">
      <c r="A271" s="414" t="s">
        <v>1978</v>
      </c>
      <c r="B271" s="359" t="s">
        <v>2529</v>
      </c>
      <c r="C271" s="360" t="s">
        <v>2530</v>
      </c>
      <c r="D271" s="368"/>
      <c r="E271" s="407">
        <f t="shared" si="4"/>
        <v>6506000</v>
      </c>
      <c r="F271" s="399">
        <f>7332000-826000</f>
        <v>6506000</v>
      </c>
      <c r="G271" s="485"/>
      <c r="H271" s="415">
        <f>7482000-H273</f>
        <v>7332000</v>
      </c>
    </row>
    <row r="272" spans="1:8">
      <c r="A272" s="412" t="s">
        <v>1975</v>
      </c>
      <c r="B272" s="357" t="s">
        <v>634</v>
      </c>
      <c r="C272" s="357" t="s">
        <v>1483</v>
      </c>
      <c r="D272" s="367"/>
      <c r="E272" s="408"/>
      <c r="F272" s="377"/>
      <c r="G272" s="377"/>
      <c r="H272" s="413"/>
    </row>
    <row r="273" spans="1:8" ht="24">
      <c r="A273" s="414" t="s">
        <v>1978</v>
      </c>
      <c r="B273" s="359" t="s">
        <v>2531</v>
      </c>
      <c r="C273" s="360" t="s">
        <v>2532</v>
      </c>
      <c r="D273" s="368"/>
      <c r="E273" s="407">
        <f t="shared" si="4"/>
        <v>133000</v>
      </c>
      <c r="F273" s="399">
        <f>150000-17000</f>
        <v>133000</v>
      </c>
      <c r="G273" s="485"/>
      <c r="H273" s="415">
        <v>150000</v>
      </c>
    </row>
    <row r="274" spans="1:8">
      <c r="A274" s="412" t="s">
        <v>1973</v>
      </c>
      <c r="B274" s="357" t="s">
        <v>635</v>
      </c>
      <c r="C274" s="357" t="s">
        <v>2533</v>
      </c>
      <c r="D274" s="367"/>
      <c r="E274" s="408"/>
      <c r="F274" s="377"/>
      <c r="G274" s="377"/>
      <c r="H274" s="413"/>
    </row>
    <row r="275" spans="1:8" ht="25.5">
      <c r="A275" s="412" t="s">
        <v>1975</v>
      </c>
      <c r="B275" s="357" t="s">
        <v>636</v>
      </c>
      <c r="C275" s="357" t="s">
        <v>1485</v>
      </c>
      <c r="D275" s="367" t="s">
        <v>1253</v>
      </c>
      <c r="E275" s="408"/>
      <c r="F275" s="377"/>
      <c r="G275" s="377"/>
      <c r="H275" s="413"/>
    </row>
    <row r="276" spans="1:8">
      <c r="A276" s="414">
        <v>7</v>
      </c>
      <c r="B276" s="359" t="s">
        <v>2534</v>
      </c>
      <c r="C276" s="360" t="s">
        <v>637</v>
      </c>
      <c r="D276" s="368" t="s">
        <v>1253</v>
      </c>
      <c r="E276" s="407">
        <f t="shared" si="4"/>
        <v>3285114</v>
      </c>
      <c r="F276" s="399">
        <v>3285114</v>
      </c>
      <c r="G276" s="485"/>
      <c r="H276" s="415">
        <v>3319820</v>
      </c>
    </row>
    <row r="277" spans="1:8">
      <c r="A277" s="414">
        <v>7</v>
      </c>
      <c r="B277" s="359" t="s">
        <v>2535</v>
      </c>
      <c r="C277" s="360" t="s">
        <v>638</v>
      </c>
      <c r="D277" s="368" t="s">
        <v>1253</v>
      </c>
      <c r="E277" s="407">
        <f t="shared" si="4"/>
        <v>0</v>
      </c>
      <c r="F277" s="399"/>
      <c r="G277" s="485"/>
      <c r="H277" s="416"/>
    </row>
    <row r="278" spans="1:8">
      <c r="A278" s="412" t="s">
        <v>1975</v>
      </c>
      <c r="B278" s="357" t="s">
        <v>639</v>
      </c>
      <c r="C278" s="357" t="s">
        <v>1486</v>
      </c>
      <c r="D278" s="367"/>
      <c r="E278" s="408"/>
      <c r="F278" s="377"/>
      <c r="G278" s="377"/>
      <c r="H278" s="413"/>
    </row>
    <row r="279" spans="1:8" ht="24">
      <c r="A279" s="414" t="s">
        <v>1978</v>
      </c>
      <c r="B279" s="359" t="s">
        <v>2536</v>
      </c>
      <c r="C279" s="360" t="s">
        <v>2537</v>
      </c>
      <c r="D279" s="368"/>
      <c r="E279" s="407">
        <f t="shared" si="4"/>
        <v>0</v>
      </c>
      <c r="F279" s="399"/>
      <c r="G279" s="485"/>
      <c r="H279" s="416"/>
    </row>
    <row r="280" spans="1:8">
      <c r="A280" s="412" t="s">
        <v>1975</v>
      </c>
      <c r="B280" s="357" t="s">
        <v>640</v>
      </c>
      <c r="C280" s="357" t="s">
        <v>1487</v>
      </c>
      <c r="D280" s="367"/>
      <c r="E280" s="408"/>
      <c r="F280" s="377"/>
      <c r="G280" s="377"/>
      <c r="H280" s="413"/>
    </row>
    <row r="281" spans="1:8" ht="24">
      <c r="A281" s="414" t="s">
        <v>1978</v>
      </c>
      <c r="B281" s="359" t="s">
        <v>2538</v>
      </c>
      <c r="C281" s="360" t="s">
        <v>2539</v>
      </c>
      <c r="D281" s="368"/>
      <c r="E281" s="407">
        <f t="shared" si="4"/>
        <v>1888423</v>
      </c>
      <c r="F281" s="399">
        <v>1888423</v>
      </c>
      <c r="G281" s="485"/>
      <c r="H281" s="415">
        <v>1888423</v>
      </c>
    </row>
    <row r="282" spans="1:8">
      <c r="A282" s="412" t="s">
        <v>1975</v>
      </c>
      <c r="B282" s="357" t="s">
        <v>641</v>
      </c>
      <c r="C282" s="357" t="s">
        <v>1488</v>
      </c>
      <c r="D282" s="367"/>
      <c r="E282" s="408"/>
      <c r="F282" s="377"/>
      <c r="G282" s="377"/>
      <c r="H282" s="413"/>
    </row>
    <row r="283" spans="1:8">
      <c r="A283" s="414">
        <v>7</v>
      </c>
      <c r="B283" s="359" t="s">
        <v>2540</v>
      </c>
      <c r="C283" s="360" t="s">
        <v>642</v>
      </c>
      <c r="D283" s="368"/>
      <c r="E283" s="407">
        <f t="shared" si="4"/>
        <v>2516092</v>
      </c>
      <c r="F283" s="399">
        <f>2835092-319000</f>
        <v>2516092</v>
      </c>
      <c r="G283" s="485"/>
      <c r="H283" s="415">
        <v>3382000</v>
      </c>
    </row>
    <row r="284" spans="1:8">
      <c r="A284" s="414">
        <v>7</v>
      </c>
      <c r="B284" s="359" t="s">
        <v>2541</v>
      </c>
      <c r="C284" s="360" t="s">
        <v>2542</v>
      </c>
      <c r="D284" s="368"/>
      <c r="E284" s="407">
        <f t="shared" si="4"/>
        <v>0</v>
      </c>
      <c r="F284" s="399"/>
      <c r="G284" s="485"/>
      <c r="H284" s="416"/>
    </row>
    <row r="285" spans="1:8">
      <c r="A285" s="412" t="s">
        <v>1975</v>
      </c>
      <c r="B285" s="357" t="s">
        <v>643</v>
      </c>
      <c r="C285" s="357" t="s">
        <v>1489</v>
      </c>
      <c r="D285" s="367"/>
      <c r="E285" s="408"/>
      <c r="F285" s="377"/>
      <c r="G285" s="377"/>
      <c r="H285" s="413"/>
    </row>
    <row r="286" spans="1:8" ht="24">
      <c r="A286" s="414" t="s">
        <v>1978</v>
      </c>
      <c r="B286" s="359" t="s">
        <v>2543</v>
      </c>
      <c r="C286" s="360" t="s">
        <v>2544</v>
      </c>
      <c r="D286" s="368"/>
      <c r="E286" s="407">
        <f t="shared" si="4"/>
        <v>0</v>
      </c>
      <c r="F286" s="399"/>
      <c r="G286" s="485"/>
      <c r="H286" s="416"/>
    </row>
    <row r="287" spans="1:8" ht="25.5">
      <c r="A287" s="412" t="s">
        <v>1975</v>
      </c>
      <c r="B287" s="357" t="s">
        <v>644</v>
      </c>
      <c r="C287" s="357" t="s">
        <v>1490</v>
      </c>
      <c r="D287" s="367"/>
      <c r="E287" s="408"/>
      <c r="F287" s="377"/>
      <c r="G287" s="377"/>
      <c r="H287" s="413"/>
    </row>
    <row r="288" spans="1:8" ht="36">
      <c r="A288" s="414" t="s">
        <v>1978</v>
      </c>
      <c r="B288" s="359" t="s">
        <v>2545</v>
      </c>
      <c r="C288" s="360" t="s">
        <v>2546</v>
      </c>
      <c r="D288" s="368"/>
      <c r="E288" s="407">
        <f t="shared" si="4"/>
        <v>0</v>
      </c>
      <c r="F288" s="399"/>
      <c r="G288" s="485"/>
      <c r="H288" s="416"/>
    </row>
    <row r="289" spans="1:8">
      <c r="A289" s="412" t="s">
        <v>1973</v>
      </c>
      <c r="B289" s="357" t="s">
        <v>645</v>
      </c>
      <c r="C289" s="357" t="s">
        <v>2547</v>
      </c>
      <c r="D289" s="367"/>
      <c r="E289" s="408"/>
      <c r="F289" s="377"/>
      <c r="G289" s="377"/>
      <c r="H289" s="413"/>
    </row>
    <row r="290" spans="1:8" ht="25.5">
      <c r="A290" s="412" t="s">
        <v>1975</v>
      </c>
      <c r="B290" s="357" t="s">
        <v>646</v>
      </c>
      <c r="C290" s="357" t="s">
        <v>1492</v>
      </c>
      <c r="D290" s="367" t="s">
        <v>1253</v>
      </c>
      <c r="E290" s="408"/>
      <c r="F290" s="377"/>
      <c r="G290" s="377"/>
      <c r="H290" s="413"/>
    </row>
    <row r="291" spans="1:8" ht="24">
      <c r="A291" s="414" t="s">
        <v>1978</v>
      </c>
      <c r="B291" s="359" t="s">
        <v>2548</v>
      </c>
      <c r="C291" s="360" t="s">
        <v>2549</v>
      </c>
      <c r="D291" s="368" t="s">
        <v>1253</v>
      </c>
      <c r="E291" s="407">
        <f t="shared" si="4"/>
        <v>0</v>
      </c>
      <c r="F291" s="399"/>
      <c r="G291" s="485"/>
      <c r="H291" s="416"/>
    </row>
    <row r="292" spans="1:8">
      <c r="A292" s="412" t="s">
        <v>1975</v>
      </c>
      <c r="B292" s="357" t="s">
        <v>647</v>
      </c>
      <c r="C292" s="357" t="s">
        <v>1493</v>
      </c>
      <c r="D292" s="367"/>
      <c r="E292" s="408"/>
      <c r="F292" s="377"/>
      <c r="G292" s="377"/>
      <c r="H292" s="413"/>
    </row>
    <row r="293" spans="1:8" ht="24">
      <c r="A293" s="414" t="s">
        <v>1978</v>
      </c>
      <c r="B293" s="359" t="s">
        <v>2550</v>
      </c>
      <c r="C293" s="360" t="s">
        <v>2551</v>
      </c>
      <c r="D293" s="368"/>
      <c r="E293" s="407">
        <f t="shared" si="4"/>
        <v>0</v>
      </c>
      <c r="F293" s="399"/>
      <c r="G293" s="485"/>
      <c r="H293" s="416"/>
    </row>
    <row r="294" spans="1:8">
      <c r="A294" s="412" t="s">
        <v>1975</v>
      </c>
      <c r="B294" s="357" t="s">
        <v>648</v>
      </c>
      <c r="C294" s="357" t="s">
        <v>1494</v>
      </c>
      <c r="D294" s="367"/>
      <c r="E294" s="408"/>
      <c r="F294" s="377"/>
      <c r="G294" s="377"/>
      <c r="H294" s="413"/>
    </row>
    <row r="295" spans="1:8">
      <c r="A295" s="414" t="s">
        <v>1978</v>
      </c>
      <c r="B295" s="359" t="s">
        <v>2552</v>
      </c>
      <c r="C295" s="360" t="s">
        <v>2553</v>
      </c>
      <c r="D295" s="368"/>
      <c r="E295" s="407">
        <f t="shared" si="4"/>
        <v>87955</v>
      </c>
      <c r="F295" s="399">
        <v>87955</v>
      </c>
      <c r="G295" s="485"/>
      <c r="H295" s="415">
        <v>87955</v>
      </c>
    </row>
    <row r="296" spans="1:8">
      <c r="A296" s="412" t="s">
        <v>1975</v>
      </c>
      <c r="B296" s="357" t="s">
        <v>649</v>
      </c>
      <c r="C296" s="357" t="s">
        <v>1495</v>
      </c>
      <c r="D296" s="367"/>
      <c r="E296" s="408"/>
      <c r="F296" s="377"/>
      <c r="G296" s="377"/>
      <c r="H296" s="413"/>
    </row>
    <row r="297" spans="1:8">
      <c r="A297" s="414" t="s">
        <v>1978</v>
      </c>
      <c r="B297" s="359" t="s">
        <v>2554</v>
      </c>
      <c r="C297" s="360" t="s">
        <v>2555</v>
      </c>
      <c r="D297" s="368"/>
      <c r="E297" s="407">
        <f t="shared" si="4"/>
        <v>222000</v>
      </c>
      <c r="F297" s="399">
        <f>250000-28000</f>
        <v>222000</v>
      </c>
      <c r="G297" s="485"/>
      <c r="H297" s="415">
        <v>250000</v>
      </c>
    </row>
    <row r="298" spans="1:8" ht="25.5">
      <c r="A298" s="412" t="s">
        <v>1975</v>
      </c>
      <c r="B298" s="357" t="s">
        <v>650</v>
      </c>
      <c r="C298" s="357" t="s">
        <v>1496</v>
      </c>
      <c r="D298" s="367"/>
      <c r="E298" s="408"/>
      <c r="F298" s="377"/>
      <c r="G298" s="377"/>
      <c r="H298" s="413"/>
    </row>
    <row r="299" spans="1:8" ht="24">
      <c r="A299" s="414" t="s">
        <v>1978</v>
      </c>
      <c r="B299" s="359" t="s">
        <v>2556</v>
      </c>
      <c r="C299" s="360" t="s">
        <v>2557</v>
      </c>
      <c r="D299" s="368"/>
      <c r="E299" s="407">
        <f t="shared" si="4"/>
        <v>22000</v>
      </c>
      <c r="F299" s="399">
        <f>25000-3000</f>
        <v>22000</v>
      </c>
      <c r="G299" s="485"/>
      <c r="H299" s="415">
        <v>40000</v>
      </c>
    </row>
    <row r="300" spans="1:8">
      <c r="A300" s="412" t="s">
        <v>1973</v>
      </c>
      <c r="B300" s="357" t="s">
        <v>651</v>
      </c>
      <c r="C300" s="357" t="s">
        <v>2558</v>
      </c>
      <c r="D300" s="367"/>
      <c r="E300" s="408"/>
      <c r="F300" s="377"/>
      <c r="G300" s="377"/>
      <c r="H300" s="413"/>
    </row>
    <row r="301" spans="1:8" ht="25.5">
      <c r="A301" s="412" t="s">
        <v>1975</v>
      </c>
      <c r="B301" s="357" t="s">
        <v>652</v>
      </c>
      <c r="C301" s="357" t="s">
        <v>1498</v>
      </c>
      <c r="D301" s="367" t="s">
        <v>1253</v>
      </c>
      <c r="E301" s="408"/>
      <c r="F301" s="377"/>
      <c r="G301" s="377"/>
      <c r="H301" s="413"/>
    </row>
    <row r="302" spans="1:8" ht="24">
      <c r="A302" s="414" t="s">
        <v>1978</v>
      </c>
      <c r="B302" s="359" t="s">
        <v>2559</v>
      </c>
      <c r="C302" s="360" t="s">
        <v>2560</v>
      </c>
      <c r="D302" s="368" t="s">
        <v>1253</v>
      </c>
      <c r="E302" s="407">
        <f t="shared" si="4"/>
        <v>0</v>
      </c>
      <c r="F302" s="399"/>
      <c r="G302" s="485"/>
      <c r="H302" s="416"/>
    </row>
    <row r="303" spans="1:8">
      <c r="A303" s="412" t="s">
        <v>1975</v>
      </c>
      <c r="B303" s="357" t="s">
        <v>653</v>
      </c>
      <c r="C303" s="357" t="s">
        <v>1499</v>
      </c>
      <c r="D303" s="367"/>
      <c r="E303" s="408"/>
      <c r="F303" s="377"/>
      <c r="G303" s="377"/>
      <c r="H303" s="413"/>
    </row>
    <row r="304" spans="1:8" ht="24">
      <c r="A304" s="414" t="s">
        <v>1978</v>
      </c>
      <c r="B304" s="359" t="s">
        <v>2561</v>
      </c>
      <c r="C304" s="360" t="s">
        <v>2562</v>
      </c>
      <c r="D304" s="368"/>
      <c r="E304" s="407">
        <f t="shared" si="4"/>
        <v>0</v>
      </c>
      <c r="F304" s="399"/>
      <c r="G304" s="485"/>
      <c r="H304" s="416"/>
    </row>
    <row r="305" spans="1:9">
      <c r="A305" s="412" t="s">
        <v>1975</v>
      </c>
      <c r="B305" s="357" t="s">
        <v>654</v>
      </c>
      <c r="C305" s="357" t="s">
        <v>1500</v>
      </c>
      <c r="D305" s="367"/>
      <c r="E305" s="408"/>
      <c r="F305" s="377"/>
      <c r="G305" s="377"/>
      <c r="H305" s="413"/>
    </row>
    <row r="306" spans="1:9">
      <c r="A306" s="414" t="s">
        <v>1978</v>
      </c>
      <c r="B306" s="359" t="s">
        <v>2563</v>
      </c>
      <c r="C306" s="360" t="s">
        <v>2564</v>
      </c>
      <c r="D306" s="368"/>
      <c r="E306" s="407">
        <f t="shared" si="4"/>
        <v>338048</v>
      </c>
      <c r="F306" s="399">
        <v>338048</v>
      </c>
      <c r="G306" s="485"/>
      <c r="H306" s="415">
        <v>338048</v>
      </c>
    </row>
    <row r="307" spans="1:9">
      <c r="A307" s="412" t="s">
        <v>1975</v>
      </c>
      <c r="B307" s="357" t="s">
        <v>655</v>
      </c>
      <c r="C307" s="357" t="s">
        <v>1501</v>
      </c>
      <c r="D307" s="367"/>
      <c r="E307" s="408"/>
      <c r="F307" s="377"/>
      <c r="G307" s="377"/>
      <c r="H307" s="413"/>
    </row>
    <row r="308" spans="1:9">
      <c r="A308" s="414">
        <v>7</v>
      </c>
      <c r="B308" s="359" t="s">
        <v>2565</v>
      </c>
      <c r="C308" s="360" t="s">
        <v>656</v>
      </c>
      <c r="D308" s="368"/>
      <c r="E308" s="407">
        <f t="shared" si="4"/>
        <v>4244000</v>
      </c>
      <c r="F308" s="399">
        <f>4783000-539000</f>
        <v>4244000</v>
      </c>
      <c r="G308" s="485"/>
      <c r="H308" s="415">
        <v>4783000</v>
      </c>
    </row>
    <row r="309" spans="1:9">
      <c r="A309" s="414">
        <v>7</v>
      </c>
      <c r="B309" s="359" t="s">
        <v>2566</v>
      </c>
      <c r="C309" s="360" t="s">
        <v>657</v>
      </c>
      <c r="D309" s="368"/>
      <c r="E309" s="407">
        <f t="shared" si="4"/>
        <v>2689000</v>
      </c>
      <c r="F309" s="399">
        <f>3030000-341000</f>
        <v>2689000</v>
      </c>
      <c r="G309" s="485"/>
      <c r="H309" s="415">
        <v>3030000</v>
      </c>
    </row>
    <row r="310" spans="1:9">
      <c r="A310" s="414">
        <v>7</v>
      </c>
      <c r="B310" s="359" t="s">
        <v>2567</v>
      </c>
      <c r="C310" s="360" t="s">
        <v>658</v>
      </c>
      <c r="D310" s="368"/>
      <c r="E310" s="407">
        <f t="shared" si="4"/>
        <v>0</v>
      </c>
      <c r="F310" s="399"/>
      <c r="G310" s="485"/>
      <c r="H310" s="415"/>
    </row>
    <row r="311" spans="1:9">
      <c r="A311" s="414">
        <v>7</v>
      </c>
      <c r="B311" s="359" t="s">
        <v>2568</v>
      </c>
      <c r="C311" s="360" t="s">
        <v>659</v>
      </c>
      <c r="D311" s="368"/>
      <c r="E311" s="407">
        <f t="shared" si="4"/>
        <v>776000</v>
      </c>
      <c r="F311" s="399">
        <f>875000-99000</f>
        <v>776000</v>
      </c>
      <c r="G311" s="485"/>
      <c r="H311" s="415">
        <v>875000</v>
      </c>
    </row>
    <row r="312" spans="1:9" ht="25.5">
      <c r="A312" s="412" t="s">
        <v>1973</v>
      </c>
      <c r="B312" s="357" t="s">
        <v>660</v>
      </c>
      <c r="C312" s="357" t="s">
        <v>2569</v>
      </c>
      <c r="D312" s="367"/>
      <c r="E312" s="408"/>
      <c r="F312" s="377"/>
      <c r="G312" s="377"/>
      <c r="H312" s="413"/>
    </row>
    <row r="313" spans="1:9" s="252" customFormat="1" ht="25.5">
      <c r="A313" s="412" t="s">
        <v>1975</v>
      </c>
      <c r="B313" s="357" t="s">
        <v>661</v>
      </c>
      <c r="C313" s="357" t="s">
        <v>1503</v>
      </c>
      <c r="D313" s="367"/>
      <c r="E313" s="408"/>
      <c r="F313" s="377"/>
      <c r="G313" s="377"/>
      <c r="H313" s="413"/>
      <c r="I313" s="380"/>
    </row>
    <row r="314" spans="1:9">
      <c r="A314" s="412" t="s">
        <v>1978</v>
      </c>
      <c r="B314" s="357" t="s">
        <v>663</v>
      </c>
      <c r="C314" s="357" t="s">
        <v>2570</v>
      </c>
      <c r="D314" s="367" t="s">
        <v>1253</v>
      </c>
      <c r="E314" s="408"/>
      <c r="F314" s="377"/>
      <c r="G314" s="377"/>
      <c r="H314" s="413"/>
    </row>
    <row r="315" spans="1:9">
      <c r="A315" s="414" t="s">
        <v>2094</v>
      </c>
      <c r="B315" s="359" t="s">
        <v>2571</v>
      </c>
      <c r="C315" s="360" t="s">
        <v>662</v>
      </c>
      <c r="D315" s="368" t="s">
        <v>1253</v>
      </c>
      <c r="E315" s="407">
        <f t="shared" si="4"/>
        <v>0</v>
      </c>
      <c r="F315" s="399"/>
      <c r="G315" s="485"/>
      <c r="H315" s="416"/>
    </row>
    <row r="316" spans="1:9" ht="25.5">
      <c r="A316" s="412" t="s">
        <v>1978</v>
      </c>
      <c r="B316" s="357" t="s">
        <v>664</v>
      </c>
      <c r="C316" s="357" t="s">
        <v>1505</v>
      </c>
      <c r="D316" s="367" t="s">
        <v>1253</v>
      </c>
      <c r="E316" s="408"/>
      <c r="F316" s="377"/>
      <c r="G316" s="377"/>
      <c r="H316" s="413"/>
    </row>
    <row r="317" spans="1:9">
      <c r="A317" s="414" t="s">
        <v>2094</v>
      </c>
      <c r="B317" s="359" t="s">
        <v>2572</v>
      </c>
      <c r="C317" s="360" t="s">
        <v>2573</v>
      </c>
      <c r="D317" s="368" t="s">
        <v>1253</v>
      </c>
      <c r="E317" s="407">
        <f t="shared" si="4"/>
        <v>0</v>
      </c>
      <c r="F317" s="399"/>
      <c r="G317" s="485"/>
      <c r="H317" s="416"/>
    </row>
    <row r="318" spans="1:9" ht="25.5">
      <c r="A318" s="412" t="s">
        <v>1975</v>
      </c>
      <c r="B318" s="357" t="s">
        <v>665</v>
      </c>
      <c r="C318" s="357" t="s">
        <v>1506</v>
      </c>
      <c r="D318" s="367"/>
      <c r="E318" s="408"/>
      <c r="F318" s="377"/>
      <c r="G318" s="377"/>
      <c r="H318" s="413"/>
    </row>
    <row r="319" spans="1:9">
      <c r="A319" s="414">
        <v>7</v>
      </c>
      <c r="B319" s="359" t="s">
        <v>2574</v>
      </c>
      <c r="C319" s="360" t="s">
        <v>2575</v>
      </c>
      <c r="D319" s="368"/>
      <c r="E319" s="407">
        <f t="shared" si="4"/>
        <v>0</v>
      </c>
      <c r="F319" s="399"/>
      <c r="G319" s="485"/>
      <c r="H319" s="416"/>
    </row>
    <row r="320" spans="1:9" ht="24">
      <c r="A320" s="414">
        <v>7</v>
      </c>
      <c r="B320" s="359" t="s">
        <v>2576</v>
      </c>
      <c r="C320" s="360" t="s">
        <v>2577</v>
      </c>
      <c r="D320" s="368"/>
      <c r="E320" s="407">
        <f t="shared" si="4"/>
        <v>4812000</v>
      </c>
      <c r="F320" s="401">
        <f>5423000-611000</f>
        <v>4812000</v>
      </c>
      <c r="G320" s="485"/>
      <c r="H320" s="415">
        <v>5343000</v>
      </c>
    </row>
    <row r="321" spans="1:8" ht="24">
      <c r="A321" s="414">
        <v>7</v>
      </c>
      <c r="B321" s="359" t="s">
        <v>2578</v>
      </c>
      <c r="C321" s="360" t="s">
        <v>2579</v>
      </c>
      <c r="D321" s="368"/>
      <c r="E321" s="407">
        <f t="shared" si="4"/>
        <v>7498989</v>
      </c>
      <c r="F321" s="399">
        <f>9725000-2226011</f>
        <v>7498989</v>
      </c>
      <c r="G321" s="485"/>
      <c r="H321" s="415">
        <v>9002000</v>
      </c>
    </row>
    <row r="322" spans="1:8" ht="24">
      <c r="A322" s="414">
        <v>7</v>
      </c>
      <c r="B322" s="362" t="s">
        <v>2580</v>
      </c>
      <c r="C322" s="360" t="s">
        <v>669</v>
      </c>
      <c r="D322" s="368"/>
      <c r="E322" s="407">
        <f t="shared" si="4"/>
        <v>16605513</v>
      </c>
      <c r="F322" s="401">
        <f>2187000+220000+14469513-G322-271000</f>
        <v>1916000</v>
      </c>
      <c r="G322" s="485">
        <f>14469513+220000</f>
        <v>14689513</v>
      </c>
      <c r="H322" s="415">
        <v>2265000</v>
      </c>
    </row>
    <row r="323" spans="1:8" ht="38.25">
      <c r="A323" s="412" t="s">
        <v>1975</v>
      </c>
      <c r="B323" s="357" t="s">
        <v>670</v>
      </c>
      <c r="C323" s="357" t="s">
        <v>1507</v>
      </c>
      <c r="D323" s="367"/>
      <c r="E323" s="408"/>
      <c r="F323" s="377"/>
      <c r="G323" s="377"/>
      <c r="H323" s="413"/>
    </row>
    <row r="324" spans="1:8" ht="36">
      <c r="A324" s="414" t="s">
        <v>1978</v>
      </c>
      <c r="B324" s="359" t="s">
        <v>2581</v>
      </c>
      <c r="C324" s="360" t="s">
        <v>2582</v>
      </c>
      <c r="D324" s="368"/>
      <c r="E324" s="407">
        <f t="shared" si="4"/>
        <v>85233</v>
      </c>
      <c r="F324" s="399">
        <v>85233</v>
      </c>
      <c r="G324" s="485"/>
      <c r="H324" s="415">
        <v>85233</v>
      </c>
    </row>
    <row r="325" spans="1:8" ht="25.5">
      <c r="A325" s="412" t="s">
        <v>1975</v>
      </c>
      <c r="B325" s="357" t="s">
        <v>671</v>
      </c>
      <c r="C325" s="357" t="s">
        <v>1508</v>
      </c>
      <c r="D325" s="367"/>
      <c r="E325" s="408"/>
      <c r="F325" s="377"/>
      <c r="G325" s="377"/>
      <c r="H325" s="413"/>
    </row>
    <row r="326" spans="1:8" ht="36">
      <c r="A326" s="414" t="s">
        <v>1978</v>
      </c>
      <c r="B326" s="359" t="s">
        <v>2583</v>
      </c>
      <c r="C326" s="360" t="s">
        <v>2584</v>
      </c>
      <c r="D326" s="368"/>
      <c r="E326" s="407">
        <f t="shared" si="4"/>
        <v>44000</v>
      </c>
      <c r="F326" s="398">
        <f>50000-6000</f>
        <v>44000</v>
      </c>
      <c r="G326" s="485"/>
      <c r="H326" s="415">
        <v>50000</v>
      </c>
    </row>
    <row r="327" spans="1:8" ht="24">
      <c r="A327" s="419">
        <v>7</v>
      </c>
      <c r="B327" s="370" t="s">
        <v>2585</v>
      </c>
      <c r="C327" s="371" t="s">
        <v>567</v>
      </c>
      <c r="D327" s="372"/>
      <c r="E327" s="407">
        <f t="shared" si="4"/>
        <v>177000</v>
      </c>
      <c r="F327" s="399">
        <f>200000-23000</f>
        <v>177000</v>
      </c>
      <c r="G327" s="485"/>
      <c r="H327" s="420">
        <v>200000</v>
      </c>
    </row>
    <row r="328" spans="1:8" ht="24">
      <c r="A328" s="419">
        <v>7</v>
      </c>
      <c r="B328" s="369" t="s">
        <v>2586</v>
      </c>
      <c r="C328" s="371" t="s">
        <v>618</v>
      </c>
      <c r="D328" s="372"/>
      <c r="E328" s="407">
        <f t="shared" ref="E328:E391" si="5">F328+G328</f>
        <v>62000</v>
      </c>
      <c r="F328" s="399">
        <f>70000-8000</f>
        <v>62000</v>
      </c>
      <c r="G328" s="485"/>
      <c r="H328" s="418">
        <f>9904+59000</f>
        <v>68904</v>
      </c>
    </row>
    <row r="329" spans="1:8">
      <c r="A329" s="412" t="s">
        <v>1975</v>
      </c>
      <c r="B329" s="357" t="s">
        <v>672</v>
      </c>
      <c r="C329" s="357" t="s">
        <v>1509</v>
      </c>
      <c r="D329" s="367"/>
      <c r="E329" s="408"/>
      <c r="F329" s="377"/>
      <c r="G329" s="377"/>
      <c r="H329" s="413"/>
    </row>
    <row r="330" spans="1:8">
      <c r="A330" s="414" t="s">
        <v>1978</v>
      </c>
      <c r="B330" s="359" t="s">
        <v>2587</v>
      </c>
      <c r="C330" s="360" t="s">
        <v>673</v>
      </c>
      <c r="D330" s="368"/>
      <c r="E330" s="407">
        <f t="shared" si="5"/>
        <v>740000</v>
      </c>
      <c r="F330" s="401">
        <f>740000-G330</f>
        <v>0</v>
      </c>
      <c r="G330" s="485">
        <v>740000</v>
      </c>
      <c r="H330" s="415">
        <v>740000</v>
      </c>
    </row>
    <row r="331" spans="1:8">
      <c r="A331" s="414" t="s">
        <v>1978</v>
      </c>
      <c r="B331" s="359" t="s">
        <v>2588</v>
      </c>
      <c r="C331" s="360" t="s">
        <v>674</v>
      </c>
      <c r="D331" s="368"/>
      <c r="E331" s="407">
        <f t="shared" si="5"/>
        <v>808000</v>
      </c>
      <c r="F331" s="399">
        <f>910000-102000</f>
        <v>808000</v>
      </c>
      <c r="G331" s="485"/>
      <c r="H331" s="415">
        <v>910000</v>
      </c>
    </row>
    <row r="332" spans="1:8">
      <c r="A332" s="414" t="s">
        <v>1978</v>
      </c>
      <c r="B332" s="359" t="s">
        <v>2589</v>
      </c>
      <c r="C332" s="360" t="s">
        <v>666</v>
      </c>
      <c r="D332" s="368"/>
      <c r="E332" s="407">
        <f t="shared" si="5"/>
        <v>8901000</v>
      </c>
      <c r="F332" s="399">
        <f>10030000-1129000</f>
        <v>8901000</v>
      </c>
      <c r="G332" s="485"/>
      <c r="H332" s="415">
        <v>10022000</v>
      </c>
    </row>
    <row r="333" spans="1:8" ht="24">
      <c r="A333" s="414" t="s">
        <v>1978</v>
      </c>
      <c r="B333" s="359" t="s">
        <v>2590</v>
      </c>
      <c r="C333" s="360" t="s">
        <v>667</v>
      </c>
      <c r="D333" s="368"/>
      <c r="E333" s="407">
        <f t="shared" si="5"/>
        <v>5331000</v>
      </c>
      <c r="F333" s="401">
        <f>6005000-G333-674000</f>
        <v>5314000</v>
      </c>
      <c r="G333" s="485">
        <v>17000</v>
      </c>
      <c r="H333" s="415">
        <v>5380000</v>
      </c>
    </row>
    <row r="334" spans="1:8">
      <c r="A334" s="414" t="s">
        <v>1978</v>
      </c>
      <c r="B334" s="359" t="s">
        <v>2591</v>
      </c>
      <c r="C334" s="360" t="s">
        <v>668</v>
      </c>
      <c r="D334" s="368"/>
      <c r="E334" s="407">
        <f t="shared" si="5"/>
        <v>10675000</v>
      </c>
      <c r="F334" s="399">
        <f>10675000</f>
        <v>10675000</v>
      </c>
      <c r="G334" s="485"/>
      <c r="H334" s="415">
        <v>9506000</v>
      </c>
    </row>
    <row r="335" spans="1:8" ht="24">
      <c r="A335" s="414" t="s">
        <v>1978</v>
      </c>
      <c r="B335" s="359" t="s">
        <v>2592</v>
      </c>
      <c r="C335" s="360" t="s">
        <v>2593</v>
      </c>
      <c r="D335" s="368"/>
      <c r="E335" s="407">
        <f t="shared" si="5"/>
        <v>2413000</v>
      </c>
      <c r="F335" s="399">
        <f>3797000-244000-102000-32000-700000-306000</f>
        <v>2413000</v>
      </c>
      <c r="G335" s="485"/>
      <c r="H335" s="415">
        <f>3443000-H339</f>
        <v>2743000</v>
      </c>
    </row>
    <row r="336" spans="1:8">
      <c r="A336" s="414" t="s">
        <v>1978</v>
      </c>
      <c r="B336" s="359" t="s">
        <v>2594</v>
      </c>
      <c r="C336" s="360" t="s">
        <v>675</v>
      </c>
      <c r="D336" s="368"/>
      <c r="E336" s="407">
        <f t="shared" si="5"/>
        <v>0</v>
      </c>
      <c r="F336" s="399"/>
      <c r="G336" s="485"/>
      <c r="H336" s="415"/>
    </row>
    <row r="337" spans="1:8">
      <c r="A337" s="414" t="s">
        <v>1978</v>
      </c>
      <c r="B337" s="359" t="s">
        <v>2595</v>
      </c>
      <c r="C337" s="360" t="s">
        <v>676</v>
      </c>
      <c r="D337" s="368"/>
      <c r="E337" s="407">
        <f t="shared" si="5"/>
        <v>999000</v>
      </c>
      <c r="F337" s="399">
        <f>1092000-G337-93000</f>
        <v>465710</v>
      </c>
      <c r="G337" s="485">
        <f>270000+19550+152700+22609+68431</f>
        <v>533290</v>
      </c>
      <c r="H337" s="415">
        <v>1160000</v>
      </c>
    </row>
    <row r="338" spans="1:8">
      <c r="A338" s="412" t="s">
        <v>1975</v>
      </c>
      <c r="B338" s="357" t="s">
        <v>677</v>
      </c>
      <c r="C338" s="357" t="s">
        <v>1510</v>
      </c>
      <c r="D338" s="367"/>
      <c r="E338" s="408"/>
      <c r="F338" s="377"/>
      <c r="G338" s="377"/>
      <c r="H338" s="413"/>
    </row>
    <row r="339" spans="1:8" ht="24">
      <c r="A339" s="414" t="s">
        <v>1978</v>
      </c>
      <c r="B339" s="359" t="s">
        <v>2596</v>
      </c>
      <c r="C339" s="360" t="s">
        <v>2597</v>
      </c>
      <c r="D339" s="368"/>
      <c r="E339" s="407">
        <f t="shared" si="5"/>
        <v>621000</v>
      </c>
      <c r="F339" s="399">
        <f>700000-79000</f>
        <v>621000</v>
      </c>
      <c r="G339" s="485"/>
      <c r="H339" s="415">
        <v>700000</v>
      </c>
    </row>
    <row r="340" spans="1:8">
      <c r="A340" s="414" t="s">
        <v>1978</v>
      </c>
      <c r="B340" s="359" t="s">
        <v>2598</v>
      </c>
      <c r="C340" s="360" t="s">
        <v>678</v>
      </c>
      <c r="D340" s="368"/>
      <c r="E340" s="407">
        <f t="shared" si="5"/>
        <v>488000</v>
      </c>
      <c r="F340" s="399">
        <f>543000-G340-55000</f>
        <v>430125</v>
      </c>
      <c r="G340" s="485">
        <v>57875</v>
      </c>
      <c r="H340" s="415">
        <v>543000</v>
      </c>
    </row>
    <row r="341" spans="1:8" ht="25.5">
      <c r="A341" s="412" t="s">
        <v>1973</v>
      </c>
      <c r="B341" s="357" t="s">
        <v>679</v>
      </c>
      <c r="C341" s="357" t="s">
        <v>2599</v>
      </c>
      <c r="D341" s="367"/>
      <c r="E341" s="408"/>
      <c r="F341" s="377"/>
      <c r="G341" s="377"/>
      <c r="H341" s="413"/>
    </row>
    <row r="342" spans="1:8" ht="25.5">
      <c r="A342" s="412" t="s">
        <v>1975</v>
      </c>
      <c r="B342" s="357" t="s">
        <v>681</v>
      </c>
      <c r="C342" s="357" t="s">
        <v>2600</v>
      </c>
      <c r="D342" s="367"/>
      <c r="E342" s="408"/>
      <c r="F342" s="377"/>
      <c r="G342" s="377"/>
      <c r="H342" s="413"/>
    </row>
    <row r="343" spans="1:8" ht="24">
      <c r="A343" s="414" t="s">
        <v>1978</v>
      </c>
      <c r="B343" s="359" t="s">
        <v>2601</v>
      </c>
      <c r="C343" s="360" t="s">
        <v>680</v>
      </c>
      <c r="D343" s="368"/>
      <c r="E343" s="407">
        <f t="shared" si="5"/>
        <v>458000</v>
      </c>
      <c r="F343" s="399">
        <v>458000</v>
      </c>
      <c r="G343" s="485"/>
      <c r="H343" s="415">
        <v>458000</v>
      </c>
    </row>
    <row r="344" spans="1:8" ht="25.5">
      <c r="A344" s="412" t="s">
        <v>1975</v>
      </c>
      <c r="B344" s="357" t="s">
        <v>683</v>
      </c>
      <c r="C344" s="357" t="s">
        <v>2602</v>
      </c>
      <c r="D344" s="367"/>
      <c r="E344" s="408"/>
      <c r="F344" s="377"/>
      <c r="G344" s="377"/>
      <c r="H344" s="413"/>
    </row>
    <row r="345" spans="1:8" ht="24">
      <c r="A345" s="414" t="s">
        <v>1978</v>
      </c>
      <c r="B345" s="359" t="s">
        <v>2603</v>
      </c>
      <c r="C345" s="360" t="s">
        <v>682</v>
      </c>
      <c r="D345" s="368"/>
      <c r="E345" s="407">
        <f t="shared" si="5"/>
        <v>4387000</v>
      </c>
      <c r="F345" s="399">
        <v>4387000</v>
      </c>
      <c r="G345" s="485"/>
      <c r="H345" s="415">
        <v>4387000</v>
      </c>
    </row>
    <row r="346" spans="1:8" ht="25.5">
      <c r="A346" s="412" t="s">
        <v>1975</v>
      </c>
      <c r="B346" s="357" t="s">
        <v>685</v>
      </c>
      <c r="C346" s="357" t="s">
        <v>2604</v>
      </c>
      <c r="D346" s="367"/>
      <c r="E346" s="408"/>
      <c r="F346" s="377"/>
      <c r="G346" s="377"/>
      <c r="H346" s="413"/>
    </row>
    <row r="347" spans="1:8" ht="24">
      <c r="A347" s="414" t="s">
        <v>1978</v>
      </c>
      <c r="B347" s="359" t="s">
        <v>2605</v>
      </c>
      <c r="C347" s="360" t="s">
        <v>684</v>
      </c>
      <c r="D347" s="368"/>
      <c r="E347" s="407">
        <f t="shared" si="5"/>
        <v>0</v>
      </c>
      <c r="F347" s="399"/>
      <c r="G347" s="485"/>
      <c r="H347" s="416"/>
    </row>
    <row r="348" spans="1:8" ht="38.25">
      <c r="A348" s="412" t="s">
        <v>1975</v>
      </c>
      <c r="B348" s="357" t="s">
        <v>686</v>
      </c>
      <c r="C348" s="357" t="s">
        <v>2606</v>
      </c>
      <c r="D348" s="367"/>
      <c r="E348" s="408"/>
      <c r="F348" s="377"/>
      <c r="G348" s="377"/>
      <c r="H348" s="413"/>
    </row>
    <row r="349" spans="1:8" ht="24">
      <c r="A349" s="414" t="s">
        <v>1978</v>
      </c>
      <c r="B349" s="359" t="s">
        <v>2607</v>
      </c>
      <c r="C349" s="360" t="s">
        <v>687</v>
      </c>
      <c r="D349" s="368"/>
      <c r="E349" s="407">
        <f t="shared" si="5"/>
        <v>409000</v>
      </c>
      <c r="F349" s="398">
        <v>409000</v>
      </c>
      <c r="G349" s="485"/>
      <c r="H349" s="415">
        <v>409000</v>
      </c>
    </row>
    <row r="350" spans="1:8" ht="24">
      <c r="A350" s="414" t="s">
        <v>1978</v>
      </c>
      <c r="B350" s="359" t="s">
        <v>2608</v>
      </c>
      <c r="C350" s="360" t="s">
        <v>688</v>
      </c>
      <c r="D350" s="368"/>
      <c r="E350" s="407">
        <f t="shared" si="5"/>
        <v>70000</v>
      </c>
      <c r="F350" s="398">
        <v>70000</v>
      </c>
      <c r="G350" s="485"/>
      <c r="H350" s="415">
        <v>70000</v>
      </c>
    </row>
    <row r="351" spans="1:8" ht="24">
      <c r="A351" s="414" t="s">
        <v>1978</v>
      </c>
      <c r="B351" s="359" t="s">
        <v>2609</v>
      </c>
      <c r="C351" s="360" t="s">
        <v>689</v>
      </c>
      <c r="D351" s="368"/>
      <c r="E351" s="407">
        <f t="shared" si="5"/>
        <v>0</v>
      </c>
      <c r="F351" s="399"/>
      <c r="G351" s="485"/>
      <c r="H351" s="416"/>
    </row>
    <row r="352" spans="1:8" ht="36">
      <c r="A352" s="414" t="s">
        <v>1978</v>
      </c>
      <c r="B352" s="359" t="s">
        <v>2610</v>
      </c>
      <c r="C352" s="360" t="s">
        <v>2611</v>
      </c>
      <c r="D352" s="368"/>
      <c r="E352" s="407">
        <f t="shared" si="5"/>
        <v>0</v>
      </c>
      <c r="F352" s="399"/>
      <c r="G352" s="485"/>
      <c r="H352" s="416"/>
    </row>
    <row r="353" spans="1:8" ht="51">
      <c r="A353" s="412" t="s">
        <v>1975</v>
      </c>
      <c r="B353" s="357" t="s">
        <v>690</v>
      </c>
      <c r="C353" s="357" t="s">
        <v>2612</v>
      </c>
      <c r="D353" s="367" t="s">
        <v>1253</v>
      </c>
      <c r="E353" s="408"/>
      <c r="F353" s="377"/>
      <c r="G353" s="377"/>
      <c r="H353" s="413"/>
    </row>
    <row r="354" spans="1:8" ht="24">
      <c r="A354" s="414" t="s">
        <v>1978</v>
      </c>
      <c r="B354" s="359" t="s">
        <v>2613</v>
      </c>
      <c r="C354" s="360" t="s">
        <v>2614</v>
      </c>
      <c r="D354" s="368" t="s">
        <v>1253</v>
      </c>
      <c r="E354" s="407">
        <f t="shared" si="5"/>
        <v>0</v>
      </c>
      <c r="F354" s="399"/>
      <c r="G354" s="485"/>
      <c r="H354" s="416"/>
    </row>
    <row r="355" spans="1:8" ht="36">
      <c r="A355" s="414" t="s">
        <v>1978</v>
      </c>
      <c r="B355" s="359" t="s">
        <v>2615</v>
      </c>
      <c r="C355" s="360" t="s">
        <v>2616</v>
      </c>
      <c r="D355" s="368" t="s">
        <v>1253</v>
      </c>
      <c r="E355" s="407">
        <f t="shared" si="5"/>
        <v>0</v>
      </c>
      <c r="F355" s="399"/>
      <c r="G355" s="485"/>
      <c r="H355" s="416"/>
    </row>
    <row r="356" spans="1:8" ht="24">
      <c r="A356" s="414" t="s">
        <v>1978</v>
      </c>
      <c r="B356" s="359" t="s">
        <v>2617</v>
      </c>
      <c r="C356" s="360" t="s">
        <v>2618</v>
      </c>
      <c r="D356" s="368" t="s">
        <v>1253</v>
      </c>
      <c r="E356" s="407">
        <f t="shared" si="5"/>
        <v>0</v>
      </c>
      <c r="F356" s="399"/>
      <c r="G356" s="485"/>
      <c r="H356" s="416"/>
    </row>
    <row r="357" spans="1:8" ht="36">
      <c r="A357" s="414" t="s">
        <v>1978</v>
      </c>
      <c r="B357" s="359" t="s">
        <v>2619</v>
      </c>
      <c r="C357" s="360" t="s">
        <v>2620</v>
      </c>
      <c r="D357" s="368" t="s">
        <v>1253</v>
      </c>
      <c r="E357" s="407">
        <f t="shared" si="5"/>
        <v>0</v>
      </c>
      <c r="F357" s="399"/>
      <c r="G357" s="485"/>
      <c r="H357" s="416"/>
    </row>
    <row r="358" spans="1:8" ht="25.5">
      <c r="A358" s="412" t="s">
        <v>1975</v>
      </c>
      <c r="B358" s="357" t="s">
        <v>691</v>
      </c>
      <c r="C358" s="357" t="s">
        <v>2621</v>
      </c>
      <c r="D358" s="367"/>
      <c r="E358" s="408"/>
      <c r="F358" s="377"/>
      <c r="G358" s="377"/>
      <c r="H358" s="413"/>
    </row>
    <row r="359" spans="1:8" ht="24">
      <c r="A359" s="414" t="s">
        <v>1978</v>
      </c>
      <c r="B359" s="359" t="s">
        <v>2622</v>
      </c>
      <c r="C359" s="360" t="s">
        <v>692</v>
      </c>
      <c r="D359" s="368"/>
      <c r="E359" s="407">
        <f t="shared" si="5"/>
        <v>7000</v>
      </c>
      <c r="F359" s="399">
        <v>7000</v>
      </c>
      <c r="G359" s="485"/>
      <c r="H359" s="415">
        <v>7000</v>
      </c>
    </row>
    <row r="360" spans="1:8" ht="24">
      <c r="A360" s="414" t="s">
        <v>1978</v>
      </c>
      <c r="B360" s="359" t="s">
        <v>2623</v>
      </c>
      <c r="C360" s="360" t="s">
        <v>2624</v>
      </c>
      <c r="D360" s="368"/>
      <c r="E360" s="407">
        <f t="shared" si="5"/>
        <v>3000</v>
      </c>
      <c r="F360" s="399">
        <v>3000</v>
      </c>
      <c r="G360" s="485"/>
      <c r="H360" s="415">
        <v>3000</v>
      </c>
    </row>
    <row r="361" spans="1:8" ht="24">
      <c r="A361" s="414" t="s">
        <v>1978</v>
      </c>
      <c r="B361" s="359" t="s">
        <v>2625</v>
      </c>
      <c r="C361" s="360" t="s">
        <v>2626</v>
      </c>
      <c r="D361" s="368"/>
      <c r="E361" s="407">
        <f t="shared" si="5"/>
        <v>12000</v>
      </c>
      <c r="F361" s="399">
        <v>12000</v>
      </c>
      <c r="G361" s="485"/>
      <c r="H361" s="415">
        <v>12000</v>
      </c>
    </row>
    <row r="362" spans="1:8" ht="24">
      <c r="A362" s="414" t="s">
        <v>1978</v>
      </c>
      <c r="B362" s="359" t="s">
        <v>2627</v>
      </c>
      <c r="C362" s="360" t="s">
        <v>693</v>
      </c>
      <c r="D362" s="368"/>
      <c r="E362" s="407">
        <f t="shared" si="5"/>
        <v>33000</v>
      </c>
      <c r="F362" s="399">
        <v>33000</v>
      </c>
      <c r="G362" s="485"/>
      <c r="H362" s="415">
        <v>33000</v>
      </c>
    </row>
    <row r="363" spans="1:8" ht="24">
      <c r="A363" s="414" t="s">
        <v>1978</v>
      </c>
      <c r="B363" s="359" t="s">
        <v>2628</v>
      </c>
      <c r="C363" s="360" t="s">
        <v>694</v>
      </c>
      <c r="D363" s="368"/>
      <c r="E363" s="407">
        <f t="shared" si="5"/>
        <v>0</v>
      </c>
      <c r="F363" s="399"/>
      <c r="G363" s="485"/>
      <c r="H363" s="415"/>
    </row>
    <row r="364" spans="1:8" ht="24">
      <c r="A364" s="414" t="s">
        <v>1978</v>
      </c>
      <c r="B364" s="359" t="s">
        <v>2629</v>
      </c>
      <c r="C364" s="360" t="s">
        <v>695</v>
      </c>
      <c r="D364" s="368"/>
      <c r="E364" s="407">
        <f t="shared" si="5"/>
        <v>35000</v>
      </c>
      <c r="F364" s="399">
        <v>35000</v>
      </c>
      <c r="G364" s="485"/>
      <c r="H364" s="415">
        <v>35000</v>
      </c>
    </row>
    <row r="365" spans="1:8" ht="24">
      <c r="A365" s="414" t="s">
        <v>1978</v>
      </c>
      <c r="B365" s="359" t="s">
        <v>2630</v>
      </c>
      <c r="C365" s="360" t="s">
        <v>2631</v>
      </c>
      <c r="D365" s="368"/>
      <c r="E365" s="407">
        <f t="shared" si="5"/>
        <v>1000</v>
      </c>
      <c r="F365" s="399">
        <v>1000</v>
      </c>
      <c r="G365" s="485"/>
      <c r="H365" s="415">
        <v>1000</v>
      </c>
    </row>
    <row r="366" spans="1:8">
      <c r="A366" s="414" t="s">
        <v>1978</v>
      </c>
      <c r="B366" s="359" t="s">
        <v>2632</v>
      </c>
      <c r="C366" s="360" t="s">
        <v>696</v>
      </c>
      <c r="D366" s="368"/>
      <c r="E366" s="407">
        <f t="shared" si="5"/>
        <v>380000</v>
      </c>
      <c r="F366" s="399">
        <v>380000</v>
      </c>
      <c r="G366" s="485"/>
      <c r="H366" s="415">
        <v>380000</v>
      </c>
    </row>
    <row r="367" spans="1:8">
      <c r="A367" s="414" t="s">
        <v>1978</v>
      </c>
      <c r="B367" s="359" t="s">
        <v>2633</v>
      </c>
      <c r="C367" s="360" t="s">
        <v>697</v>
      </c>
      <c r="D367" s="368"/>
      <c r="E367" s="407">
        <f t="shared" si="5"/>
        <v>361000</v>
      </c>
      <c r="F367" s="399">
        <v>361000</v>
      </c>
      <c r="G367" s="485"/>
      <c r="H367" s="415">
        <v>361000</v>
      </c>
    </row>
    <row r="368" spans="1:8" ht="24">
      <c r="A368" s="414" t="s">
        <v>1978</v>
      </c>
      <c r="B368" s="359" t="s">
        <v>2634</v>
      </c>
      <c r="C368" s="360" t="s">
        <v>2635</v>
      </c>
      <c r="D368" s="368"/>
      <c r="E368" s="407">
        <f t="shared" si="5"/>
        <v>0</v>
      </c>
      <c r="F368" s="399"/>
      <c r="G368" s="485"/>
      <c r="H368" s="416"/>
    </row>
    <row r="369" spans="1:8" ht="24">
      <c r="A369" s="414" t="s">
        <v>1978</v>
      </c>
      <c r="B369" s="359" t="s">
        <v>2636</v>
      </c>
      <c r="C369" s="360" t="s">
        <v>2637</v>
      </c>
      <c r="D369" s="368"/>
      <c r="E369" s="407">
        <f t="shared" si="5"/>
        <v>0</v>
      </c>
      <c r="F369" s="399"/>
      <c r="G369" s="485"/>
      <c r="H369" s="416"/>
    </row>
    <row r="370" spans="1:8" ht="38.25">
      <c r="A370" s="412" t="s">
        <v>1975</v>
      </c>
      <c r="B370" s="357" t="s">
        <v>698</v>
      </c>
      <c r="C370" s="357" t="s">
        <v>2638</v>
      </c>
      <c r="D370" s="367" t="s">
        <v>1253</v>
      </c>
      <c r="E370" s="408"/>
      <c r="F370" s="377"/>
      <c r="G370" s="377"/>
      <c r="H370" s="413"/>
    </row>
    <row r="371" spans="1:8" ht="24">
      <c r="A371" s="414" t="s">
        <v>1978</v>
      </c>
      <c r="B371" s="359" t="s">
        <v>2639</v>
      </c>
      <c r="C371" s="360" t="s">
        <v>2640</v>
      </c>
      <c r="D371" s="368" t="s">
        <v>1253</v>
      </c>
      <c r="E371" s="407">
        <f t="shared" si="5"/>
        <v>0</v>
      </c>
      <c r="F371" s="399"/>
      <c r="G371" s="485"/>
      <c r="H371" s="416"/>
    </row>
    <row r="372" spans="1:8" ht="24">
      <c r="A372" s="414" t="s">
        <v>1978</v>
      </c>
      <c r="B372" s="359" t="s">
        <v>2641</v>
      </c>
      <c r="C372" s="360" t="s">
        <v>2642</v>
      </c>
      <c r="D372" s="368" t="s">
        <v>1253</v>
      </c>
      <c r="E372" s="407">
        <f t="shared" si="5"/>
        <v>0</v>
      </c>
      <c r="F372" s="399"/>
      <c r="G372" s="485"/>
      <c r="H372" s="416"/>
    </row>
    <row r="373" spans="1:8" ht="24">
      <c r="A373" s="414" t="s">
        <v>1978</v>
      </c>
      <c r="B373" s="359" t="s">
        <v>2643</v>
      </c>
      <c r="C373" s="360" t="s">
        <v>2644</v>
      </c>
      <c r="D373" s="368" t="s">
        <v>1253</v>
      </c>
      <c r="E373" s="407">
        <f t="shared" si="5"/>
        <v>0</v>
      </c>
      <c r="F373" s="399"/>
      <c r="G373" s="485"/>
      <c r="H373" s="416"/>
    </row>
    <row r="374" spans="1:8" ht="24">
      <c r="A374" s="414" t="s">
        <v>1978</v>
      </c>
      <c r="B374" s="359" t="s">
        <v>2645</v>
      </c>
      <c r="C374" s="360" t="s">
        <v>2646</v>
      </c>
      <c r="D374" s="368" t="s">
        <v>1253</v>
      </c>
      <c r="E374" s="407">
        <f t="shared" si="5"/>
        <v>0</v>
      </c>
      <c r="F374" s="399"/>
      <c r="G374" s="485"/>
      <c r="H374" s="416"/>
    </row>
    <row r="375" spans="1:8" ht="24">
      <c r="A375" s="414" t="s">
        <v>1978</v>
      </c>
      <c r="B375" s="359" t="s">
        <v>2647</v>
      </c>
      <c r="C375" s="360" t="s">
        <v>2648</v>
      </c>
      <c r="D375" s="368" t="s">
        <v>1253</v>
      </c>
      <c r="E375" s="407">
        <f t="shared" si="5"/>
        <v>0</v>
      </c>
      <c r="F375" s="399"/>
      <c r="G375" s="485"/>
      <c r="H375" s="416"/>
    </row>
    <row r="376" spans="1:8" ht="24">
      <c r="A376" s="414" t="s">
        <v>1978</v>
      </c>
      <c r="B376" s="359" t="s">
        <v>2649</v>
      </c>
      <c r="C376" s="360" t="s">
        <v>2650</v>
      </c>
      <c r="D376" s="368" t="s">
        <v>1253</v>
      </c>
      <c r="E376" s="407">
        <f t="shared" si="5"/>
        <v>0</v>
      </c>
      <c r="F376" s="399"/>
      <c r="G376" s="485"/>
      <c r="H376" s="416"/>
    </row>
    <row r="377" spans="1:8" ht="24">
      <c r="A377" s="414" t="s">
        <v>1978</v>
      </c>
      <c r="B377" s="359" t="s">
        <v>2651</v>
      </c>
      <c r="C377" s="360" t="s">
        <v>2652</v>
      </c>
      <c r="D377" s="368" t="s">
        <v>1253</v>
      </c>
      <c r="E377" s="407">
        <f t="shared" si="5"/>
        <v>0</v>
      </c>
      <c r="F377" s="399"/>
      <c r="G377" s="485"/>
      <c r="H377" s="416"/>
    </row>
    <row r="378" spans="1:8" ht="36">
      <c r="A378" s="414" t="s">
        <v>1978</v>
      </c>
      <c r="B378" s="359" t="s">
        <v>2653</v>
      </c>
      <c r="C378" s="360" t="s">
        <v>2654</v>
      </c>
      <c r="D378" s="368" t="s">
        <v>1253</v>
      </c>
      <c r="E378" s="407">
        <f t="shared" si="5"/>
        <v>0</v>
      </c>
      <c r="F378" s="399"/>
      <c r="G378" s="485"/>
      <c r="H378" s="416"/>
    </row>
    <row r="379" spans="1:8" ht="36">
      <c r="A379" s="414" t="s">
        <v>1978</v>
      </c>
      <c r="B379" s="359" t="s">
        <v>2655</v>
      </c>
      <c r="C379" s="360" t="s">
        <v>2656</v>
      </c>
      <c r="D379" s="368" t="s">
        <v>1253</v>
      </c>
      <c r="E379" s="407">
        <f t="shared" si="5"/>
        <v>0</v>
      </c>
      <c r="F379" s="399"/>
      <c r="G379" s="485"/>
      <c r="H379" s="416"/>
    </row>
    <row r="380" spans="1:8">
      <c r="A380" s="412" t="s">
        <v>1973</v>
      </c>
      <c r="B380" s="357" t="s">
        <v>699</v>
      </c>
      <c r="C380" s="357" t="s">
        <v>2657</v>
      </c>
      <c r="D380" s="367"/>
      <c r="E380" s="408"/>
      <c r="F380" s="377"/>
      <c r="G380" s="377"/>
      <c r="H380" s="413"/>
    </row>
    <row r="381" spans="1:8">
      <c r="A381" s="412" t="s">
        <v>1975</v>
      </c>
      <c r="B381" s="357" t="s">
        <v>701</v>
      </c>
      <c r="C381" s="357" t="s">
        <v>2658</v>
      </c>
      <c r="D381" s="367"/>
      <c r="E381" s="408"/>
      <c r="F381" s="377"/>
      <c r="G381" s="377"/>
      <c r="H381" s="413"/>
    </row>
    <row r="382" spans="1:8">
      <c r="A382" s="414" t="s">
        <v>1978</v>
      </c>
      <c r="B382" s="359" t="s">
        <v>2659</v>
      </c>
      <c r="C382" s="360" t="s">
        <v>700</v>
      </c>
      <c r="D382" s="368"/>
      <c r="E382" s="407">
        <f t="shared" si="5"/>
        <v>208000</v>
      </c>
      <c r="F382" s="399">
        <f>234000-26000</f>
        <v>208000</v>
      </c>
      <c r="G382" s="485"/>
      <c r="H382" s="415">
        <v>234000</v>
      </c>
    </row>
    <row r="383" spans="1:8">
      <c r="A383" s="412" t="s">
        <v>1975</v>
      </c>
      <c r="B383" s="357" t="s">
        <v>703</v>
      </c>
      <c r="C383" s="357" t="s">
        <v>2660</v>
      </c>
      <c r="D383" s="367"/>
      <c r="E383" s="408"/>
      <c r="F383" s="377"/>
      <c r="G383" s="377"/>
      <c r="H383" s="413"/>
    </row>
    <row r="384" spans="1:8">
      <c r="A384" s="414" t="s">
        <v>1978</v>
      </c>
      <c r="B384" s="359" t="s">
        <v>2661</v>
      </c>
      <c r="C384" s="360" t="s">
        <v>702</v>
      </c>
      <c r="D384" s="368"/>
      <c r="E384" s="407">
        <f t="shared" si="5"/>
        <v>22000</v>
      </c>
      <c r="F384" s="399">
        <f>25000-3000</f>
        <v>22000</v>
      </c>
      <c r="G384" s="485"/>
      <c r="H384" s="415">
        <v>50000</v>
      </c>
    </row>
    <row r="385" spans="1:8" ht="25.5">
      <c r="A385" s="412" t="s">
        <v>1975</v>
      </c>
      <c r="B385" s="357" t="s">
        <v>705</v>
      </c>
      <c r="C385" s="357" t="s">
        <v>2662</v>
      </c>
      <c r="D385" s="367"/>
      <c r="E385" s="408"/>
      <c r="F385" s="377"/>
      <c r="G385" s="377"/>
      <c r="H385" s="413"/>
    </row>
    <row r="386" spans="1:8" ht="24">
      <c r="A386" s="414" t="s">
        <v>1978</v>
      </c>
      <c r="B386" s="359" t="s">
        <v>2663</v>
      </c>
      <c r="C386" s="360" t="s">
        <v>704</v>
      </c>
      <c r="D386" s="368"/>
      <c r="E386" s="407">
        <f t="shared" si="5"/>
        <v>0</v>
      </c>
      <c r="F386" s="399"/>
      <c r="G386" s="485"/>
      <c r="H386" s="416"/>
    </row>
    <row r="387" spans="1:8">
      <c r="A387" s="412" t="s">
        <v>1975</v>
      </c>
      <c r="B387" s="357" t="s">
        <v>707</v>
      </c>
      <c r="C387" s="357" t="s">
        <v>2664</v>
      </c>
      <c r="D387" s="367"/>
      <c r="E387" s="408"/>
      <c r="F387" s="377"/>
      <c r="G387" s="377"/>
      <c r="H387" s="413"/>
    </row>
    <row r="388" spans="1:8">
      <c r="A388" s="414" t="s">
        <v>1978</v>
      </c>
      <c r="B388" s="359" t="s">
        <v>2665</v>
      </c>
      <c r="C388" s="360" t="s">
        <v>706</v>
      </c>
      <c r="D388" s="368"/>
      <c r="E388" s="407">
        <f t="shared" si="5"/>
        <v>55000</v>
      </c>
      <c r="F388" s="399">
        <v>55000</v>
      </c>
      <c r="G388" s="485"/>
      <c r="H388" s="415">
        <v>72086</v>
      </c>
    </row>
    <row r="389" spans="1:8">
      <c r="A389" s="412" t="s">
        <v>1975</v>
      </c>
      <c r="B389" s="357" t="s">
        <v>709</v>
      </c>
      <c r="C389" s="357" t="s">
        <v>2666</v>
      </c>
      <c r="D389" s="367"/>
      <c r="E389" s="408"/>
      <c r="F389" s="377"/>
      <c r="G389" s="377"/>
      <c r="H389" s="413"/>
    </row>
    <row r="390" spans="1:8">
      <c r="A390" s="414" t="s">
        <v>1978</v>
      </c>
      <c r="B390" s="359" t="s">
        <v>2667</v>
      </c>
      <c r="C390" s="360" t="s">
        <v>710</v>
      </c>
      <c r="D390" s="368"/>
      <c r="E390" s="407">
        <f t="shared" si="5"/>
        <v>0</v>
      </c>
      <c r="F390" s="399"/>
      <c r="G390" s="485"/>
      <c r="H390" s="416"/>
    </row>
    <row r="391" spans="1:8">
      <c r="A391" s="414" t="s">
        <v>1978</v>
      </c>
      <c r="B391" s="359" t="s">
        <v>2668</v>
      </c>
      <c r="C391" s="360" t="s">
        <v>711</v>
      </c>
      <c r="D391" s="368"/>
      <c r="E391" s="407">
        <f t="shared" si="5"/>
        <v>9000</v>
      </c>
      <c r="F391" s="399">
        <f>10000-1000</f>
        <v>9000</v>
      </c>
      <c r="G391" s="485"/>
      <c r="H391" s="415">
        <v>10000</v>
      </c>
    </row>
    <row r="392" spans="1:8">
      <c r="A392" s="414" t="s">
        <v>1978</v>
      </c>
      <c r="B392" s="359" t="s">
        <v>2669</v>
      </c>
      <c r="C392" s="360" t="s">
        <v>712</v>
      </c>
      <c r="D392" s="368"/>
      <c r="E392" s="407">
        <f t="shared" ref="E392:E454" si="6">F392+G392</f>
        <v>62000</v>
      </c>
      <c r="F392" s="399">
        <f>70000-8000</f>
        <v>62000</v>
      </c>
      <c r="G392" s="485"/>
      <c r="H392" s="415">
        <v>70000</v>
      </c>
    </row>
    <row r="393" spans="1:8">
      <c r="A393" s="414" t="s">
        <v>1978</v>
      </c>
      <c r="B393" s="359" t="s">
        <v>2670</v>
      </c>
      <c r="C393" s="360" t="s">
        <v>713</v>
      </c>
      <c r="D393" s="368"/>
      <c r="E393" s="407">
        <f t="shared" si="6"/>
        <v>0</v>
      </c>
      <c r="F393" s="399"/>
      <c r="G393" s="485"/>
      <c r="H393" s="416"/>
    </row>
    <row r="394" spans="1:8">
      <c r="A394" s="414" t="s">
        <v>1978</v>
      </c>
      <c r="B394" s="359" t="s">
        <v>2671</v>
      </c>
      <c r="C394" s="360" t="s">
        <v>714</v>
      </c>
      <c r="D394" s="368"/>
      <c r="E394" s="407">
        <f t="shared" si="6"/>
        <v>133000</v>
      </c>
      <c r="F394" s="399">
        <f>150000-17000</f>
        <v>133000</v>
      </c>
      <c r="G394" s="485"/>
      <c r="H394" s="415">
        <v>250000</v>
      </c>
    </row>
    <row r="395" spans="1:8">
      <c r="A395" s="414" t="s">
        <v>1978</v>
      </c>
      <c r="B395" s="359" t="s">
        <v>2672</v>
      </c>
      <c r="C395" s="360" t="s">
        <v>715</v>
      </c>
      <c r="D395" s="368"/>
      <c r="E395" s="407">
        <f t="shared" si="6"/>
        <v>952000</v>
      </c>
      <c r="F395" s="399">
        <f>140000+640000+25000+244000+24000-121000</f>
        <v>952000</v>
      </c>
      <c r="G395" s="485"/>
      <c r="H395" s="415">
        <f>260000+788000+24000+10000</f>
        <v>1082000</v>
      </c>
    </row>
    <row r="396" spans="1:8">
      <c r="A396" s="414" t="s">
        <v>1978</v>
      </c>
      <c r="B396" s="359" t="s">
        <v>2673</v>
      </c>
      <c r="C396" s="360" t="s">
        <v>716</v>
      </c>
      <c r="D396" s="368"/>
      <c r="E396" s="407">
        <f t="shared" si="6"/>
        <v>773000</v>
      </c>
      <c r="F396" s="406">
        <f>20000+112000+30000+15000+678000+5000-G396-87000</f>
        <v>684769</v>
      </c>
      <c r="G396" s="485">
        <v>88231</v>
      </c>
      <c r="H396" s="415">
        <f>900000+7221+87000+83196+25000+27000+40000</f>
        <v>1169417</v>
      </c>
    </row>
    <row r="397" spans="1:8">
      <c r="A397" s="414" t="s">
        <v>1978</v>
      </c>
      <c r="B397" s="359" t="s">
        <v>2674</v>
      </c>
      <c r="C397" s="360" t="s">
        <v>717</v>
      </c>
      <c r="D397" s="368"/>
      <c r="E397" s="407">
        <f t="shared" si="6"/>
        <v>0</v>
      </c>
      <c r="F397" s="399"/>
      <c r="G397" s="485"/>
      <c r="H397" s="415"/>
    </row>
    <row r="398" spans="1:8">
      <c r="A398" s="414" t="s">
        <v>1978</v>
      </c>
      <c r="B398" s="359" t="s">
        <v>2675</v>
      </c>
      <c r="C398" s="360" t="s">
        <v>718</v>
      </c>
      <c r="D398" s="368"/>
      <c r="E398" s="407">
        <f t="shared" si="6"/>
        <v>640000</v>
      </c>
      <c r="F398" s="400">
        <v>640000</v>
      </c>
      <c r="G398" s="485"/>
      <c r="H398" s="418">
        <v>650000</v>
      </c>
    </row>
    <row r="399" spans="1:8">
      <c r="A399" s="414" t="s">
        <v>1978</v>
      </c>
      <c r="B399" s="359" t="s">
        <v>2676</v>
      </c>
      <c r="C399" s="360" t="s">
        <v>708</v>
      </c>
      <c r="D399" s="368"/>
      <c r="E399" s="407">
        <f t="shared" si="6"/>
        <v>461000</v>
      </c>
      <c r="F399" s="400">
        <f>500000+20000-59000</f>
        <v>461000</v>
      </c>
      <c r="G399" s="485"/>
      <c r="H399" s="418">
        <f>61000+2752437+947677+500000+20000</f>
        <v>4281114</v>
      </c>
    </row>
    <row r="400" spans="1:8" ht="25.5">
      <c r="A400" s="412" t="s">
        <v>1975</v>
      </c>
      <c r="B400" s="357" t="s">
        <v>719</v>
      </c>
      <c r="C400" s="357" t="s">
        <v>2677</v>
      </c>
      <c r="D400" s="367" t="s">
        <v>1253</v>
      </c>
      <c r="E400" s="408"/>
      <c r="F400" s="377"/>
      <c r="G400" s="377"/>
      <c r="H400" s="413"/>
    </row>
    <row r="401" spans="1:8">
      <c r="A401" s="414" t="s">
        <v>1978</v>
      </c>
      <c r="B401" s="359" t="s">
        <v>2678</v>
      </c>
      <c r="C401" s="360" t="s">
        <v>720</v>
      </c>
      <c r="D401" s="368" t="s">
        <v>1253</v>
      </c>
      <c r="E401" s="407">
        <f t="shared" si="6"/>
        <v>579612</v>
      </c>
      <c r="F401" s="398">
        <f>457000+36000+60612+16000+10000</f>
        <v>579612</v>
      </c>
      <c r="G401" s="485"/>
      <c r="H401" s="415">
        <f>457000+36000+60000+16000+10000</f>
        <v>579000</v>
      </c>
    </row>
    <row r="402" spans="1:8" ht="24">
      <c r="A402" s="414" t="s">
        <v>1978</v>
      </c>
      <c r="B402" s="359" t="s">
        <v>2679</v>
      </c>
      <c r="C402" s="360" t="s">
        <v>721</v>
      </c>
      <c r="D402" s="368" t="s">
        <v>1253</v>
      </c>
      <c r="E402" s="407">
        <f t="shared" si="6"/>
        <v>814478</v>
      </c>
      <c r="F402" s="399">
        <v>814478</v>
      </c>
      <c r="G402" s="485"/>
      <c r="H402" s="418">
        <f>404952+340000+53941+20000</f>
        <v>818893</v>
      </c>
    </row>
    <row r="403" spans="1:8">
      <c r="A403" s="412" t="s">
        <v>1975</v>
      </c>
      <c r="B403" s="357" t="s">
        <v>723</v>
      </c>
      <c r="C403" s="357" t="s">
        <v>1526</v>
      </c>
      <c r="D403" s="367" t="s">
        <v>1253</v>
      </c>
      <c r="E403" s="408"/>
      <c r="F403" s="377"/>
      <c r="G403" s="377"/>
      <c r="H403" s="413"/>
    </row>
    <row r="404" spans="1:8">
      <c r="A404" s="414" t="s">
        <v>1978</v>
      </c>
      <c r="B404" s="359" t="s">
        <v>2680</v>
      </c>
      <c r="C404" s="360" t="s">
        <v>722</v>
      </c>
      <c r="D404" s="368" t="s">
        <v>1253</v>
      </c>
      <c r="E404" s="407">
        <f t="shared" si="6"/>
        <v>0</v>
      </c>
      <c r="F404" s="399"/>
      <c r="G404" s="485"/>
      <c r="H404" s="416"/>
    </row>
    <row r="405" spans="1:8" ht="25.5">
      <c r="A405" s="412" t="s">
        <v>1973</v>
      </c>
      <c r="B405" s="357" t="s">
        <v>724</v>
      </c>
      <c r="C405" s="357" t="s">
        <v>2681</v>
      </c>
      <c r="D405" s="367"/>
      <c r="E405" s="408"/>
      <c r="F405" s="377"/>
      <c r="G405" s="377"/>
      <c r="H405" s="413"/>
    </row>
    <row r="406" spans="1:8" ht="25.5">
      <c r="A406" s="412" t="s">
        <v>1975</v>
      </c>
      <c r="B406" s="357" t="s">
        <v>726</v>
      </c>
      <c r="C406" s="357" t="s">
        <v>2682</v>
      </c>
      <c r="D406" s="367" t="s">
        <v>1253</v>
      </c>
      <c r="E406" s="408"/>
      <c r="F406" s="377"/>
      <c r="G406" s="377"/>
      <c r="H406" s="413"/>
    </row>
    <row r="407" spans="1:8" ht="24">
      <c r="A407" s="414" t="s">
        <v>1978</v>
      </c>
      <c r="B407" s="359" t="s">
        <v>2683</v>
      </c>
      <c r="C407" s="360" t="s">
        <v>725</v>
      </c>
      <c r="D407" s="368" t="s">
        <v>1253</v>
      </c>
      <c r="E407" s="407">
        <f t="shared" si="6"/>
        <v>52000</v>
      </c>
      <c r="F407" s="399">
        <v>52000</v>
      </c>
      <c r="G407" s="485"/>
      <c r="H407" s="415">
        <v>52380</v>
      </c>
    </row>
    <row r="408" spans="1:8" ht="25.5">
      <c r="A408" s="412" t="s">
        <v>1975</v>
      </c>
      <c r="B408" s="357" t="s">
        <v>728</v>
      </c>
      <c r="C408" s="357" t="s">
        <v>2684</v>
      </c>
      <c r="D408" s="367"/>
      <c r="E408" s="408"/>
      <c r="F408" s="377"/>
      <c r="G408" s="377"/>
      <c r="H408" s="413"/>
    </row>
    <row r="409" spans="1:8" ht="24">
      <c r="A409" s="414" t="s">
        <v>1978</v>
      </c>
      <c r="B409" s="359" t="s">
        <v>2685</v>
      </c>
      <c r="C409" s="360" t="s">
        <v>727</v>
      </c>
      <c r="D409" s="368"/>
      <c r="E409" s="407">
        <f t="shared" si="6"/>
        <v>0</v>
      </c>
      <c r="F409" s="399"/>
      <c r="G409" s="485"/>
      <c r="H409" s="416"/>
    </row>
    <row r="410" spans="1:8" ht="25.5">
      <c r="A410" s="412" t="s">
        <v>1975</v>
      </c>
      <c r="B410" s="357" t="s">
        <v>729</v>
      </c>
      <c r="C410" s="357" t="s">
        <v>2686</v>
      </c>
      <c r="D410" s="367"/>
      <c r="E410" s="408"/>
      <c r="F410" s="377"/>
      <c r="G410" s="377"/>
      <c r="H410" s="413"/>
    </row>
    <row r="411" spans="1:8" ht="25.5">
      <c r="A411" s="412" t="s">
        <v>1978</v>
      </c>
      <c r="B411" s="357" t="s">
        <v>731</v>
      </c>
      <c r="C411" s="357" t="s">
        <v>1531</v>
      </c>
      <c r="D411" s="367"/>
      <c r="E411" s="408"/>
      <c r="F411" s="377"/>
      <c r="G411" s="377"/>
      <c r="H411" s="413"/>
    </row>
    <row r="412" spans="1:8" ht="24">
      <c r="A412" s="414" t="s">
        <v>2094</v>
      </c>
      <c r="B412" s="359" t="s">
        <v>2687</v>
      </c>
      <c r="C412" s="360" t="s">
        <v>730</v>
      </c>
      <c r="D412" s="368"/>
      <c r="E412" s="407">
        <f t="shared" si="6"/>
        <v>3303900</v>
      </c>
      <c r="F412" s="401">
        <f>231760+263920+1919920+657900+230400</f>
        <v>3303900</v>
      </c>
      <c r="G412" s="485"/>
      <c r="H412" s="418">
        <f>1341242+658000+231414</f>
        <v>2230656</v>
      </c>
    </row>
    <row r="413" spans="1:8" ht="25.5">
      <c r="A413" s="412" t="s">
        <v>1978</v>
      </c>
      <c r="B413" s="357" t="s">
        <v>732</v>
      </c>
      <c r="C413" s="357" t="s">
        <v>1532</v>
      </c>
      <c r="D413" s="367"/>
      <c r="E413" s="408"/>
      <c r="F413" s="377"/>
      <c r="G413" s="377"/>
      <c r="H413" s="413"/>
    </row>
    <row r="414" spans="1:8" ht="24">
      <c r="A414" s="414" t="s">
        <v>2094</v>
      </c>
      <c r="B414" s="359" t="s">
        <v>2688</v>
      </c>
      <c r="C414" s="360" t="s">
        <v>733</v>
      </c>
      <c r="D414" s="368"/>
      <c r="E414" s="407">
        <f t="shared" si="6"/>
        <v>1327650</v>
      </c>
      <c r="F414" s="401">
        <f>65700+175950+787200+298800</f>
        <v>1327650</v>
      </c>
      <c r="G414" s="485"/>
      <c r="H414" s="418">
        <f>832217+250200</f>
        <v>1082417</v>
      </c>
    </row>
    <row r="415" spans="1:8">
      <c r="A415" s="414">
        <v>8</v>
      </c>
      <c r="B415" s="359" t="s">
        <v>2689</v>
      </c>
      <c r="C415" s="360" t="s">
        <v>734</v>
      </c>
      <c r="D415" s="368"/>
      <c r="E415" s="407">
        <f t="shared" si="6"/>
        <v>0</v>
      </c>
      <c r="F415" s="399"/>
      <c r="G415" s="485"/>
      <c r="H415" s="415"/>
    </row>
    <row r="416" spans="1:8" ht="24">
      <c r="A416" s="414">
        <v>8</v>
      </c>
      <c r="B416" s="359" t="s">
        <v>2690</v>
      </c>
      <c r="C416" s="360" t="s">
        <v>735</v>
      </c>
      <c r="D416" s="368"/>
      <c r="E416" s="407">
        <f t="shared" si="6"/>
        <v>0</v>
      </c>
      <c r="F416" s="399"/>
      <c r="G416" s="485"/>
      <c r="H416" s="416"/>
    </row>
    <row r="417" spans="1:8" ht="25.5">
      <c r="A417" s="412">
        <v>7</v>
      </c>
      <c r="B417" s="357" t="s">
        <v>736</v>
      </c>
      <c r="C417" s="357" t="s">
        <v>2691</v>
      </c>
      <c r="D417" s="367"/>
      <c r="E417" s="408"/>
      <c r="F417" s="377"/>
      <c r="G417" s="377"/>
      <c r="H417" s="413"/>
    </row>
    <row r="418" spans="1:8" ht="24">
      <c r="A418" s="414">
        <v>8</v>
      </c>
      <c r="B418" s="359" t="s">
        <v>2692</v>
      </c>
      <c r="C418" s="360" t="s">
        <v>737</v>
      </c>
      <c r="D418" s="368"/>
      <c r="E418" s="407">
        <f t="shared" si="6"/>
        <v>617358</v>
      </c>
      <c r="F418" s="401">
        <v>617358</v>
      </c>
      <c r="G418" s="485"/>
      <c r="H418" s="418">
        <f>17000+9000+55000+31000+240000+90000+130000</f>
        <v>572000</v>
      </c>
    </row>
    <row r="419" spans="1:8">
      <c r="A419" s="414">
        <v>8</v>
      </c>
      <c r="B419" s="359" t="s">
        <v>2693</v>
      </c>
      <c r="C419" s="360" t="s">
        <v>738</v>
      </c>
      <c r="D419" s="368"/>
      <c r="E419" s="407">
        <f t="shared" si="6"/>
        <v>855171</v>
      </c>
      <c r="F419" s="399">
        <f>1278878-419887-3820</f>
        <v>855171</v>
      </c>
      <c r="G419" s="485"/>
      <c r="H419" s="418">
        <f>29000+20000+110000+45000+4000+350000+46000+720000+46000+23000-57000</f>
        <v>1336000</v>
      </c>
    </row>
    <row r="420" spans="1:8">
      <c r="A420" s="414">
        <v>8</v>
      </c>
      <c r="B420" s="359" t="s">
        <v>2694</v>
      </c>
      <c r="C420" s="360" t="s">
        <v>739</v>
      </c>
      <c r="D420" s="368"/>
      <c r="E420" s="407">
        <f t="shared" si="6"/>
        <v>0</v>
      </c>
      <c r="F420" s="399"/>
      <c r="G420" s="485"/>
      <c r="H420" s="416"/>
    </row>
    <row r="421" spans="1:8">
      <c r="A421" s="414">
        <v>8</v>
      </c>
      <c r="B421" s="359" t="s">
        <v>2695</v>
      </c>
      <c r="C421" s="360" t="s">
        <v>740</v>
      </c>
      <c r="D421" s="368"/>
      <c r="E421" s="407">
        <f t="shared" si="6"/>
        <v>0</v>
      </c>
      <c r="F421" s="399"/>
      <c r="G421" s="485"/>
      <c r="H421" s="416"/>
    </row>
    <row r="422" spans="1:8" ht="25.5">
      <c r="A422" s="412" t="s">
        <v>1978</v>
      </c>
      <c r="B422" s="357" t="s">
        <v>741</v>
      </c>
      <c r="C422" s="357" t="s">
        <v>2696</v>
      </c>
      <c r="D422" s="367"/>
      <c r="E422" s="408"/>
      <c r="F422" s="377"/>
      <c r="G422" s="377"/>
      <c r="H422" s="413"/>
    </row>
    <row r="423" spans="1:8">
      <c r="A423" s="414">
        <v>8</v>
      </c>
      <c r="B423" s="359" t="s">
        <v>2697</v>
      </c>
      <c r="C423" s="360" t="s">
        <v>2698</v>
      </c>
      <c r="D423" s="368"/>
      <c r="E423" s="407">
        <f t="shared" si="6"/>
        <v>2023250</v>
      </c>
      <c r="F423" s="399">
        <v>2023250</v>
      </c>
      <c r="G423" s="485"/>
      <c r="H423" s="415">
        <v>2042272</v>
      </c>
    </row>
    <row r="424" spans="1:8">
      <c r="A424" s="414">
        <v>8</v>
      </c>
      <c r="B424" s="359" t="s">
        <v>2699</v>
      </c>
      <c r="C424" s="360" t="s">
        <v>1956</v>
      </c>
      <c r="D424" s="368"/>
      <c r="E424" s="407">
        <f t="shared" si="6"/>
        <v>1221017</v>
      </c>
      <c r="F424" s="399">
        <v>1221017</v>
      </c>
      <c r="G424" s="485"/>
      <c r="H424" s="415">
        <v>1221017</v>
      </c>
    </row>
    <row r="425" spans="1:8">
      <c r="A425" s="414">
        <v>8</v>
      </c>
      <c r="B425" s="359" t="s">
        <v>2700</v>
      </c>
      <c r="C425" s="360" t="s">
        <v>2701</v>
      </c>
      <c r="D425" s="368"/>
      <c r="E425" s="407">
        <f t="shared" si="6"/>
        <v>371654</v>
      </c>
      <c r="F425" s="399">
        <v>371654</v>
      </c>
      <c r="G425" s="485"/>
      <c r="H425" s="416">
        <v>371654</v>
      </c>
    </row>
    <row r="426" spans="1:8" ht="24">
      <c r="A426" s="414">
        <v>8</v>
      </c>
      <c r="B426" s="359" t="s">
        <v>2702</v>
      </c>
      <c r="C426" s="360" t="s">
        <v>2703</v>
      </c>
      <c r="D426" s="368"/>
      <c r="E426" s="407">
        <f t="shared" si="6"/>
        <v>76293</v>
      </c>
      <c r="F426" s="399">
        <v>76293</v>
      </c>
      <c r="G426" s="485"/>
      <c r="H426" s="416">
        <v>76294</v>
      </c>
    </row>
    <row r="427" spans="1:8">
      <c r="A427" s="414">
        <v>8</v>
      </c>
      <c r="B427" s="359" t="s">
        <v>2704</v>
      </c>
      <c r="C427" s="360" t="s">
        <v>2705</v>
      </c>
      <c r="D427" s="368"/>
      <c r="E427" s="407">
        <f t="shared" si="6"/>
        <v>0</v>
      </c>
      <c r="F427" s="399"/>
      <c r="G427" s="485"/>
      <c r="H427" s="416"/>
    </row>
    <row r="428" spans="1:8">
      <c r="A428" s="414">
        <v>8</v>
      </c>
      <c r="B428" s="359" t="s">
        <v>2706</v>
      </c>
      <c r="C428" s="360" t="s">
        <v>2707</v>
      </c>
      <c r="D428" s="368"/>
      <c r="E428" s="407">
        <f t="shared" si="6"/>
        <v>1454658</v>
      </c>
      <c r="F428" s="399">
        <v>1454658</v>
      </c>
      <c r="G428" s="485"/>
      <c r="H428" s="415">
        <v>1461609</v>
      </c>
    </row>
    <row r="429" spans="1:8">
      <c r="A429" s="412" t="s">
        <v>1978</v>
      </c>
      <c r="B429" s="357" t="s">
        <v>742</v>
      </c>
      <c r="C429" s="357" t="s">
        <v>2708</v>
      </c>
      <c r="D429" s="367"/>
      <c r="E429" s="408"/>
      <c r="F429" s="377"/>
      <c r="G429" s="377"/>
      <c r="H429" s="413"/>
    </row>
    <row r="430" spans="1:8">
      <c r="A430" s="414" t="s">
        <v>2094</v>
      </c>
      <c r="B430" s="359" t="s">
        <v>2709</v>
      </c>
      <c r="C430" s="360" t="s">
        <v>2710</v>
      </c>
      <c r="D430" s="368"/>
      <c r="E430" s="407">
        <f t="shared" si="6"/>
        <v>91314</v>
      </c>
      <c r="F430" s="399">
        <v>91314</v>
      </c>
      <c r="G430" s="485"/>
      <c r="H430" s="415">
        <v>234000</v>
      </c>
    </row>
    <row r="431" spans="1:8" ht="25.5">
      <c r="A431" s="412" t="s">
        <v>1978</v>
      </c>
      <c r="B431" s="357" t="s">
        <v>743</v>
      </c>
      <c r="C431" s="357" t="s">
        <v>2711</v>
      </c>
      <c r="D431" s="367"/>
      <c r="E431" s="408"/>
      <c r="F431" s="377"/>
      <c r="G431" s="377"/>
      <c r="H431" s="413"/>
    </row>
    <row r="432" spans="1:8">
      <c r="A432" s="414">
        <v>8</v>
      </c>
      <c r="B432" s="359" t="s">
        <v>2712</v>
      </c>
      <c r="C432" s="360" t="s">
        <v>744</v>
      </c>
      <c r="D432" s="368"/>
      <c r="E432" s="407">
        <f t="shared" si="6"/>
        <v>0</v>
      </c>
      <c r="F432" s="399"/>
      <c r="G432" s="485"/>
      <c r="H432" s="416"/>
    </row>
    <row r="433" spans="1:8">
      <c r="A433" s="414">
        <v>8</v>
      </c>
      <c r="B433" s="359" t="s">
        <v>2713</v>
      </c>
      <c r="C433" s="360" t="s">
        <v>745</v>
      </c>
      <c r="D433" s="368"/>
      <c r="E433" s="407">
        <f t="shared" si="6"/>
        <v>28000</v>
      </c>
      <c r="F433" s="399">
        <f>15000+5000+8000</f>
        <v>28000</v>
      </c>
      <c r="G433" s="485"/>
      <c r="H433" s="418">
        <f>5000+57000+67000+12000+26000+44000+3000+7000+20000</f>
        <v>241000</v>
      </c>
    </row>
    <row r="434" spans="1:8">
      <c r="A434" s="414">
        <v>8</v>
      </c>
      <c r="B434" s="359" t="s">
        <v>2714</v>
      </c>
      <c r="C434" s="360" t="s">
        <v>746</v>
      </c>
      <c r="D434" s="368"/>
      <c r="E434" s="407">
        <f t="shared" si="6"/>
        <v>0</v>
      </c>
      <c r="F434" s="399"/>
      <c r="G434" s="485"/>
      <c r="H434" s="416"/>
    </row>
    <row r="435" spans="1:8">
      <c r="A435" s="414">
        <v>8</v>
      </c>
      <c r="B435" s="359" t="s">
        <v>2715</v>
      </c>
      <c r="C435" s="360" t="s">
        <v>747</v>
      </c>
      <c r="D435" s="368"/>
      <c r="E435" s="407">
        <f t="shared" si="6"/>
        <v>0</v>
      </c>
      <c r="F435" s="399"/>
      <c r="G435" s="485"/>
      <c r="H435" s="416"/>
    </row>
    <row r="436" spans="1:8">
      <c r="A436" s="414">
        <v>8</v>
      </c>
      <c r="B436" s="359" t="s">
        <v>2716</v>
      </c>
      <c r="C436" s="360" t="s">
        <v>748</v>
      </c>
      <c r="D436" s="368"/>
      <c r="E436" s="407">
        <f t="shared" si="6"/>
        <v>177000</v>
      </c>
      <c r="F436" s="399">
        <f>200000-23000</f>
        <v>177000</v>
      </c>
      <c r="G436" s="485"/>
      <c r="H436" s="415">
        <v>200000</v>
      </c>
    </row>
    <row r="437" spans="1:8">
      <c r="A437" s="414">
        <v>8</v>
      </c>
      <c r="B437" s="359" t="s">
        <v>2717</v>
      </c>
      <c r="C437" s="360" t="s">
        <v>749</v>
      </c>
      <c r="D437" s="368"/>
      <c r="E437" s="407">
        <f t="shared" si="6"/>
        <v>426000</v>
      </c>
      <c r="F437" s="399">
        <v>426000</v>
      </c>
      <c r="G437" s="485"/>
      <c r="H437" s="415">
        <v>532000</v>
      </c>
    </row>
    <row r="438" spans="1:8">
      <c r="A438" s="414">
        <v>8</v>
      </c>
      <c r="B438" s="359" t="s">
        <v>2718</v>
      </c>
      <c r="C438" s="360" t="s">
        <v>750</v>
      </c>
      <c r="D438" s="368"/>
      <c r="E438" s="407">
        <f t="shared" si="6"/>
        <v>0</v>
      </c>
      <c r="F438" s="399"/>
      <c r="G438" s="485"/>
      <c r="H438" s="416"/>
    </row>
    <row r="439" spans="1:8">
      <c r="A439" s="414">
        <v>8</v>
      </c>
      <c r="B439" s="359" t="s">
        <v>2719</v>
      </c>
      <c r="C439" s="360" t="s">
        <v>751</v>
      </c>
      <c r="D439" s="368"/>
      <c r="E439" s="407">
        <f t="shared" si="6"/>
        <v>0</v>
      </c>
      <c r="F439" s="399"/>
      <c r="G439" s="485"/>
      <c r="H439" s="416"/>
    </row>
    <row r="440" spans="1:8" ht="24">
      <c r="A440" s="414">
        <v>8</v>
      </c>
      <c r="B440" s="359" t="s">
        <v>2720</v>
      </c>
      <c r="C440" s="360" t="s">
        <v>2721</v>
      </c>
      <c r="D440" s="368"/>
      <c r="E440" s="407">
        <f t="shared" si="6"/>
        <v>0</v>
      </c>
      <c r="F440" s="399"/>
      <c r="G440" s="485"/>
      <c r="H440" s="416"/>
    </row>
    <row r="441" spans="1:8" ht="25.5">
      <c r="A441" s="412" t="s">
        <v>1975</v>
      </c>
      <c r="B441" s="357" t="s">
        <v>752</v>
      </c>
      <c r="C441" s="357" t="s">
        <v>1537</v>
      </c>
      <c r="D441" s="367"/>
      <c r="E441" s="408"/>
      <c r="F441" s="377"/>
      <c r="G441" s="377"/>
      <c r="H441" s="413"/>
    </row>
    <row r="442" spans="1:8" ht="25.5">
      <c r="A442" s="412" t="s">
        <v>1978</v>
      </c>
      <c r="B442" s="357" t="s">
        <v>754</v>
      </c>
      <c r="C442" s="357" t="s">
        <v>1538</v>
      </c>
      <c r="D442" s="367" t="s">
        <v>1253</v>
      </c>
      <c r="E442" s="408"/>
      <c r="F442" s="377"/>
      <c r="G442" s="377"/>
      <c r="H442" s="413"/>
    </row>
    <row r="443" spans="1:8" ht="24">
      <c r="A443" s="414" t="s">
        <v>2094</v>
      </c>
      <c r="B443" s="359" t="s">
        <v>2722</v>
      </c>
      <c r="C443" s="360" t="s">
        <v>753</v>
      </c>
      <c r="D443" s="368" t="s">
        <v>1253</v>
      </c>
      <c r="E443" s="407">
        <f t="shared" si="6"/>
        <v>32000</v>
      </c>
      <c r="F443" s="399">
        <v>32000</v>
      </c>
      <c r="G443" s="485"/>
      <c r="H443" s="415">
        <v>40610</v>
      </c>
    </row>
    <row r="444" spans="1:8" ht="25.5">
      <c r="A444" s="412" t="s">
        <v>1978</v>
      </c>
      <c r="B444" s="357" t="s">
        <v>756</v>
      </c>
      <c r="C444" s="357" t="s">
        <v>1539</v>
      </c>
      <c r="D444" s="367"/>
      <c r="E444" s="408"/>
      <c r="F444" s="377"/>
      <c r="G444" s="377"/>
      <c r="H444" s="413"/>
    </row>
    <row r="445" spans="1:8" ht="24">
      <c r="A445" s="414" t="s">
        <v>2094</v>
      </c>
      <c r="B445" s="359" t="s">
        <v>2723</v>
      </c>
      <c r="C445" s="360" t="s">
        <v>755</v>
      </c>
      <c r="D445" s="368"/>
      <c r="E445" s="407">
        <f t="shared" si="6"/>
        <v>0</v>
      </c>
      <c r="F445" s="399"/>
      <c r="G445" s="485"/>
      <c r="H445" s="416"/>
    </row>
    <row r="446" spans="1:8" ht="25.5">
      <c r="A446" s="412" t="s">
        <v>1978</v>
      </c>
      <c r="B446" s="357" t="s">
        <v>758</v>
      </c>
      <c r="C446" s="357" t="s">
        <v>1540</v>
      </c>
      <c r="D446" s="367"/>
      <c r="E446" s="408"/>
      <c r="F446" s="377"/>
      <c r="G446" s="377"/>
      <c r="H446" s="413"/>
    </row>
    <row r="447" spans="1:8" ht="24">
      <c r="A447" s="414" t="s">
        <v>2094</v>
      </c>
      <c r="B447" s="359" t="s">
        <v>2724</v>
      </c>
      <c r="C447" s="360" t="s">
        <v>757</v>
      </c>
      <c r="D447" s="368"/>
      <c r="E447" s="407">
        <f t="shared" si="6"/>
        <v>31000</v>
      </c>
      <c r="F447" s="399">
        <f>35000-4000</f>
        <v>31000</v>
      </c>
      <c r="G447" s="485"/>
      <c r="H447" s="418">
        <v>33000</v>
      </c>
    </row>
    <row r="448" spans="1:8" ht="25.5">
      <c r="A448" s="412" t="s">
        <v>1973</v>
      </c>
      <c r="B448" s="357" t="s">
        <v>759</v>
      </c>
      <c r="C448" s="357" t="s">
        <v>1541</v>
      </c>
      <c r="D448" s="367"/>
      <c r="E448" s="408"/>
      <c r="F448" s="377"/>
      <c r="G448" s="377"/>
      <c r="H448" s="413"/>
    </row>
    <row r="449" spans="1:8" ht="38.25">
      <c r="A449" s="412" t="s">
        <v>1975</v>
      </c>
      <c r="B449" s="357" t="s">
        <v>761</v>
      </c>
      <c r="C449" s="357" t="s">
        <v>2725</v>
      </c>
      <c r="D449" s="367" t="s">
        <v>1253</v>
      </c>
      <c r="E449" s="408"/>
      <c r="F449" s="377"/>
      <c r="G449" s="377"/>
      <c r="H449" s="413"/>
    </row>
    <row r="450" spans="1:8" ht="24">
      <c r="A450" s="414" t="s">
        <v>1978</v>
      </c>
      <c r="B450" s="359" t="s">
        <v>2726</v>
      </c>
      <c r="C450" s="360" t="s">
        <v>760</v>
      </c>
      <c r="D450" s="368" t="s">
        <v>1253</v>
      </c>
      <c r="E450" s="407">
        <f t="shared" si="6"/>
        <v>127175</v>
      </c>
      <c r="F450" s="399">
        <v>127175</v>
      </c>
      <c r="G450" s="485"/>
      <c r="H450" s="415">
        <v>127368</v>
      </c>
    </row>
    <row r="451" spans="1:8" ht="25.5">
      <c r="A451" s="412" t="s">
        <v>1975</v>
      </c>
      <c r="B451" s="357" t="s">
        <v>763</v>
      </c>
      <c r="C451" s="357" t="s">
        <v>2727</v>
      </c>
      <c r="D451" s="367"/>
      <c r="E451" s="408"/>
      <c r="F451" s="377"/>
      <c r="G451" s="377"/>
      <c r="H451" s="413"/>
    </row>
    <row r="452" spans="1:8" ht="24">
      <c r="A452" s="414" t="s">
        <v>1978</v>
      </c>
      <c r="B452" s="359" t="s">
        <v>2728</v>
      </c>
      <c r="C452" s="360" t="s">
        <v>762</v>
      </c>
      <c r="D452" s="368"/>
      <c r="E452" s="407">
        <f t="shared" si="6"/>
        <v>0</v>
      </c>
      <c r="F452" s="399"/>
      <c r="G452" s="485"/>
      <c r="H452" s="416"/>
    </row>
    <row r="453" spans="1:8" ht="25.5">
      <c r="A453" s="412" t="s">
        <v>1975</v>
      </c>
      <c r="B453" s="357" t="s">
        <v>765</v>
      </c>
      <c r="C453" s="357" t="s">
        <v>1544</v>
      </c>
      <c r="D453" s="367"/>
      <c r="E453" s="408"/>
      <c r="F453" s="377"/>
      <c r="G453" s="377"/>
      <c r="H453" s="413"/>
    </row>
    <row r="454" spans="1:8" ht="24">
      <c r="A454" s="414" t="s">
        <v>1978</v>
      </c>
      <c r="B454" s="359" t="s">
        <v>2729</v>
      </c>
      <c r="C454" s="360" t="s">
        <v>764</v>
      </c>
      <c r="D454" s="368"/>
      <c r="E454" s="407">
        <f t="shared" si="6"/>
        <v>0</v>
      </c>
      <c r="F454" s="399"/>
      <c r="G454" s="485"/>
      <c r="H454" s="416"/>
    </row>
    <row r="455" spans="1:8">
      <c r="A455" s="412" t="s">
        <v>1975</v>
      </c>
      <c r="B455" s="357" t="s">
        <v>767</v>
      </c>
      <c r="C455" s="357" t="s">
        <v>2730</v>
      </c>
      <c r="D455" s="367"/>
      <c r="E455" s="408"/>
      <c r="F455" s="377"/>
      <c r="G455" s="377"/>
      <c r="H455" s="413"/>
    </row>
    <row r="456" spans="1:8">
      <c r="A456" s="414">
        <v>7</v>
      </c>
      <c r="B456" s="359" t="s">
        <v>2731</v>
      </c>
      <c r="C456" s="360" t="s">
        <v>768</v>
      </c>
      <c r="D456" s="368"/>
      <c r="E456" s="407">
        <f t="shared" ref="E456:E519" si="7">F456+G456</f>
        <v>25000</v>
      </c>
      <c r="F456" s="399">
        <v>25000</v>
      </c>
      <c r="G456" s="485"/>
      <c r="H456" s="415">
        <v>25000</v>
      </c>
    </row>
    <row r="457" spans="1:8">
      <c r="A457" s="414">
        <v>7</v>
      </c>
      <c r="B457" s="359" t="s">
        <v>2732</v>
      </c>
      <c r="C457" s="360" t="s">
        <v>603</v>
      </c>
      <c r="D457" s="368"/>
      <c r="E457" s="407">
        <f t="shared" si="7"/>
        <v>3075000</v>
      </c>
      <c r="F457" s="399">
        <f>3465000-390000</f>
        <v>3075000</v>
      </c>
      <c r="G457" s="485"/>
      <c r="H457" s="415">
        <v>3465000</v>
      </c>
    </row>
    <row r="458" spans="1:8">
      <c r="A458" s="414">
        <v>7</v>
      </c>
      <c r="B458" s="359" t="s">
        <v>2733</v>
      </c>
      <c r="C458" s="360" t="s">
        <v>766</v>
      </c>
      <c r="D458" s="368"/>
      <c r="E458" s="407">
        <f t="shared" si="7"/>
        <v>4764000</v>
      </c>
      <c r="F458" s="401">
        <f>5368000-604000</f>
        <v>4764000</v>
      </c>
      <c r="G458" s="485"/>
      <c r="H458" s="415">
        <v>5368000</v>
      </c>
    </row>
    <row r="459" spans="1:8" ht="25.5">
      <c r="A459" s="412" t="s">
        <v>1975</v>
      </c>
      <c r="B459" s="357" t="s">
        <v>770</v>
      </c>
      <c r="C459" s="357" t="s">
        <v>2734</v>
      </c>
      <c r="D459" s="367"/>
      <c r="E459" s="408"/>
      <c r="F459" s="377"/>
      <c r="G459" s="377"/>
      <c r="H459" s="413"/>
    </row>
    <row r="460" spans="1:8">
      <c r="A460" s="414" t="s">
        <v>1978</v>
      </c>
      <c r="B460" s="359" t="s">
        <v>2735</v>
      </c>
      <c r="C460" s="360" t="s">
        <v>769</v>
      </c>
      <c r="D460" s="368"/>
      <c r="E460" s="407">
        <f t="shared" si="7"/>
        <v>1020915</v>
      </c>
      <c r="F460" s="399">
        <v>1020915</v>
      </c>
      <c r="G460" s="485"/>
      <c r="H460" s="415">
        <v>1020915</v>
      </c>
    </row>
    <row r="461" spans="1:8" ht="25.5">
      <c r="A461" s="412" t="s">
        <v>1975</v>
      </c>
      <c r="B461" s="357" t="s">
        <v>772</v>
      </c>
      <c r="C461" s="357" t="s">
        <v>1547</v>
      </c>
      <c r="D461" s="367" t="s">
        <v>1253</v>
      </c>
      <c r="E461" s="408"/>
      <c r="F461" s="377"/>
      <c r="G461" s="377"/>
      <c r="H461" s="413"/>
    </row>
    <row r="462" spans="1:8" ht="24">
      <c r="A462" s="414" t="s">
        <v>1978</v>
      </c>
      <c r="B462" s="359" t="s">
        <v>2736</v>
      </c>
      <c r="C462" s="360" t="s">
        <v>771</v>
      </c>
      <c r="D462" s="368" t="s">
        <v>1253</v>
      </c>
      <c r="E462" s="407">
        <f t="shared" si="7"/>
        <v>0</v>
      </c>
      <c r="F462" s="399"/>
      <c r="G462" s="485"/>
      <c r="H462" s="416"/>
    </row>
    <row r="463" spans="1:8" ht="25.5">
      <c r="A463" s="412" t="s">
        <v>1975</v>
      </c>
      <c r="B463" s="357" t="s">
        <v>774</v>
      </c>
      <c r="C463" s="357" t="s">
        <v>2737</v>
      </c>
      <c r="D463" s="367"/>
      <c r="E463" s="408"/>
      <c r="F463" s="377"/>
      <c r="G463" s="377"/>
      <c r="H463" s="413"/>
    </row>
    <row r="464" spans="1:8" ht="24">
      <c r="A464" s="414" t="s">
        <v>1978</v>
      </c>
      <c r="B464" s="359" t="s">
        <v>2738</v>
      </c>
      <c r="C464" s="360" t="s">
        <v>773</v>
      </c>
      <c r="D464" s="368"/>
      <c r="E464" s="407">
        <f t="shared" si="7"/>
        <v>0</v>
      </c>
      <c r="F464" s="399"/>
      <c r="G464" s="485"/>
      <c r="H464" s="416"/>
    </row>
    <row r="465" spans="1:8" ht="25.5">
      <c r="A465" s="412" t="s">
        <v>1973</v>
      </c>
      <c r="B465" s="357" t="s">
        <v>775</v>
      </c>
      <c r="C465" s="357" t="s">
        <v>1549</v>
      </c>
      <c r="D465" s="367"/>
      <c r="E465" s="408"/>
      <c r="F465" s="377"/>
      <c r="G465" s="377"/>
      <c r="H465" s="413"/>
    </row>
    <row r="466" spans="1:8">
      <c r="A466" s="414" t="s">
        <v>1975</v>
      </c>
      <c r="B466" s="359" t="s">
        <v>2739</v>
      </c>
      <c r="C466" s="360" t="s">
        <v>776</v>
      </c>
      <c r="D466" s="368"/>
      <c r="E466" s="407">
        <f t="shared" si="7"/>
        <v>0</v>
      </c>
      <c r="F466" s="399"/>
      <c r="G466" s="485"/>
      <c r="H466" s="416"/>
    </row>
    <row r="467" spans="1:8">
      <c r="A467" s="412" t="s">
        <v>1971</v>
      </c>
      <c r="B467" s="357" t="s">
        <v>777</v>
      </c>
      <c r="C467" s="357" t="s">
        <v>1550</v>
      </c>
      <c r="D467" s="367"/>
      <c r="E467" s="408"/>
      <c r="F467" s="377"/>
      <c r="G467" s="377"/>
      <c r="H467" s="413"/>
    </row>
    <row r="468" spans="1:8">
      <c r="A468" s="412" t="s">
        <v>1973</v>
      </c>
      <c r="B468" s="357" t="s">
        <v>778</v>
      </c>
      <c r="C468" s="357" t="s">
        <v>2740</v>
      </c>
      <c r="D468" s="367"/>
      <c r="E468" s="408"/>
      <c r="F468" s="377"/>
      <c r="G468" s="377"/>
      <c r="H468" s="413"/>
    </row>
    <row r="469" spans="1:8">
      <c r="A469" s="412" t="s">
        <v>1975</v>
      </c>
      <c r="B469" s="357" t="s">
        <v>780</v>
      </c>
      <c r="C469" s="357" t="s">
        <v>2741</v>
      </c>
      <c r="D469" s="367"/>
      <c r="E469" s="408"/>
      <c r="F469" s="377"/>
      <c r="G469" s="377"/>
      <c r="H469" s="413"/>
    </row>
    <row r="470" spans="1:8">
      <c r="A470" s="414" t="s">
        <v>1978</v>
      </c>
      <c r="B470" s="359" t="s">
        <v>2742</v>
      </c>
      <c r="C470" s="360" t="s">
        <v>779</v>
      </c>
      <c r="D470" s="368"/>
      <c r="E470" s="407">
        <f t="shared" si="7"/>
        <v>5844000</v>
      </c>
      <c r="F470" s="399">
        <f>6585000-741000</f>
        <v>5844000</v>
      </c>
      <c r="G470" s="485"/>
      <c r="H470" s="415">
        <v>6585000</v>
      </c>
    </row>
    <row r="471" spans="1:8">
      <c r="A471" s="412" t="s">
        <v>1975</v>
      </c>
      <c r="B471" s="357" t="s">
        <v>782</v>
      </c>
      <c r="C471" s="357" t="s">
        <v>2743</v>
      </c>
      <c r="D471" s="367"/>
      <c r="E471" s="408"/>
      <c r="F471" s="377"/>
      <c r="G471" s="377"/>
      <c r="H471" s="413"/>
    </row>
    <row r="472" spans="1:8">
      <c r="A472" s="414" t="s">
        <v>1978</v>
      </c>
      <c r="B472" s="359" t="s">
        <v>2744</v>
      </c>
      <c r="C472" s="360" t="s">
        <v>781</v>
      </c>
      <c r="D472" s="368"/>
      <c r="E472" s="407">
        <f t="shared" si="7"/>
        <v>10196000</v>
      </c>
      <c r="F472" s="399">
        <f>11490000-1294000</f>
        <v>10196000</v>
      </c>
      <c r="G472" s="485"/>
      <c r="H472" s="415">
        <v>11490000</v>
      </c>
    </row>
    <row r="473" spans="1:8">
      <c r="A473" s="412" t="s">
        <v>1975</v>
      </c>
      <c r="B473" s="357" t="s">
        <v>783</v>
      </c>
      <c r="C473" s="357" t="s">
        <v>2745</v>
      </c>
      <c r="D473" s="367"/>
      <c r="E473" s="408"/>
      <c r="F473" s="377"/>
      <c r="G473" s="377"/>
      <c r="H473" s="413"/>
    </row>
    <row r="474" spans="1:8">
      <c r="A474" s="412" t="s">
        <v>1978</v>
      </c>
      <c r="B474" s="357" t="s">
        <v>785</v>
      </c>
      <c r="C474" s="357" t="s">
        <v>1555</v>
      </c>
      <c r="D474" s="367"/>
      <c r="E474" s="408"/>
      <c r="F474" s="377"/>
      <c r="G474" s="377"/>
      <c r="H474" s="413"/>
    </row>
    <row r="475" spans="1:8">
      <c r="A475" s="414" t="s">
        <v>2094</v>
      </c>
      <c r="B475" s="359" t="s">
        <v>2746</v>
      </c>
      <c r="C475" s="360" t="s">
        <v>784</v>
      </c>
      <c r="D475" s="368"/>
      <c r="E475" s="407">
        <f t="shared" si="7"/>
        <v>1883000</v>
      </c>
      <c r="F475" s="399">
        <f>2122000-239000</f>
        <v>1883000</v>
      </c>
      <c r="G475" s="485"/>
      <c r="H475" s="415">
        <v>2122000</v>
      </c>
    </row>
    <row r="476" spans="1:8">
      <c r="A476" s="412" t="s">
        <v>1978</v>
      </c>
      <c r="B476" s="357" t="s">
        <v>787</v>
      </c>
      <c r="C476" s="357" t="s">
        <v>1556</v>
      </c>
      <c r="D476" s="367"/>
      <c r="E476" s="408"/>
      <c r="F476" s="377"/>
      <c r="G476" s="377"/>
      <c r="H476" s="413"/>
    </row>
    <row r="477" spans="1:8">
      <c r="A477" s="414" t="s">
        <v>2094</v>
      </c>
      <c r="B477" s="359" t="s">
        <v>2747</v>
      </c>
      <c r="C477" s="360" t="s">
        <v>786</v>
      </c>
      <c r="D477" s="368"/>
      <c r="E477" s="407">
        <f t="shared" si="7"/>
        <v>6388000</v>
      </c>
      <c r="F477" s="399">
        <f>7198000-810000</f>
        <v>6388000</v>
      </c>
      <c r="G477" s="485"/>
      <c r="H477" s="415">
        <v>7198000</v>
      </c>
    </row>
    <row r="478" spans="1:8">
      <c r="A478" s="412" t="s">
        <v>1975</v>
      </c>
      <c r="B478" s="357" t="s">
        <v>789</v>
      </c>
      <c r="C478" s="357" t="s">
        <v>2748</v>
      </c>
      <c r="D478" s="367"/>
      <c r="E478" s="408"/>
      <c r="F478" s="377"/>
      <c r="G478" s="377"/>
      <c r="H478" s="413"/>
    </row>
    <row r="479" spans="1:8">
      <c r="A479" s="414" t="s">
        <v>1978</v>
      </c>
      <c r="B479" s="359" t="s">
        <v>2749</v>
      </c>
      <c r="C479" s="360" t="s">
        <v>788</v>
      </c>
      <c r="D479" s="368"/>
      <c r="E479" s="407">
        <f t="shared" si="7"/>
        <v>12912000</v>
      </c>
      <c r="F479" s="400">
        <f>14550000-1638000</f>
        <v>12912000</v>
      </c>
      <c r="G479" s="485"/>
      <c r="H479" s="418">
        <f>7550000+7000000</f>
        <v>14550000</v>
      </c>
    </row>
    <row r="480" spans="1:8">
      <c r="A480" s="412" t="s">
        <v>1975</v>
      </c>
      <c r="B480" s="357" t="s">
        <v>790</v>
      </c>
      <c r="C480" s="357" t="s">
        <v>2750</v>
      </c>
      <c r="D480" s="367"/>
      <c r="E480" s="408"/>
      <c r="F480" s="377"/>
      <c r="G480" s="377"/>
      <c r="H480" s="413"/>
    </row>
    <row r="481" spans="1:8">
      <c r="A481" s="414" t="s">
        <v>1978</v>
      </c>
      <c r="B481" s="359" t="s">
        <v>2751</v>
      </c>
      <c r="C481" s="360" t="s">
        <v>791</v>
      </c>
      <c r="D481" s="368"/>
      <c r="E481" s="407">
        <f t="shared" si="7"/>
        <v>0</v>
      </c>
      <c r="F481" s="399"/>
      <c r="G481" s="485"/>
      <c r="H481" s="416"/>
    </row>
    <row r="482" spans="1:8">
      <c r="A482" s="414" t="s">
        <v>1978</v>
      </c>
      <c r="B482" s="359" t="s">
        <v>2752</v>
      </c>
      <c r="C482" s="360" t="s">
        <v>792</v>
      </c>
      <c r="D482" s="368"/>
      <c r="E482" s="407">
        <f t="shared" si="7"/>
        <v>102000</v>
      </c>
      <c r="F482" s="399">
        <f>115000-13000</f>
        <v>102000</v>
      </c>
      <c r="G482" s="485"/>
      <c r="H482" s="418">
        <v>112000</v>
      </c>
    </row>
    <row r="483" spans="1:8">
      <c r="A483" s="414" t="s">
        <v>1978</v>
      </c>
      <c r="B483" s="359" t="s">
        <v>2753</v>
      </c>
      <c r="C483" s="360" t="s">
        <v>793</v>
      </c>
      <c r="D483" s="368"/>
      <c r="E483" s="407">
        <f t="shared" si="7"/>
        <v>2263000</v>
      </c>
      <c r="F483" s="399">
        <f>2550000-287000</f>
        <v>2263000</v>
      </c>
      <c r="G483" s="485"/>
      <c r="H483" s="418">
        <v>549000</v>
      </c>
    </row>
    <row r="484" spans="1:8">
      <c r="A484" s="412" t="s">
        <v>1975</v>
      </c>
      <c r="B484" s="357" t="s">
        <v>795</v>
      </c>
      <c r="C484" s="357" t="s">
        <v>2754</v>
      </c>
      <c r="D484" s="367"/>
      <c r="E484" s="408"/>
      <c r="F484" s="377"/>
      <c r="G484" s="377"/>
      <c r="H484" s="413"/>
    </row>
    <row r="485" spans="1:8">
      <c r="A485" s="414" t="s">
        <v>1978</v>
      </c>
      <c r="B485" s="359" t="s">
        <v>2755</v>
      </c>
      <c r="C485" s="360" t="s">
        <v>794</v>
      </c>
      <c r="D485" s="368"/>
      <c r="E485" s="407">
        <f t="shared" si="7"/>
        <v>3509000</v>
      </c>
      <c r="F485" s="399">
        <f>3954000-445000</f>
        <v>3509000</v>
      </c>
      <c r="G485" s="485"/>
      <c r="H485" s="415">
        <v>3954000</v>
      </c>
    </row>
    <row r="486" spans="1:8">
      <c r="A486" s="412" t="s">
        <v>1975</v>
      </c>
      <c r="B486" s="357" t="s">
        <v>797</v>
      </c>
      <c r="C486" s="357" t="s">
        <v>2756</v>
      </c>
      <c r="D486" s="367"/>
      <c r="E486" s="408"/>
      <c r="F486" s="377"/>
      <c r="G486" s="377"/>
      <c r="H486" s="413"/>
    </row>
    <row r="487" spans="1:8">
      <c r="A487" s="414" t="s">
        <v>1978</v>
      </c>
      <c r="B487" s="359" t="s">
        <v>2757</v>
      </c>
      <c r="C487" s="360" t="s">
        <v>796</v>
      </c>
      <c r="D487" s="368"/>
      <c r="E487" s="407">
        <f t="shared" si="7"/>
        <v>4477000</v>
      </c>
      <c r="F487" s="399">
        <f>5045000-568000</f>
        <v>4477000</v>
      </c>
      <c r="G487" s="485"/>
      <c r="H487" s="415">
        <v>5045000</v>
      </c>
    </row>
    <row r="488" spans="1:8">
      <c r="A488" s="412" t="s">
        <v>1975</v>
      </c>
      <c r="B488" s="357" t="s">
        <v>798</v>
      </c>
      <c r="C488" s="357" t="s">
        <v>2758</v>
      </c>
      <c r="D488" s="367"/>
      <c r="E488" s="408"/>
      <c r="F488" s="377"/>
      <c r="G488" s="377"/>
      <c r="H488" s="413"/>
    </row>
    <row r="489" spans="1:8">
      <c r="A489" s="414" t="s">
        <v>1978</v>
      </c>
      <c r="B489" s="359" t="s">
        <v>2759</v>
      </c>
      <c r="C489" s="360" t="s">
        <v>799</v>
      </c>
      <c r="D489" s="368"/>
      <c r="E489" s="407">
        <f t="shared" si="7"/>
        <v>204000</v>
      </c>
      <c r="F489" s="399">
        <f>230000-26000</f>
        <v>204000</v>
      </c>
      <c r="G489" s="485"/>
      <c r="H489" s="418">
        <v>230000</v>
      </c>
    </row>
    <row r="490" spans="1:8">
      <c r="A490" s="414" t="s">
        <v>1978</v>
      </c>
      <c r="B490" s="359" t="s">
        <v>2760</v>
      </c>
      <c r="C490" s="360" t="s">
        <v>800</v>
      </c>
      <c r="D490" s="368"/>
      <c r="E490" s="407">
        <f t="shared" si="7"/>
        <v>12000</v>
      </c>
      <c r="F490" s="399">
        <f>13000-1000</f>
        <v>12000</v>
      </c>
      <c r="G490" s="485"/>
      <c r="H490" s="418">
        <v>17000</v>
      </c>
    </row>
    <row r="491" spans="1:8">
      <c r="A491" s="412" t="s">
        <v>1975</v>
      </c>
      <c r="B491" s="357" t="s">
        <v>802</v>
      </c>
      <c r="C491" s="357" t="s">
        <v>2761</v>
      </c>
      <c r="D491" s="367"/>
      <c r="E491" s="408"/>
      <c r="F491" s="377"/>
      <c r="G491" s="377"/>
      <c r="H491" s="413"/>
    </row>
    <row r="492" spans="1:8">
      <c r="A492" s="414" t="s">
        <v>1978</v>
      </c>
      <c r="B492" s="359" t="s">
        <v>2762</v>
      </c>
      <c r="C492" s="360" t="s">
        <v>801</v>
      </c>
      <c r="D492" s="368"/>
      <c r="E492" s="407">
        <f t="shared" si="7"/>
        <v>11913000</v>
      </c>
      <c r="F492" s="400">
        <f>6500000+6925000-1512000</f>
        <v>11913000</v>
      </c>
      <c r="G492" s="485"/>
      <c r="H492" s="418">
        <f>6750000+7000000</f>
        <v>13750000</v>
      </c>
    </row>
    <row r="493" spans="1:8">
      <c r="A493" s="412" t="s">
        <v>1975</v>
      </c>
      <c r="B493" s="357" t="s">
        <v>804</v>
      </c>
      <c r="C493" s="357" t="s">
        <v>2763</v>
      </c>
      <c r="D493" s="367"/>
      <c r="E493" s="408"/>
      <c r="F493" s="377"/>
      <c r="G493" s="377"/>
      <c r="H493" s="413"/>
    </row>
    <row r="494" spans="1:8">
      <c r="A494" s="414" t="s">
        <v>1978</v>
      </c>
      <c r="B494" s="359" t="s">
        <v>2764</v>
      </c>
      <c r="C494" s="360" t="s">
        <v>805</v>
      </c>
      <c r="D494" s="368"/>
      <c r="E494" s="407">
        <f t="shared" si="7"/>
        <v>1393000</v>
      </c>
      <c r="F494" s="400">
        <f>1070000+500000-177000</f>
        <v>1393000</v>
      </c>
      <c r="G494" s="485"/>
      <c r="H494" s="418">
        <f>1070000+500000</f>
        <v>1570000</v>
      </c>
    </row>
    <row r="495" spans="1:8">
      <c r="A495" s="414" t="s">
        <v>1978</v>
      </c>
      <c r="B495" s="359" t="s">
        <v>2765</v>
      </c>
      <c r="C495" s="360" t="s">
        <v>806</v>
      </c>
      <c r="D495" s="368"/>
      <c r="E495" s="407">
        <f t="shared" si="7"/>
        <v>315000</v>
      </c>
      <c r="F495" s="400">
        <f>35000+320000-40000</f>
        <v>315000</v>
      </c>
      <c r="G495" s="485"/>
      <c r="H495" s="418">
        <f>35000+320000</f>
        <v>355000</v>
      </c>
    </row>
    <row r="496" spans="1:8">
      <c r="A496" s="414" t="s">
        <v>1978</v>
      </c>
      <c r="B496" s="359" t="s">
        <v>2766</v>
      </c>
      <c r="C496" s="360" t="s">
        <v>807</v>
      </c>
      <c r="D496" s="368"/>
      <c r="E496" s="407">
        <f t="shared" si="7"/>
        <v>14000</v>
      </c>
      <c r="F496" s="399">
        <f>16000-2000</f>
        <v>14000</v>
      </c>
      <c r="G496" s="485"/>
      <c r="H496" s="418">
        <v>16000</v>
      </c>
    </row>
    <row r="497" spans="1:8">
      <c r="A497" s="414" t="s">
        <v>1978</v>
      </c>
      <c r="B497" s="359" t="s">
        <v>2767</v>
      </c>
      <c r="C497" s="360" t="s">
        <v>808</v>
      </c>
      <c r="D497" s="368"/>
      <c r="E497" s="407">
        <f t="shared" si="7"/>
        <v>0</v>
      </c>
      <c r="F497" s="399"/>
      <c r="G497" s="485"/>
      <c r="H497" s="416"/>
    </row>
    <row r="498" spans="1:8">
      <c r="A498" s="414" t="s">
        <v>1978</v>
      </c>
      <c r="B498" s="359" t="s">
        <v>2768</v>
      </c>
      <c r="C498" s="360" t="s">
        <v>803</v>
      </c>
      <c r="D498" s="368"/>
      <c r="E498" s="407">
        <f t="shared" si="7"/>
        <v>0</v>
      </c>
      <c r="F498" s="399"/>
      <c r="G498" s="485"/>
      <c r="H498" s="416"/>
    </row>
    <row r="499" spans="1:8">
      <c r="A499" s="412" t="s">
        <v>1975</v>
      </c>
      <c r="B499" s="357" t="s">
        <v>809</v>
      </c>
      <c r="C499" s="357" t="s">
        <v>2769</v>
      </c>
      <c r="D499" s="367"/>
      <c r="E499" s="408"/>
      <c r="F499" s="377"/>
      <c r="G499" s="377"/>
      <c r="H499" s="413"/>
    </row>
    <row r="500" spans="1:8">
      <c r="A500" s="412" t="s">
        <v>1978</v>
      </c>
      <c r="B500" s="357" t="s">
        <v>810</v>
      </c>
      <c r="C500" s="357" t="s">
        <v>2770</v>
      </c>
      <c r="D500" s="367"/>
      <c r="E500" s="408"/>
      <c r="F500" s="377"/>
      <c r="G500" s="377"/>
      <c r="H500" s="413"/>
    </row>
    <row r="501" spans="1:8">
      <c r="A501" s="414" t="s">
        <v>2094</v>
      </c>
      <c r="B501" s="359" t="s">
        <v>2771</v>
      </c>
      <c r="C501" s="360" t="s">
        <v>2772</v>
      </c>
      <c r="D501" s="368"/>
      <c r="E501" s="407">
        <f t="shared" si="7"/>
        <v>0</v>
      </c>
      <c r="F501" s="399"/>
      <c r="G501" s="485"/>
      <c r="H501" s="416"/>
    </row>
    <row r="502" spans="1:8" ht="25.5">
      <c r="A502" s="412" t="s">
        <v>1978</v>
      </c>
      <c r="B502" s="357" t="s">
        <v>812</v>
      </c>
      <c r="C502" s="357" t="s">
        <v>2773</v>
      </c>
      <c r="D502" s="367"/>
      <c r="E502" s="408"/>
      <c r="F502" s="377"/>
      <c r="G502" s="377"/>
      <c r="H502" s="413"/>
    </row>
    <row r="503" spans="1:8">
      <c r="A503" s="414" t="s">
        <v>2094</v>
      </c>
      <c r="B503" s="359" t="s">
        <v>2774</v>
      </c>
      <c r="C503" s="360" t="s">
        <v>811</v>
      </c>
      <c r="D503" s="368"/>
      <c r="E503" s="407">
        <f t="shared" si="7"/>
        <v>719000</v>
      </c>
      <c r="F503" s="399">
        <f>810000-91000</f>
        <v>719000</v>
      </c>
      <c r="G503" s="485"/>
      <c r="H503" s="415">
        <v>810000</v>
      </c>
    </row>
    <row r="504" spans="1:8">
      <c r="A504" s="412" t="s">
        <v>1975</v>
      </c>
      <c r="B504" s="357" t="s">
        <v>813</v>
      </c>
      <c r="C504" s="357" t="s">
        <v>1567</v>
      </c>
      <c r="D504" s="367"/>
      <c r="E504" s="408"/>
      <c r="F504" s="377"/>
      <c r="G504" s="377"/>
      <c r="H504" s="413"/>
    </row>
    <row r="505" spans="1:8" ht="25.5">
      <c r="A505" s="412" t="s">
        <v>1978</v>
      </c>
      <c r="B505" s="357" t="s">
        <v>815</v>
      </c>
      <c r="C505" s="357" t="s">
        <v>1568</v>
      </c>
      <c r="D505" s="367" t="s">
        <v>1253</v>
      </c>
      <c r="E505" s="408"/>
      <c r="F505" s="377"/>
      <c r="G505" s="377"/>
      <c r="H505" s="413"/>
    </row>
    <row r="506" spans="1:8" ht="24">
      <c r="A506" s="414" t="s">
        <v>2094</v>
      </c>
      <c r="B506" s="359" t="s">
        <v>2775</v>
      </c>
      <c r="C506" s="360" t="s">
        <v>814</v>
      </c>
      <c r="D506" s="368" t="s">
        <v>1253</v>
      </c>
      <c r="E506" s="407">
        <f t="shared" si="7"/>
        <v>2016688</v>
      </c>
      <c r="F506" s="399">
        <f>956891+1059797</f>
        <v>2016688</v>
      </c>
      <c r="G506" s="485"/>
      <c r="H506" s="418">
        <f>977529+982637</f>
        <v>1960166</v>
      </c>
    </row>
    <row r="507" spans="1:8" ht="25.5">
      <c r="A507" s="412" t="s">
        <v>1978</v>
      </c>
      <c r="B507" s="357" t="s">
        <v>816</v>
      </c>
      <c r="C507" s="357" t="s">
        <v>1569</v>
      </c>
      <c r="D507" s="367"/>
      <c r="E507" s="408"/>
      <c r="F507" s="377"/>
      <c r="G507" s="377"/>
      <c r="H507" s="413"/>
    </row>
    <row r="508" spans="1:8">
      <c r="A508" s="414" t="s">
        <v>2094</v>
      </c>
      <c r="B508" s="359" t="s">
        <v>2776</v>
      </c>
      <c r="C508" s="360" t="s">
        <v>817</v>
      </c>
      <c r="D508" s="368"/>
      <c r="E508" s="407">
        <f t="shared" si="7"/>
        <v>9000</v>
      </c>
      <c r="F508" s="399">
        <f>10000-1000</f>
        <v>9000</v>
      </c>
      <c r="G508" s="485"/>
      <c r="H508" s="418">
        <f>20000+5000+5000+30000</f>
        <v>60000</v>
      </c>
    </row>
    <row r="509" spans="1:8">
      <c r="A509" s="414" t="s">
        <v>2094</v>
      </c>
      <c r="B509" s="359" t="s">
        <v>2777</v>
      </c>
      <c r="C509" s="360" t="s">
        <v>818</v>
      </c>
      <c r="D509" s="368"/>
      <c r="E509" s="407">
        <f t="shared" si="7"/>
        <v>0</v>
      </c>
      <c r="F509" s="399"/>
      <c r="G509" s="485"/>
      <c r="H509" s="416"/>
    </row>
    <row r="510" spans="1:8">
      <c r="A510" s="412" t="s">
        <v>1978</v>
      </c>
      <c r="B510" s="357" t="s">
        <v>820</v>
      </c>
      <c r="C510" s="357" t="s">
        <v>1570</v>
      </c>
      <c r="D510" s="367"/>
      <c r="E510" s="408"/>
      <c r="F510" s="377"/>
      <c r="G510" s="377"/>
      <c r="H510" s="413"/>
    </row>
    <row r="511" spans="1:8">
      <c r="A511" s="414" t="s">
        <v>2094</v>
      </c>
      <c r="B511" s="359" t="s">
        <v>2778</v>
      </c>
      <c r="C511" s="360" t="s">
        <v>821</v>
      </c>
      <c r="D511" s="368"/>
      <c r="E511" s="407">
        <f t="shared" si="7"/>
        <v>1633000</v>
      </c>
      <c r="F511" s="399">
        <f>1840000-207000</f>
        <v>1633000</v>
      </c>
      <c r="G511" s="485"/>
      <c r="H511" s="418">
        <v>1840000</v>
      </c>
    </row>
    <row r="512" spans="1:8">
      <c r="A512" s="414" t="s">
        <v>2094</v>
      </c>
      <c r="B512" s="359" t="s">
        <v>2779</v>
      </c>
      <c r="C512" s="360" t="s">
        <v>822</v>
      </c>
      <c r="D512" s="368"/>
      <c r="E512" s="407">
        <f t="shared" si="7"/>
        <v>137000</v>
      </c>
      <c r="F512" s="399">
        <f>154000-17000</f>
        <v>137000</v>
      </c>
      <c r="G512" s="485"/>
      <c r="H512" s="418">
        <v>154000</v>
      </c>
    </row>
    <row r="513" spans="1:9">
      <c r="A513" s="414" t="s">
        <v>2094</v>
      </c>
      <c r="B513" s="359" t="s">
        <v>2780</v>
      </c>
      <c r="C513" s="360" t="s">
        <v>823</v>
      </c>
      <c r="D513" s="368"/>
      <c r="E513" s="407">
        <f t="shared" si="7"/>
        <v>11000</v>
      </c>
      <c r="F513" s="399">
        <f>12000-1000</f>
        <v>11000</v>
      </c>
      <c r="G513" s="485"/>
      <c r="H513" s="421">
        <v>12000</v>
      </c>
    </row>
    <row r="514" spans="1:9">
      <c r="A514" s="414" t="s">
        <v>2094</v>
      </c>
      <c r="B514" s="359" t="s">
        <v>2781</v>
      </c>
      <c r="C514" s="360" t="s">
        <v>824</v>
      </c>
      <c r="D514" s="368"/>
      <c r="E514" s="407">
        <f t="shared" si="7"/>
        <v>71000</v>
      </c>
      <c r="F514" s="399">
        <f>80000-9000</f>
        <v>71000</v>
      </c>
      <c r="G514" s="485"/>
      <c r="H514" s="421">
        <v>80000</v>
      </c>
    </row>
    <row r="515" spans="1:9">
      <c r="A515" s="414" t="s">
        <v>2094</v>
      </c>
      <c r="B515" s="359" t="s">
        <v>2782</v>
      </c>
      <c r="C515" s="360" t="s">
        <v>825</v>
      </c>
      <c r="D515" s="368"/>
      <c r="E515" s="407">
        <f t="shared" si="7"/>
        <v>0</v>
      </c>
      <c r="F515" s="399"/>
      <c r="G515" s="485"/>
      <c r="H515" s="418">
        <v>500</v>
      </c>
    </row>
    <row r="516" spans="1:9">
      <c r="A516" s="414" t="s">
        <v>2094</v>
      </c>
      <c r="B516" s="359" t="s">
        <v>2783</v>
      </c>
      <c r="C516" s="360" t="s">
        <v>826</v>
      </c>
      <c r="D516" s="368"/>
      <c r="E516" s="407">
        <f t="shared" si="7"/>
        <v>177000</v>
      </c>
      <c r="F516" s="399">
        <f>200000-23000</f>
        <v>177000</v>
      </c>
      <c r="G516" s="485"/>
      <c r="H516" s="418">
        <v>200000</v>
      </c>
    </row>
    <row r="517" spans="1:9">
      <c r="A517" s="414" t="s">
        <v>2094</v>
      </c>
      <c r="B517" s="359" t="s">
        <v>2784</v>
      </c>
      <c r="C517" s="360" t="s">
        <v>827</v>
      </c>
      <c r="D517" s="368"/>
      <c r="E517" s="407">
        <f t="shared" si="7"/>
        <v>44000</v>
      </c>
      <c r="F517" s="399">
        <f>50000-6000</f>
        <v>44000</v>
      </c>
      <c r="G517" s="485"/>
      <c r="H517" s="418">
        <v>278000</v>
      </c>
    </row>
    <row r="518" spans="1:9">
      <c r="A518" s="414" t="s">
        <v>2094</v>
      </c>
      <c r="B518" s="359" t="s">
        <v>2785</v>
      </c>
      <c r="C518" s="360" t="s">
        <v>828</v>
      </c>
      <c r="D518" s="368"/>
      <c r="E518" s="407">
        <f t="shared" si="7"/>
        <v>124000</v>
      </c>
      <c r="F518" s="399">
        <f>140000-16000</f>
        <v>124000</v>
      </c>
      <c r="G518" s="485"/>
      <c r="H518" s="418">
        <v>140000</v>
      </c>
    </row>
    <row r="519" spans="1:9" s="256" customFormat="1">
      <c r="A519" s="414" t="s">
        <v>2094</v>
      </c>
      <c r="B519" s="362" t="s">
        <v>2786</v>
      </c>
      <c r="C519" s="360" t="s">
        <v>829</v>
      </c>
      <c r="D519" s="368"/>
      <c r="E519" s="407">
        <f t="shared" si="7"/>
        <v>7000</v>
      </c>
      <c r="F519" s="399">
        <f>8000-1000</f>
        <v>7000</v>
      </c>
      <c r="G519" s="485"/>
      <c r="H519" s="418">
        <v>8000</v>
      </c>
      <c r="I519" s="376"/>
    </row>
    <row r="520" spans="1:9" s="256" customFormat="1">
      <c r="A520" s="414" t="s">
        <v>2094</v>
      </c>
      <c r="B520" s="359" t="s">
        <v>2787</v>
      </c>
      <c r="C520" s="360" t="s">
        <v>830</v>
      </c>
      <c r="D520" s="368"/>
      <c r="E520" s="407">
        <f t="shared" ref="E520:E582" si="8">F520+G520</f>
        <v>379000</v>
      </c>
      <c r="F520" s="399">
        <f>427000-48000</f>
        <v>379000</v>
      </c>
      <c r="G520" s="485"/>
      <c r="H520" s="418">
        <v>427000</v>
      </c>
      <c r="I520" s="376"/>
    </row>
    <row r="521" spans="1:9">
      <c r="A521" s="414" t="s">
        <v>2094</v>
      </c>
      <c r="B521" s="359" t="s">
        <v>2788</v>
      </c>
      <c r="C521" s="360" t="s">
        <v>831</v>
      </c>
      <c r="D521" s="368"/>
      <c r="E521" s="407">
        <f t="shared" si="8"/>
        <v>44000</v>
      </c>
      <c r="F521" s="399">
        <f>50000-6000</f>
        <v>44000</v>
      </c>
      <c r="G521" s="485"/>
      <c r="H521" s="418">
        <v>50000</v>
      </c>
    </row>
    <row r="522" spans="1:9">
      <c r="A522" s="414" t="s">
        <v>2094</v>
      </c>
      <c r="B522" s="359" t="s">
        <v>2789</v>
      </c>
      <c r="C522" s="360" t="s">
        <v>832</v>
      </c>
      <c r="D522" s="368"/>
      <c r="E522" s="407">
        <f t="shared" si="8"/>
        <v>266000</v>
      </c>
      <c r="F522" s="399">
        <f>300000-34000</f>
        <v>266000</v>
      </c>
      <c r="G522" s="485"/>
      <c r="H522" s="418">
        <v>300000</v>
      </c>
    </row>
    <row r="523" spans="1:9">
      <c r="A523" s="414" t="s">
        <v>2094</v>
      </c>
      <c r="B523" s="359" t="s">
        <v>2790</v>
      </c>
      <c r="C523" s="360" t="s">
        <v>833</v>
      </c>
      <c r="D523" s="368"/>
      <c r="E523" s="407">
        <f t="shared" si="8"/>
        <v>18000</v>
      </c>
      <c r="F523" s="399">
        <f>20000-2000</f>
        <v>18000</v>
      </c>
      <c r="G523" s="485"/>
      <c r="H523" s="418">
        <f>20000+942517</f>
        <v>962517</v>
      </c>
    </row>
    <row r="524" spans="1:9">
      <c r="A524" s="414" t="s">
        <v>2094</v>
      </c>
      <c r="B524" s="359" t="s">
        <v>2791</v>
      </c>
      <c r="C524" s="360" t="s">
        <v>834</v>
      </c>
      <c r="D524" s="368"/>
      <c r="E524" s="407">
        <f t="shared" si="8"/>
        <v>1382000</v>
      </c>
      <c r="F524" s="399">
        <f>1557000-175000</f>
        <v>1382000</v>
      </c>
      <c r="G524" s="485"/>
      <c r="H524" s="415">
        <v>1557000</v>
      </c>
    </row>
    <row r="525" spans="1:9">
      <c r="A525" s="414" t="s">
        <v>2094</v>
      </c>
      <c r="B525" s="359" t="s">
        <v>2792</v>
      </c>
      <c r="C525" s="360" t="s">
        <v>819</v>
      </c>
      <c r="D525" s="368"/>
      <c r="E525" s="407">
        <f t="shared" si="8"/>
        <v>5071000</v>
      </c>
      <c r="F525" s="399">
        <f>5715000-644000</f>
        <v>5071000</v>
      </c>
      <c r="G525" s="485"/>
      <c r="H525" s="418">
        <v>6070000</v>
      </c>
    </row>
    <row r="526" spans="1:9" ht="25.5">
      <c r="A526" s="412" t="s">
        <v>1973</v>
      </c>
      <c r="B526" s="357" t="s">
        <v>835</v>
      </c>
      <c r="C526" s="357" t="s">
        <v>2793</v>
      </c>
      <c r="D526" s="367"/>
      <c r="E526" s="408"/>
      <c r="F526" s="377"/>
      <c r="G526" s="377"/>
      <c r="H526" s="413"/>
    </row>
    <row r="527" spans="1:9" ht="25.5">
      <c r="A527" s="412" t="s">
        <v>1975</v>
      </c>
      <c r="B527" s="357" t="s">
        <v>837</v>
      </c>
      <c r="C527" s="357" t="s">
        <v>1572</v>
      </c>
      <c r="D527" s="367" t="s">
        <v>1253</v>
      </c>
      <c r="E527" s="408"/>
      <c r="F527" s="377"/>
      <c r="G527" s="377"/>
      <c r="H527" s="413"/>
    </row>
    <row r="528" spans="1:9" ht="24">
      <c r="A528" s="414" t="s">
        <v>1978</v>
      </c>
      <c r="B528" s="359" t="s">
        <v>2794</v>
      </c>
      <c r="C528" s="360" t="s">
        <v>836</v>
      </c>
      <c r="D528" s="368" t="s">
        <v>1253</v>
      </c>
      <c r="E528" s="407">
        <f t="shared" si="8"/>
        <v>0</v>
      </c>
      <c r="F528" s="399"/>
      <c r="G528" s="485"/>
      <c r="H528" s="416"/>
    </row>
    <row r="529" spans="1:8" ht="25.5">
      <c r="A529" s="412" t="s">
        <v>1975</v>
      </c>
      <c r="B529" s="357" t="s">
        <v>839</v>
      </c>
      <c r="C529" s="357" t="s">
        <v>1573</v>
      </c>
      <c r="D529" s="367"/>
      <c r="E529" s="408"/>
      <c r="F529" s="377"/>
      <c r="G529" s="377"/>
      <c r="H529" s="413"/>
    </row>
    <row r="530" spans="1:8">
      <c r="A530" s="414" t="s">
        <v>1978</v>
      </c>
      <c r="B530" s="359" t="s">
        <v>2795</v>
      </c>
      <c r="C530" s="360" t="s">
        <v>838</v>
      </c>
      <c r="D530" s="368"/>
      <c r="E530" s="407">
        <f t="shared" si="8"/>
        <v>0</v>
      </c>
      <c r="F530" s="399"/>
      <c r="G530" s="485"/>
      <c r="H530" s="416"/>
    </row>
    <row r="531" spans="1:8" ht="25.5">
      <c r="A531" s="412" t="s">
        <v>1975</v>
      </c>
      <c r="B531" s="357" t="s">
        <v>840</v>
      </c>
      <c r="C531" s="357" t="s">
        <v>1574</v>
      </c>
      <c r="D531" s="367"/>
      <c r="E531" s="408"/>
      <c r="F531" s="377"/>
      <c r="G531" s="377"/>
      <c r="H531" s="413"/>
    </row>
    <row r="532" spans="1:8">
      <c r="A532" s="412" t="s">
        <v>1978</v>
      </c>
      <c r="B532" s="357" t="s">
        <v>841</v>
      </c>
      <c r="C532" s="357" t="s">
        <v>1575</v>
      </c>
      <c r="D532" s="367"/>
      <c r="E532" s="408"/>
      <c r="F532" s="377"/>
      <c r="G532" s="377"/>
      <c r="H532" s="413"/>
    </row>
    <row r="533" spans="1:8">
      <c r="A533" s="414" t="s">
        <v>2094</v>
      </c>
      <c r="B533" s="359" t="s">
        <v>2796</v>
      </c>
      <c r="C533" s="360" t="s">
        <v>842</v>
      </c>
      <c r="D533" s="368"/>
      <c r="E533" s="407">
        <f t="shared" si="8"/>
        <v>5000</v>
      </c>
      <c r="F533" s="399">
        <f>6000-1000</f>
        <v>5000</v>
      </c>
      <c r="G533" s="485"/>
      <c r="H533" s="418">
        <v>6000</v>
      </c>
    </row>
    <row r="534" spans="1:8">
      <c r="A534" s="414" t="s">
        <v>2094</v>
      </c>
      <c r="B534" s="359" t="s">
        <v>2797</v>
      </c>
      <c r="C534" s="360" t="s">
        <v>843</v>
      </c>
      <c r="D534" s="368"/>
      <c r="E534" s="407">
        <f t="shared" si="8"/>
        <v>0</v>
      </c>
      <c r="F534" s="399"/>
      <c r="G534" s="485"/>
      <c r="H534" s="418"/>
    </row>
    <row r="535" spans="1:8">
      <c r="A535" s="414" t="s">
        <v>2094</v>
      </c>
      <c r="B535" s="359" t="s">
        <v>2798</v>
      </c>
      <c r="C535" s="360" t="s">
        <v>844</v>
      </c>
      <c r="D535" s="368"/>
      <c r="E535" s="407">
        <f t="shared" si="8"/>
        <v>22000</v>
      </c>
      <c r="F535" s="400">
        <f>20000+5000-3000</f>
        <v>22000</v>
      </c>
      <c r="G535" s="485"/>
      <c r="H535" s="418">
        <v>30000</v>
      </c>
    </row>
    <row r="536" spans="1:8">
      <c r="A536" s="414" t="s">
        <v>2094</v>
      </c>
      <c r="B536" s="359" t="s">
        <v>2799</v>
      </c>
      <c r="C536" s="360" t="s">
        <v>845</v>
      </c>
      <c r="D536" s="368"/>
      <c r="E536" s="407">
        <f t="shared" si="8"/>
        <v>44000</v>
      </c>
      <c r="F536" s="399">
        <f>50000-6000</f>
        <v>44000</v>
      </c>
      <c r="G536" s="485"/>
      <c r="H536" s="418">
        <v>178000</v>
      </c>
    </row>
    <row r="537" spans="1:8">
      <c r="A537" s="414" t="s">
        <v>2094</v>
      </c>
      <c r="B537" s="359" t="s">
        <v>2800</v>
      </c>
      <c r="C537" s="360" t="s">
        <v>846</v>
      </c>
      <c r="D537" s="368"/>
      <c r="E537" s="407">
        <f t="shared" si="8"/>
        <v>4000</v>
      </c>
      <c r="F537" s="399">
        <f>5000-1000</f>
        <v>4000</v>
      </c>
      <c r="G537" s="485"/>
      <c r="H537" s="416">
        <v>3235</v>
      </c>
    </row>
    <row r="538" spans="1:8" ht="25.5">
      <c r="A538" s="412" t="s">
        <v>1978</v>
      </c>
      <c r="B538" s="357" t="s">
        <v>848</v>
      </c>
      <c r="C538" s="357" t="s">
        <v>1576</v>
      </c>
      <c r="D538" s="367"/>
      <c r="E538" s="408"/>
      <c r="F538" s="377"/>
      <c r="G538" s="377"/>
      <c r="H538" s="413"/>
    </row>
    <row r="539" spans="1:8" ht="24">
      <c r="A539" s="414" t="s">
        <v>2094</v>
      </c>
      <c r="B539" s="359" t="s">
        <v>2801</v>
      </c>
      <c r="C539" s="360" t="s">
        <v>847</v>
      </c>
      <c r="D539" s="368"/>
      <c r="E539" s="407">
        <f t="shared" si="8"/>
        <v>120413</v>
      </c>
      <c r="F539" s="399">
        <f>54789+65624</f>
        <v>120413</v>
      </c>
      <c r="G539" s="485"/>
      <c r="H539" s="418">
        <f>25000+32000</f>
        <v>57000</v>
      </c>
    </row>
    <row r="540" spans="1:8" ht="25.5">
      <c r="A540" s="412" t="s">
        <v>1978</v>
      </c>
      <c r="B540" s="357" t="s">
        <v>849</v>
      </c>
      <c r="C540" s="357" t="s">
        <v>2802</v>
      </c>
      <c r="D540" s="367"/>
      <c r="E540" s="408"/>
      <c r="F540" s="377"/>
      <c r="G540" s="377"/>
      <c r="H540" s="413"/>
    </row>
    <row r="541" spans="1:8">
      <c r="A541" s="414" t="s">
        <v>2094</v>
      </c>
      <c r="B541" s="359" t="s">
        <v>2803</v>
      </c>
      <c r="C541" s="360" t="s">
        <v>2804</v>
      </c>
      <c r="D541" s="368"/>
      <c r="E541" s="407">
        <f t="shared" si="8"/>
        <v>0</v>
      </c>
      <c r="F541" s="399"/>
      <c r="G541" s="485"/>
      <c r="H541" s="416"/>
    </row>
    <row r="542" spans="1:8">
      <c r="A542" s="412" t="s">
        <v>1978</v>
      </c>
      <c r="B542" s="357" t="s">
        <v>850</v>
      </c>
      <c r="C542" s="357" t="s">
        <v>2805</v>
      </c>
      <c r="D542" s="367"/>
      <c r="E542" s="408"/>
      <c r="F542" s="377"/>
      <c r="G542" s="377"/>
      <c r="H542" s="413"/>
    </row>
    <row r="543" spans="1:8">
      <c r="A543" s="414" t="s">
        <v>2094</v>
      </c>
      <c r="B543" s="359" t="s">
        <v>2806</v>
      </c>
      <c r="C543" s="360" t="s">
        <v>2807</v>
      </c>
      <c r="D543" s="368"/>
      <c r="E543" s="407">
        <f t="shared" si="8"/>
        <v>856006</v>
      </c>
      <c r="F543" s="399">
        <v>856006</v>
      </c>
      <c r="G543" s="485"/>
      <c r="H543" s="415">
        <v>1995000</v>
      </c>
    </row>
    <row r="544" spans="1:8" ht="25.5">
      <c r="A544" s="412" t="s">
        <v>1978</v>
      </c>
      <c r="B544" s="357" t="s">
        <v>851</v>
      </c>
      <c r="C544" s="357" t="s">
        <v>2808</v>
      </c>
      <c r="D544" s="367"/>
      <c r="E544" s="408"/>
      <c r="F544" s="377"/>
      <c r="G544" s="377"/>
      <c r="H544" s="413"/>
    </row>
    <row r="545" spans="1:8">
      <c r="A545" s="414" t="s">
        <v>2094</v>
      </c>
      <c r="B545" s="359" t="s">
        <v>2809</v>
      </c>
      <c r="C545" s="360" t="s">
        <v>852</v>
      </c>
      <c r="D545" s="368"/>
      <c r="E545" s="407">
        <f t="shared" si="8"/>
        <v>0</v>
      </c>
      <c r="F545" s="399"/>
      <c r="G545" s="485"/>
      <c r="H545" s="416"/>
    </row>
    <row r="546" spans="1:8" ht="24">
      <c r="A546" s="414" t="s">
        <v>2094</v>
      </c>
      <c r="B546" s="359" t="s">
        <v>2810</v>
      </c>
      <c r="C546" s="360" t="s">
        <v>853</v>
      </c>
      <c r="D546" s="368"/>
      <c r="E546" s="407">
        <f t="shared" si="8"/>
        <v>0</v>
      </c>
      <c r="F546" s="399"/>
      <c r="G546" s="485"/>
      <c r="H546" s="418">
        <f>23000+9000+8000+8000+8000</f>
        <v>56000</v>
      </c>
    </row>
    <row r="547" spans="1:8">
      <c r="A547" s="414" t="s">
        <v>2094</v>
      </c>
      <c r="B547" s="359" t="s">
        <v>2811</v>
      </c>
      <c r="C547" s="360" t="s">
        <v>854</v>
      </c>
      <c r="D547" s="368"/>
      <c r="E547" s="407">
        <f t="shared" si="8"/>
        <v>0</v>
      </c>
      <c r="F547" s="399"/>
      <c r="G547" s="485"/>
      <c r="H547" s="416"/>
    </row>
    <row r="548" spans="1:8">
      <c r="A548" s="414" t="s">
        <v>2094</v>
      </c>
      <c r="B548" s="359" t="s">
        <v>2812</v>
      </c>
      <c r="C548" s="360" t="s">
        <v>855</v>
      </c>
      <c r="D548" s="368"/>
      <c r="E548" s="407">
        <f t="shared" si="8"/>
        <v>9000</v>
      </c>
      <c r="F548" s="399">
        <f>10000-1000</f>
        <v>9000</v>
      </c>
      <c r="G548" s="485"/>
      <c r="H548" s="418">
        <v>40000</v>
      </c>
    </row>
    <row r="549" spans="1:8">
      <c r="A549" s="414" t="s">
        <v>2094</v>
      </c>
      <c r="B549" s="359" t="s">
        <v>2813</v>
      </c>
      <c r="C549" s="360" t="s">
        <v>2814</v>
      </c>
      <c r="D549" s="368"/>
      <c r="E549" s="407">
        <f t="shared" si="8"/>
        <v>0</v>
      </c>
      <c r="F549" s="399"/>
      <c r="G549" s="485"/>
      <c r="H549" s="416"/>
    </row>
    <row r="550" spans="1:8" ht="51">
      <c r="A550" s="412" t="s">
        <v>1978</v>
      </c>
      <c r="B550" s="357" t="s">
        <v>856</v>
      </c>
      <c r="C550" s="357" t="s">
        <v>2815</v>
      </c>
      <c r="D550" s="367"/>
      <c r="E550" s="408"/>
      <c r="F550" s="377"/>
      <c r="G550" s="377"/>
      <c r="H550" s="413"/>
    </row>
    <row r="551" spans="1:8" ht="48">
      <c r="A551" s="414" t="s">
        <v>2094</v>
      </c>
      <c r="B551" s="359" t="s">
        <v>2816</v>
      </c>
      <c r="C551" s="360" t="s">
        <v>2817</v>
      </c>
      <c r="D551" s="368"/>
      <c r="E551" s="407">
        <f t="shared" si="8"/>
        <v>0</v>
      </c>
      <c r="F551" s="399"/>
      <c r="G551" s="485"/>
      <c r="H551" s="416"/>
    </row>
    <row r="552" spans="1:8" ht="25.5">
      <c r="A552" s="412" t="s">
        <v>1975</v>
      </c>
      <c r="B552" s="357" t="s">
        <v>857</v>
      </c>
      <c r="C552" s="357" t="s">
        <v>1581</v>
      </c>
      <c r="D552" s="367"/>
      <c r="E552" s="408"/>
      <c r="F552" s="377"/>
      <c r="G552" s="377"/>
      <c r="H552" s="413"/>
    </row>
    <row r="553" spans="1:8" ht="38.25">
      <c r="A553" s="412" t="s">
        <v>1978</v>
      </c>
      <c r="B553" s="357" t="s">
        <v>859</v>
      </c>
      <c r="C553" s="357" t="s">
        <v>1582</v>
      </c>
      <c r="D553" s="367" t="s">
        <v>1253</v>
      </c>
      <c r="E553" s="408"/>
      <c r="F553" s="377"/>
      <c r="G553" s="377"/>
      <c r="H553" s="413"/>
    </row>
    <row r="554" spans="1:8" ht="24">
      <c r="A554" s="414" t="s">
        <v>2094</v>
      </c>
      <c r="B554" s="359" t="s">
        <v>2818</v>
      </c>
      <c r="C554" s="360" t="s">
        <v>858</v>
      </c>
      <c r="D554" s="368" t="s">
        <v>1253</v>
      </c>
      <c r="E554" s="407">
        <f t="shared" si="8"/>
        <v>0</v>
      </c>
      <c r="F554" s="399"/>
      <c r="G554" s="485"/>
      <c r="H554" s="416"/>
    </row>
    <row r="555" spans="1:8" ht="38.25">
      <c r="A555" s="412" t="s">
        <v>1978</v>
      </c>
      <c r="B555" s="357" t="s">
        <v>861</v>
      </c>
      <c r="C555" s="357" t="s">
        <v>1583</v>
      </c>
      <c r="D555" s="367"/>
      <c r="E555" s="408"/>
      <c r="F555" s="377"/>
      <c r="G555" s="377"/>
      <c r="H555" s="413"/>
    </row>
    <row r="556" spans="1:8" ht="24">
      <c r="A556" s="414" t="s">
        <v>2094</v>
      </c>
      <c r="B556" s="359" t="s">
        <v>2819</v>
      </c>
      <c r="C556" s="360" t="s">
        <v>860</v>
      </c>
      <c r="D556" s="368"/>
      <c r="E556" s="407">
        <f t="shared" si="8"/>
        <v>0</v>
      </c>
      <c r="F556" s="399"/>
      <c r="G556" s="485"/>
      <c r="H556" s="416"/>
    </row>
    <row r="557" spans="1:8" ht="38.25">
      <c r="A557" s="412" t="s">
        <v>1978</v>
      </c>
      <c r="B557" s="357" t="s">
        <v>863</v>
      </c>
      <c r="C557" s="357" t="s">
        <v>1584</v>
      </c>
      <c r="D557" s="367"/>
      <c r="E557" s="408"/>
      <c r="F557" s="377"/>
      <c r="G557" s="377"/>
      <c r="H557" s="413"/>
    </row>
    <row r="558" spans="1:8" ht="24">
      <c r="A558" s="414" t="s">
        <v>2094</v>
      </c>
      <c r="B558" s="359" t="s">
        <v>2820</v>
      </c>
      <c r="C558" s="360" t="s">
        <v>862</v>
      </c>
      <c r="D558" s="368"/>
      <c r="E558" s="407">
        <f t="shared" si="8"/>
        <v>0</v>
      </c>
      <c r="F558" s="399"/>
      <c r="G558" s="485"/>
      <c r="H558" s="416"/>
    </row>
    <row r="559" spans="1:8">
      <c r="A559" s="412" t="s">
        <v>1973</v>
      </c>
      <c r="B559" s="357" t="s">
        <v>864</v>
      </c>
      <c r="C559" s="357" t="s">
        <v>1585</v>
      </c>
      <c r="D559" s="367"/>
      <c r="E559" s="408"/>
      <c r="F559" s="377"/>
      <c r="G559" s="377"/>
      <c r="H559" s="413"/>
    </row>
    <row r="560" spans="1:8">
      <c r="A560" s="412" t="s">
        <v>1975</v>
      </c>
      <c r="B560" s="357" t="s">
        <v>866</v>
      </c>
      <c r="C560" s="357" t="s">
        <v>1586</v>
      </c>
      <c r="D560" s="367"/>
      <c r="E560" s="408"/>
      <c r="F560" s="377"/>
      <c r="G560" s="377"/>
      <c r="H560" s="413"/>
    </row>
    <row r="561" spans="1:8">
      <c r="A561" s="414" t="s">
        <v>1978</v>
      </c>
      <c r="B561" s="359" t="s">
        <v>2821</v>
      </c>
      <c r="C561" s="360" t="s">
        <v>865</v>
      </c>
      <c r="D561" s="368"/>
      <c r="E561" s="407">
        <f t="shared" si="8"/>
        <v>0</v>
      </c>
      <c r="F561" s="399"/>
      <c r="G561" s="485"/>
      <c r="H561" s="416"/>
    </row>
    <row r="562" spans="1:8">
      <c r="A562" s="412" t="s">
        <v>1975</v>
      </c>
      <c r="B562" s="357" t="s">
        <v>868</v>
      </c>
      <c r="C562" s="357" t="s">
        <v>1587</v>
      </c>
      <c r="D562" s="367"/>
      <c r="E562" s="408"/>
      <c r="F562" s="377"/>
      <c r="G562" s="377"/>
      <c r="H562" s="413"/>
    </row>
    <row r="563" spans="1:8">
      <c r="A563" s="414" t="s">
        <v>1978</v>
      </c>
      <c r="B563" s="359" t="s">
        <v>2822</v>
      </c>
      <c r="C563" s="360" t="s">
        <v>867</v>
      </c>
      <c r="D563" s="368"/>
      <c r="E563" s="407">
        <f t="shared" si="8"/>
        <v>266000</v>
      </c>
      <c r="F563" s="399">
        <f>300000-34000</f>
        <v>266000</v>
      </c>
      <c r="G563" s="485"/>
      <c r="H563" s="415">
        <v>400000</v>
      </c>
    </row>
    <row r="564" spans="1:8">
      <c r="A564" s="412" t="s">
        <v>1969</v>
      </c>
      <c r="B564" s="357" t="s">
        <v>1588</v>
      </c>
      <c r="C564" s="357" t="s">
        <v>2823</v>
      </c>
      <c r="D564" s="367"/>
      <c r="E564" s="408"/>
      <c r="F564" s="377"/>
      <c r="G564" s="377"/>
      <c r="H564" s="413"/>
    </row>
    <row r="565" spans="1:8" ht="25.5">
      <c r="A565" s="412" t="s">
        <v>1971</v>
      </c>
      <c r="B565" s="357" t="s">
        <v>870</v>
      </c>
      <c r="C565" s="357" t="s">
        <v>2824</v>
      </c>
      <c r="D565" s="367"/>
      <c r="E565" s="408"/>
      <c r="F565" s="377"/>
      <c r="G565" s="377"/>
      <c r="H565" s="413"/>
    </row>
    <row r="566" spans="1:8">
      <c r="A566" s="414" t="s">
        <v>1973</v>
      </c>
      <c r="B566" s="359" t="s">
        <v>2825</v>
      </c>
      <c r="C566" s="360" t="s">
        <v>869</v>
      </c>
      <c r="D566" s="368"/>
      <c r="E566" s="407">
        <f t="shared" si="8"/>
        <v>754000</v>
      </c>
      <c r="F566" s="400">
        <f>850000-96000</f>
        <v>754000</v>
      </c>
      <c r="G566" s="485"/>
      <c r="H566" s="418">
        <f>600000+250000</f>
        <v>850000</v>
      </c>
    </row>
    <row r="567" spans="1:8" ht="25.5">
      <c r="A567" s="412" t="s">
        <v>1971</v>
      </c>
      <c r="B567" s="357" t="s">
        <v>871</v>
      </c>
      <c r="C567" s="357" t="s">
        <v>2826</v>
      </c>
      <c r="D567" s="367"/>
      <c r="E567" s="408"/>
      <c r="F567" s="377"/>
      <c r="G567" s="377"/>
      <c r="H567" s="413"/>
    </row>
    <row r="568" spans="1:8">
      <c r="A568" s="414">
        <v>5</v>
      </c>
      <c r="B568" s="359" t="s">
        <v>2827</v>
      </c>
      <c r="C568" s="360" t="s">
        <v>872</v>
      </c>
      <c r="D568" s="368"/>
      <c r="E568" s="407">
        <f t="shared" si="8"/>
        <v>333000</v>
      </c>
      <c r="F568" s="399">
        <f>375000-42000</f>
        <v>333000</v>
      </c>
      <c r="G568" s="485"/>
      <c r="H568" s="418">
        <v>375000</v>
      </c>
    </row>
    <row r="569" spans="1:8">
      <c r="A569" s="414">
        <v>5</v>
      </c>
      <c r="B569" s="359" t="s">
        <v>2828</v>
      </c>
      <c r="C569" s="360" t="s">
        <v>873</v>
      </c>
      <c r="D569" s="368"/>
      <c r="E569" s="407">
        <f t="shared" si="8"/>
        <v>4867000</v>
      </c>
      <c r="F569" s="400">
        <f>5485000-618000</f>
        <v>4867000</v>
      </c>
      <c r="G569" s="485"/>
      <c r="H569" s="418">
        <f>5300000+185000</f>
        <v>5485000</v>
      </c>
    </row>
    <row r="570" spans="1:8">
      <c r="A570" s="414">
        <v>5</v>
      </c>
      <c r="B570" s="359" t="s">
        <v>2829</v>
      </c>
      <c r="C570" s="360" t="s">
        <v>874</v>
      </c>
      <c r="D570" s="368"/>
      <c r="E570" s="407">
        <f t="shared" si="8"/>
        <v>0</v>
      </c>
      <c r="F570" s="399"/>
      <c r="G570" s="485"/>
      <c r="H570" s="416"/>
    </row>
    <row r="571" spans="1:8" ht="25.5">
      <c r="A571" s="412" t="s">
        <v>1971</v>
      </c>
      <c r="B571" s="357" t="s">
        <v>876</v>
      </c>
      <c r="C571" s="357" t="s">
        <v>2830</v>
      </c>
      <c r="D571" s="367"/>
      <c r="E571" s="408"/>
      <c r="F571" s="377"/>
      <c r="G571" s="377"/>
      <c r="H571" s="413"/>
    </row>
    <row r="572" spans="1:8" ht="24">
      <c r="A572" s="414" t="s">
        <v>1973</v>
      </c>
      <c r="B572" s="359" t="s">
        <v>2831</v>
      </c>
      <c r="C572" s="360" t="s">
        <v>875</v>
      </c>
      <c r="D572" s="368"/>
      <c r="E572" s="407">
        <f t="shared" si="8"/>
        <v>5907000</v>
      </c>
      <c r="F572" s="399">
        <f>6657000-750000</f>
        <v>5907000</v>
      </c>
      <c r="G572" s="485"/>
      <c r="H572" s="415">
        <v>6657000</v>
      </c>
    </row>
    <row r="573" spans="1:8">
      <c r="A573" s="412" t="s">
        <v>1971</v>
      </c>
      <c r="B573" s="357" t="s">
        <v>878</v>
      </c>
      <c r="C573" s="357" t="s">
        <v>2832</v>
      </c>
      <c r="D573" s="367"/>
      <c r="E573" s="408"/>
      <c r="F573" s="377"/>
      <c r="G573" s="377"/>
      <c r="H573" s="413"/>
    </row>
    <row r="574" spans="1:8">
      <c r="A574" s="414" t="s">
        <v>1973</v>
      </c>
      <c r="B574" s="359" t="s">
        <v>2833</v>
      </c>
      <c r="C574" s="360" t="s">
        <v>877</v>
      </c>
      <c r="D574" s="368"/>
      <c r="E574" s="407">
        <f t="shared" si="8"/>
        <v>142000</v>
      </c>
      <c r="F574" s="400">
        <f>160000-18000</f>
        <v>142000</v>
      </c>
      <c r="G574" s="485"/>
      <c r="H574" s="418">
        <f>150000+10000</f>
        <v>160000</v>
      </c>
    </row>
    <row r="575" spans="1:8">
      <c r="A575" s="412" t="s">
        <v>1971</v>
      </c>
      <c r="B575" s="357" t="s">
        <v>880</v>
      </c>
      <c r="C575" s="357" t="s">
        <v>2834</v>
      </c>
      <c r="D575" s="367"/>
      <c r="E575" s="408"/>
      <c r="F575" s="377"/>
      <c r="G575" s="377"/>
      <c r="H575" s="413"/>
    </row>
    <row r="576" spans="1:8">
      <c r="A576" s="414" t="s">
        <v>1973</v>
      </c>
      <c r="B576" s="359" t="s">
        <v>2835</v>
      </c>
      <c r="C576" s="360" t="s">
        <v>879</v>
      </c>
      <c r="D576" s="368"/>
      <c r="E576" s="407">
        <f t="shared" si="8"/>
        <v>399000</v>
      </c>
      <c r="F576" s="399">
        <f>450000-51000</f>
        <v>399000</v>
      </c>
      <c r="G576" s="485"/>
      <c r="H576" s="415">
        <v>470000</v>
      </c>
    </row>
    <row r="577" spans="1:8">
      <c r="A577" s="412" t="s">
        <v>1971</v>
      </c>
      <c r="B577" s="357" t="s">
        <v>882</v>
      </c>
      <c r="C577" s="357" t="s">
        <v>2836</v>
      </c>
      <c r="D577" s="367"/>
      <c r="E577" s="408"/>
      <c r="F577" s="377"/>
      <c r="G577" s="377"/>
      <c r="H577" s="413"/>
    </row>
    <row r="578" spans="1:8">
      <c r="A578" s="414" t="s">
        <v>1973</v>
      </c>
      <c r="B578" s="359" t="s">
        <v>2837</v>
      </c>
      <c r="C578" s="360" t="s">
        <v>883</v>
      </c>
      <c r="D578" s="368"/>
      <c r="E578" s="407">
        <f t="shared" si="8"/>
        <v>1584000</v>
      </c>
      <c r="F578" s="399">
        <f>1785000-201000</f>
        <v>1584000</v>
      </c>
      <c r="G578" s="485"/>
      <c r="H578" s="418">
        <v>1785000</v>
      </c>
    </row>
    <row r="579" spans="1:8">
      <c r="A579" s="414" t="s">
        <v>1973</v>
      </c>
      <c r="B579" s="359" t="s">
        <v>2838</v>
      </c>
      <c r="C579" s="360" t="s">
        <v>884</v>
      </c>
      <c r="D579" s="368"/>
      <c r="E579" s="407">
        <f t="shared" si="8"/>
        <v>518000</v>
      </c>
      <c r="F579" s="399">
        <f>584000-66000</f>
        <v>518000</v>
      </c>
      <c r="G579" s="485"/>
      <c r="H579" s="418">
        <v>584000</v>
      </c>
    </row>
    <row r="580" spans="1:8">
      <c r="A580" s="414" t="s">
        <v>1973</v>
      </c>
      <c r="B580" s="359" t="s">
        <v>2839</v>
      </c>
      <c r="C580" s="360" t="s">
        <v>881</v>
      </c>
      <c r="D580" s="368"/>
      <c r="E580" s="407">
        <f t="shared" si="8"/>
        <v>956000</v>
      </c>
      <c r="F580" s="400">
        <f>820000+257000-121000</f>
        <v>956000</v>
      </c>
      <c r="G580" s="485"/>
      <c r="H580" s="418">
        <f>817000+350000</f>
        <v>1167000</v>
      </c>
    </row>
    <row r="581" spans="1:8" ht="25.5">
      <c r="A581" s="412" t="s">
        <v>1971</v>
      </c>
      <c r="B581" s="357" t="s">
        <v>886</v>
      </c>
      <c r="C581" s="357" t="s">
        <v>2840</v>
      </c>
      <c r="D581" s="367" t="s">
        <v>1253</v>
      </c>
      <c r="E581" s="408"/>
      <c r="F581" s="377"/>
      <c r="G581" s="377"/>
      <c r="H581" s="413"/>
    </row>
    <row r="582" spans="1:8" ht="24">
      <c r="A582" s="414" t="s">
        <v>1973</v>
      </c>
      <c r="B582" s="359" t="s">
        <v>2841</v>
      </c>
      <c r="C582" s="360" t="s">
        <v>885</v>
      </c>
      <c r="D582" s="368" t="s">
        <v>1253</v>
      </c>
      <c r="E582" s="407">
        <f t="shared" si="8"/>
        <v>0</v>
      </c>
      <c r="F582" s="399"/>
      <c r="G582" s="485"/>
      <c r="H582" s="416"/>
    </row>
    <row r="583" spans="1:8">
      <c r="A583" s="412" t="s">
        <v>1969</v>
      </c>
      <c r="B583" s="357" t="s">
        <v>887</v>
      </c>
      <c r="C583" s="357" t="s">
        <v>2842</v>
      </c>
      <c r="D583" s="367"/>
      <c r="E583" s="408"/>
      <c r="F583" s="377"/>
      <c r="G583" s="377"/>
      <c r="H583" s="413"/>
    </row>
    <row r="584" spans="1:8">
      <c r="A584" s="412" t="s">
        <v>1971</v>
      </c>
      <c r="B584" s="357" t="s">
        <v>888</v>
      </c>
      <c r="C584" s="357" t="s">
        <v>2843</v>
      </c>
      <c r="D584" s="367"/>
      <c r="E584" s="408"/>
      <c r="F584" s="377"/>
      <c r="G584" s="377"/>
      <c r="H584" s="413"/>
    </row>
    <row r="585" spans="1:8">
      <c r="A585" s="414">
        <v>5</v>
      </c>
      <c r="B585" s="359" t="s">
        <v>2844</v>
      </c>
      <c r="C585" s="360" t="s">
        <v>889</v>
      </c>
      <c r="D585" s="368"/>
      <c r="E585" s="407">
        <f t="shared" ref="E585:E647" si="9">F585+G585</f>
        <v>266000</v>
      </c>
      <c r="F585" s="399">
        <f>300000-34000</f>
        <v>266000</v>
      </c>
      <c r="G585" s="485"/>
      <c r="H585" s="418">
        <f>218000+60000+12000+20000</f>
        <v>310000</v>
      </c>
    </row>
    <row r="586" spans="1:8">
      <c r="A586" s="414">
        <v>5</v>
      </c>
      <c r="B586" s="359" t="s">
        <v>2845</v>
      </c>
      <c r="C586" s="360" t="s">
        <v>890</v>
      </c>
      <c r="D586" s="368"/>
      <c r="E586" s="407">
        <f t="shared" si="9"/>
        <v>169000</v>
      </c>
      <c r="F586" s="401">
        <f>190000-21000</f>
        <v>169000</v>
      </c>
      <c r="G586" s="485"/>
      <c r="H586" s="418">
        <f>75000+5000</f>
        <v>80000</v>
      </c>
    </row>
    <row r="587" spans="1:8">
      <c r="A587" s="412" t="s">
        <v>1971</v>
      </c>
      <c r="B587" s="357" t="s">
        <v>891</v>
      </c>
      <c r="C587" s="357" t="s">
        <v>2846</v>
      </c>
      <c r="D587" s="367"/>
      <c r="E587" s="408"/>
      <c r="F587" s="377"/>
      <c r="G587" s="377"/>
      <c r="H587" s="413"/>
    </row>
    <row r="588" spans="1:8">
      <c r="A588" s="412" t="s">
        <v>1973</v>
      </c>
      <c r="B588" s="357" t="s">
        <v>893</v>
      </c>
      <c r="C588" s="357" t="s">
        <v>1600</v>
      </c>
      <c r="D588" s="367"/>
      <c r="E588" s="408"/>
      <c r="F588" s="377"/>
      <c r="G588" s="377"/>
      <c r="H588" s="413"/>
    </row>
    <row r="589" spans="1:8">
      <c r="A589" s="414" t="s">
        <v>1975</v>
      </c>
      <c r="B589" s="359" t="s">
        <v>2847</v>
      </c>
      <c r="C589" s="360" t="s">
        <v>892</v>
      </c>
      <c r="D589" s="368"/>
      <c r="E589" s="407">
        <f t="shared" si="9"/>
        <v>1946000</v>
      </c>
      <c r="F589" s="398">
        <f>2193000-247000</f>
        <v>1946000</v>
      </c>
      <c r="G589" s="485"/>
      <c r="H589" s="415">
        <f>1817000+376000</f>
        <v>2193000</v>
      </c>
    </row>
    <row r="590" spans="1:8">
      <c r="A590" s="412" t="s">
        <v>1973</v>
      </c>
      <c r="B590" s="357" t="s">
        <v>894</v>
      </c>
      <c r="C590" s="357" t="s">
        <v>1601</v>
      </c>
      <c r="D590" s="367"/>
      <c r="E590" s="408"/>
      <c r="F590" s="377"/>
      <c r="G590" s="377"/>
      <c r="H590" s="413"/>
    </row>
    <row r="591" spans="1:8">
      <c r="A591" s="414" t="s">
        <v>1975</v>
      </c>
      <c r="B591" s="359" t="s">
        <v>2848</v>
      </c>
      <c r="C591" s="360" t="s">
        <v>895</v>
      </c>
      <c r="D591" s="368"/>
      <c r="E591" s="407">
        <f t="shared" si="9"/>
        <v>1242000</v>
      </c>
      <c r="F591" s="399">
        <f>1400000-158000</f>
        <v>1242000</v>
      </c>
      <c r="G591" s="485"/>
      <c r="H591" s="418">
        <v>149000</v>
      </c>
    </row>
    <row r="592" spans="1:8">
      <c r="A592" s="414" t="s">
        <v>1975</v>
      </c>
      <c r="B592" s="359" t="s">
        <v>2849</v>
      </c>
      <c r="C592" s="360" t="s">
        <v>896</v>
      </c>
      <c r="D592" s="368"/>
      <c r="E592" s="407">
        <f t="shared" si="9"/>
        <v>444000</v>
      </c>
      <c r="F592" s="400">
        <f>500000-56000</f>
        <v>444000</v>
      </c>
      <c r="G592" s="485"/>
      <c r="H592" s="418">
        <v>500000</v>
      </c>
    </row>
    <row r="593" spans="1:8">
      <c r="A593" s="414" t="s">
        <v>1975</v>
      </c>
      <c r="B593" s="359" t="s">
        <v>2850</v>
      </c>
      <c r="C593" s="360" t="s">
        <v>897</v>
      </c>
      <c r="D593" s="368"/>
      <c r="E593" s="407">
        <f t="shared" si="9"/>
        <v>31000</v>
      </c>
      <c r="F593" s="399">
        <f>35000-4000</f>
        <v>31000</v>
      </c>
      <c r="G593" s="485"/>
      <c r="H593" s="418">
        <v>57000</v>
      </c>
    </row>
    <row r="594" spans="1:8">
      <c r="A594" s="414" t="s">
        <v>1975</v>
      </c>
      <c r="B594" s="359" t="s">
        <v>2851</v>
      </c>
      <c r="C594" s="360" t="s">
        <v>898</v>
      </c>
      <c r="D594" s="368"/>
      <c r="E594" s="407">
        <f t="shared" si="9"/>
        <v>508000</v>
      </c>
      <c r="F594" s="400">
        <f>60000+120000+393000-65000</f>
        <v>508000</v>
      </c>
      <c r="G594" s="485"/>
      <c r="H594" s="418">
        <f>40000+140000+413000</f>
        <v>593000</v>
      </c>
    </row>
    <row r="595" spans="1:8">
      <c r="A595" s="412" t="s">
        <v>1971</v>
      </c>
      <c r="B595" s="357" t="s">
        <v>899</v>
      </c>
      <c r="C595" s="357" t="s">
        <v>2852</v>
      </c>
      <c r="D595" s="367"/>
      <c r="E595" s="408"/>
      <c r="F595" s="377"/>
      <c r="G595" s="377"/>
      <c r="H595" s="413"/>
    </row>
    <row r="596" spans="1:8">
      <c r="A596" s="412" t="s">
        <v>1973</v>
      </c>
      <c r="B596" s="357" t="s">
        <v>900</v>
      </c>
      <c r="C596" s="357" t="s">
        <v>1603</v>
      </c>
      <c r="D596" s="367"/>
      <c r="E596" s="408"/>
      <c r="F596" s="377"/>
      <c r="G596" s="377"/>
      <c r="H596" s="413"/>
    </row>
    <row r="597" spans="1:8">
      <c r="A597" s="414" t="s">
        <v>1975</v>
      </c>
      <c r="B597" s="359" t="s">
        <v>2853</v>
      </c>
      <c r="C597" s="360" t="s">
        <v>2854</v>
      </c>
      <c r="D597" s="368"/>
      <c r="E597" s="407">
        <f t="shared" si="9"/>
        <v>0</v>
      </c>
      <c r="F597" s="399"/>
      <c r="G597" s="485"/>
      <c r="H597" s="416"/>
    </row>
    <row r="598" spans="1:8">
      <c r="A598" s="414" t="s">
        <v>1975</v>
      </c>
      <c r="B598" s="359" t="s">
        <v>2855</v>
      </c>
      <c r="C598" s="360" t="s">
        <v>2856</v>
      </c>
      <c r="D598" s="368"/>
      <c r="E598" s="407">
        <f t="shared" si="9"/>
        <v>0</v>
      </c>
      <c r="F598" s="399"/>
      <c r="G598" s="485"/>
      <c r="H598" s="416"/>
    </row>
    <row r="599" spans="1:8">
      <c r="A599" s="412" t="s">
        <v>1973</v>
      </c>
      <c r="B599" s="357" t="s">
        <v>901</v>
      </c>
      <c r="C599" s="357" t="s">
        <v>1604</v>
      </c>
      <c r="D599" s="367"/>
      <c r="E599" s="408"/>
      <c r="F599" s="377"/>
      <c r="G599" s="377"/>
      <c r="H599" s="413"/>
    </row>
    <row r="600" spans="1:8">
      <c r="A600" s="414" t="s">
        <v>1975</v>
      </c>
      <c r="B600" s="359" t="s">
        <v>2857</v>
      </c>
      <c r="C600" s="360" t="s">
        <v>2858</v>
      </c>
      <c r="D600" s="368"/>
      <c r="E600" s="407">
        <f t="shared" si="9"/>
        <v>0</v>
      </c>
      <c r="F600" s="399"/>
      <c r="G600" s="485"/>
      <c r="H600" s="416"/>
    </row>
    <row r="601" spans="1:8">
      <c r="A601" s="414" t="s">
        <v>1975</v>
      </c>
      <c r="B601" s="359" t="s">
        <v>2859</v>
      </c>
      <c r="C601" s="360" t="s">
        <v>2860</v>
      </c>
      <c r="D601" s="368"/>
      <c r="E601" s="407">
        <f t="shared" si="9"/>
        <v>0</v>
      </c>
      <c r="F601" s="399"/>
      <c r="G601" s="485"/>
      <c r="H601" s="416"/>
    </row>
    <row r="602" spans="1:8">
      <c r="A602" s="412" t="s">
        <v>1971</v>
      </c>
      <c r="B602" s="357" t="s">
        <v>903</v>
      </c>
      <c r="C602" s="357" t="s">
        <v>1605</v>
      </c>
      <c r="D602" s="367"/>
      <c r="E602" s="408"/>
      <c r="F602" s="377"/>
      <c r="G602" s="377"/>
      <c r="H602" s="413"/>
    </row>
    <row r="603" spans="1:8">
      <c r="A603" s="414" t="s">
        <v>1973</v>
      </c>
      <c r="B603" s="359" t="s">
        <v>2861</v>
      </c>
      <c r="C603" s="360" t="s">
        <v>902</v>
      </c>
      <c r="D603" s="368"/>
      <c r="E603" s="407">
        <f t="shared" si="9"/>
        <v>373000</v>
      </c>
      <c r="F603" s="401">
        <f>420000-47000</f>
        <v>373000</v>
      </c>
      <c r="G603" s="485"/>
      <c r="H603" s="416">
        <v>247000</v>
      </c>
    </row>
    <row r="604" spans="1:8" ht="25.5">
      <c r="A604" s="412" t="s">
        <v>1971</v>
      </c>
      <c r="B604" s="357" t="s">
        <v>905</v>
      </c>
      <c r="C604" s="357" t="s">
        <v>1606</v>
      </c>
      <c r="D604" s="367" t="s">
        <v>1253</v>
      </c>
      <c r="E604" s="408"/>
      <c r="F604" s="377"/>
      <c r="G604" s="377"/>
      <c r="H604" s="413"/>
    </row>
    <row r="605" spans="1:8" ht="24">
      <c r="A605" s="414" t="s">
        <v>1973</v>
      </c>
      <c r="B605" s="359" t="s">
        <v>2862</v>
      </c>
      <c r="C605" s="360" t="s">
        <v>904</v>
      </c>
      <c r="D605" s="368" t="s">
        <v>1253</v>
      </c>
      <c r="E605" s="407">
        <f t="shared" si="9"/>
        <v>0</v>
      </c>
      <c r="F605" s="399"/>
      <c r="G605" s="485"/>
      <c r="H605" s="416"/>
    </row>
    <row r="606" spans="1:8">
      <c r="A606" s="412" t="s">
        <v>1969</v>
      </c>
      <c r="B606" s="357" t="s">
        <v>906</v>
      </c>
      <c r="C606" s="357" t="s">
        <v>2863</v>
      </c>
      <c r="D606" s="367"/>
      <c r="E606" s="408"/>
      <c r="F606" s="377"/>
      <c r="G606" s="377"/>
      <c r="H606" s="413"/>
    </row>
    <row r="607" spans="1:8">
      <c r="A607" s="412" t="s">
        <v>1971</v>
      </c>
      <c r="B607" s="357" t="s">
        <v>907</v>
      </c>
      <c r="C607" s="357" t="s">
        <v>1610</v>
      </c>
      <c r="D607" s="367"/>
      <c r="E607" s="408"/>
      <c r="F607" s="377"/>
      <c r="G607" s="377"/>
      <c r="H607" s="413"/>
    </row>
    <row r="608" spans="1:8">
      <c r="A608" s="412" t="s">
        <v>1973</v>
      </c>
      <c r="B608" s="357" t="s">
        <v>908</v>
      </c>
      <c r="C608" s="357" t="s">
        <v>1611</v>
      </c>
      <c r="D608" s="367"/>
      <c r="E608" s="408"/>
      <c r="F608" s="377"/>
      <c r="G608" s="377"/>
      <c r="H608" s="413"/>
    </row>
    <row r="609" spans="1:8" ht="25.5">
      <c r="A609" s="412" t="s">
        <v>1975</v>
      </c>
      <c r="B609" s="357" t="s">
        <v>909</v>
      </c>
      <c r="C609" s="357" t="s">
        <v>1612</v>
      </c>
      <c r="D609" s="367"/>
      <c r="E609" s="408"/>
      <c r="F609" s="377"/>
      <c r="G609" s="377"/>
      <c r="H609" s="413"/>
    </row>
    <row r="610" spans="1:8" ht="24">
      <c r="A610" s="414">
        <v>7</v>
      </c>
      <c r="B610" s="359" t="s">
        <v>2864</v>
      </c>
      <c r="C610" s="360" t="s">
        <v>2865</v>
      </c>
      <c r="D610" s="368"/>
      <c r="E610" s="407">
        <f t="shared" si="9"/>
        <v>49727361</v>
      </c>
      <c r="F610" s="399">
        <v>49727361</v>
      </c>
      <c r="G610" s="485"/>
      <c r="H610" s="415">
        <v>49501046</v>
      </c>
    </row>
    <row r="611" spans="1:8" ht="24">
      <c r="A611" s="414">
        <v>7</v>
      </c>
      <c r="B611" s="359" t="s">
        <v>2866</v>
      </c>
      <c r="C611" s="360" t="s">
        <v>2867</v>
      </c>
      <c r="D611" s="368"/>
      <c r="E611" s="407">
        <f t="shared" si="9"/>
        <v>17978682</v>
      </c>
      <c r="F611" s="399">
        <f>13594478+4384204</f>
        <v>17978682</v>
      </c>
      <c r="G611" s="485"/>
      <c r="H611" s="415">
        <v>13761027</v>
      </c>
    </row>
    <row r="612" spans="1:8" ht="24">
      <c r="A612" s="414">
        <v>7</v>
      </c>
      <c r="B612" s="359" t="s">
        <v>2868</v>
      </c>
      <c r="C612" s="360" t="s">
        <v>2869</v>
      </c>
      <c r="D612" s="368"/>
      <c r="E612" s="407">
        <f t="shared" si="9"/>
        <v>1173006</v>
      </c>
      <c r="F612" s="399">
        <v>1173006</v>
      </c>
      <c r="G612" s="485"/>
      <c r="H612" s="415">
        <v>3228482</v>
      </c>
    </row>
    <row r="613" spans="1:8" ht="24">
      <c r="A613" s="414">
        <v>7</v>
      </c>
      <c r="B613" s="359" t="s">
        <v>2870</v>
      </c>
      <c r="C613" s="360" t="s">
        <v>2871</v>
      </c>
      <c r="D613" s="368"/>
      <c r="E613" s="407">
        <f t="shared" si="9"/>
        <v>2394152</v>
      </c>
      <c r="F613" s="399">
        <v>2394152</v>
      </c>
      <c r="G613" s="485"/>
      <c r="H613" s="415">
        <v>2582025</v>
      </c>
    </row>
    <row r="614" spans="1:8" ht="24">
      <c r="A614" s="414">
        <v>7</v>
      </c>
      <c r="B614" s="359" t="s">
        <v>2872</v>
      </c>
      <c r="C614" s="360" t="s">
        <v>2873</v>
      </c>
      <c r="D614" s="368"/>
      <c r="E614" s="407">
        <f t="shared" si="9"/>
        <v>0</v>
      </c>
      <c r="F614" s="399"/>
      <c r="G614" s="485"/>
      <c r="H614" s="416"/>
    </row>
    <row r="615" spans="1:8" ht="24">
      <c r="A615" s="414">
        <v>7</v>
      </c>
      <c r="B615" s="359" t="s">
        <v>2874</v>
      </c>
      <c r="C615" s="360" t="s">
        <v>2875</v>
      </c>
      <c r="D615" s="368"/>
      <c r="E615" s="407">
        <f t="shared" si="9"/>
        <v>0</v>
      </c>
      <c r="F615" s="399"/>
      <c r="G615" s="485"/>
      <c r="H615" s="416"/>
    </row>
    <row r="616" spans="1:8" ht="24">
      <c r="A616" s="414">
        <v>7</v>
      </c>
      <c r="B616" s="359" t="s">
        <v>2876</v>
      </c>
      <c r="C616" s="360" t="s">
        <v>2877</v>
      </c>
      <c r="D616" s="368"/>
      <c r="E616" s="407">
        <f t="shared" si="9"/>
        <v>85000</v>
      </c>
      <c r="F616" s="399">
        <v>85000</v>
      </c>
      <c r="G616" s="485"/>
      <c r="H616" s="415">
        <v>85000</v>
      </c>
    </row>
    <row r="617" spans="1:8" ht="24">
      <c r="A617" s="414">
        <v>7</v>
      </c>
      <c r="B617" s="359" t="s">
        <v>2878</v>
      </c>
      <c r="C617" s="360" t="s">
        <v>2879</v>
      </c>
      <c r="D617" s="368"/>
      <c r="E617" s="407">
        <f t="shared" si="9"/>
        <v>19872290</v>
      </c>
      <c r="F617" s="399">
        <f>18636821+1235469</f>
        <v>19872290</v>
      </c>
      <c r="G617" s="485"/>
      <c r="H617" s="415">
        <v>19183267</v>
      </c>
    </row>
    <row r="618" spans="1:8" ht="25.5">
      <c r="A618" s="412" t="s">
        <v>1975</v>
      </c>
      <c r="B618" s="357" t="s">
        <v>910</v>
      </c>
      <c r="C618" s="357" t="s">
        <v>2880</v>
      </c>
      <c r="D618" s="367"/>
      <c r="E618" s="408"/>
      <c r="F618" s="377"/>
      <c r="G618" s="377"/>
      <c r="H618" s="413"/>
    </row>
    <row r="619" spans="1:8" ht="24">
      <c r="A619" s="414">
        <v>7</v>
      </c>
      <c r="B619" s="359" t="s">
        <v>2881</v>
      </c>
      <c r="C619" s="360" t="s">
        <v>2882</v>
      </c>
      <c r="D619" s="368"/>
      <c r="E619" s="407">
        <f t="shared" si="9"/>
        <v>3242397</v>
      </c>
      <c r="F619" s="399">
        <v>3242397</v>
      </c>
      <c r="G619" s="485"/>
      <c r="H619" s="415">
        <v>2589463</v>
      </c>
    </row>
    <row r="620" spans="1:8" ht="24">
      <c r="A620" s="414">
        <v>7</v>
      </c>
      <c r="B620" s="359" t="s">
        <v>2883</v>
      </c>
      <c r="C620" s="360" t="s">
        <v>2884</v>
      </c>
      <c r="D620" s="368"/>
      <c r="E620" s="407">
        <f t="shared" si="9"/>
        <v>886407</v>
      </c>
      <c r="F620" s="399">
        <v>886407</v>
      </c>
      <c r="G620" s="485"/>
      <c r="H620" s="415">
        <v>719857</v>
      </c>
    </row>
    <row r="621" spans="1:8" ht="24">
      <c r="A621" s="414">
        <v>7</v>
      </c>
      <c r="B621" s="359" t="s">
        <v>2885</v>
      </c>
      <c r="C621" s="360" t="s">
        <v>2886</v>
      </c>
      <c r="D621" s="368"/>
      <c r="E621" s="407">
        <f t="shared" si="9"/>
        <v>100717</v>
      </c>
      <c r="F621" s="399">
        <v>100717</v>
      </c>
      <c r="G621" s="485"/>
      <c r="H621" s="415">
        <v>188328</v>
      </c>
    </row>
    <row r="622" spans="1:8" ht="24">
      <c r="A622" s="414">
        <v>7</v>
      </c>
      <c r="B622" s="359" t="s">
        <v>2887</v>
      </c>
      <c r="C622" s="360" t="s">
        <v>2888</v>
      </c>
      <c r="D622" s="368"/>
      <c r="E622" s="407">
        <f t="shared" si="9"/>
        <v>161082</v>
      </c>
      <c r="F622" s="399">
        <v>161082</v>
      </c>
      <c r="G622" s="485"/>
      <c r="H622" s="415">
        <v>139060</v>
      </c>
    </row>
    <row r="623" spans="1:8" ht="24">
      <c r="A623" s="414">
        <v>7</v>
      </c>
      <c r="B623" s="359" t="s">
        <v>2889</v>
      </c>
      <c r="C623" s="360" t="s">
        <v>2890</v>
      </c>
      <c r="D623" s="368"/>
      <c r="E623" s="407">
        <f t="shared" si="9"/>
        <v>0</v>
      </c>
      <c r="F623" s="399"/>
      <c r="G623" s="485"/>
      <c r="H623" s="416"/>
    </row>
    <row r="624" spans="1:8" ht="24">
      <c r="A624" s="414">
        <v>7</v>
      </c>
      <c r="B624" s="359" t="s">
        <v>2891</v>
      </c>
      <c r="C624" s="360" t="s">
        <v>2892</v>
      </c>
      <c r="D624" s="368"/>
      <c r="E624" s="407">
        <f t="shared" si="9"/>
        <v>0</v>
      </c>
      <c r="F624" s="399"/>
      <c r="G624" s="485"/>
      <c r="H624" s="416"/>
    </row>
    <row r="625" spans="1:8">
      <c r="A625" s="414">
        <v>7</v>
      </c>
      <c r="B625" s="359" t="s">
        <v>2893</v>
      </c>
      <c r="C625" s="360" t="s">
        <v>2894</v>
      </c>
      <c r="D625" s="368"/>
      <c r="E625" s="407">
        <f t="shared" si="9"/>
        <v>18000</v>
      </c>
      <c r="F625" s="399">
        <v>18000</v>
      </c>
      <c r="G625" s="485"/>
      <c r="H625" s="415">
        <v>18000</v>
      </c>
    </row>
    <row r="626" spans="1:8" ht="24">
      <c r="A626" s="414">
        <v>7</v>
      </c>
      <c r="B626" s="359" t="s">
        <v>2895</v>
      </c>
      <c r="C626" s="360" t="s">
        <v>2896</v>
      </c>
      <c r="D626" s="368"/>
      <c r="E626" s="407">
        <f t="shared" si="9"/>
        <v>1296624</v>
      </c>
      <c r="F626" s="399">
        <v>1296624</v>
      </c>
      <c r="G626" s="485"/>
      <c r="H626" s="415">
        <v>1071627</v>
      </c>
    </row>
    <row r="627" spans="1:8">
      <c r="A627" s="412" t="s">
        <v>1975</v>
      </c>
      <c r="B627" s="357" t="s">
        <v>912</v>
      </c>
      <c r="C627" s="357" t="s">
        <v>1614</v>
      </c>
      <c r="D627" s="367"/>
      <c r="E627" s="408"/>
      <c r="F627" s="377"/>
      <c r="G627" s="377"/>
      <c r="H627" s="413"/>
    </row>
    <row r="628" spans="1:8">
      <c r="A628" s="414" t="s">
        <v>1978</v>
      </c>
      <c r="B628" s="359" t="s">
        <v>2897</v>
      </c>
      <c r="C628" s="360" t="s">
        <v>911</v>
      </c>
      <c r="D628" s="368"/>
      <c r="E628" s="407">
        <f t="shared" si="9"/>
        <v>0</v>
      </c>
      <c r="F628" s="399"/>
      <c r="G628" s="485"/>
      <c r="H628" s="415"/>
    </row>
    <row r="629" spans="1:8">
      <c r="A629" s="412" t="s">
        <v>1973</v>
      </c>
      <c r="B629" s="357" t="s">
        <v>913</v>
      </c>
      <c r="C629" s="357" t="s">
        <v>1615</v>
      </c>
      <c r="D629" s="367"/>
      <c r="E629" s="408"/>
      <c r="F629" s="377"/>
      <c r="G629" s="377"/>
      <c r="H629" s="413"/>
    </row>
    <row r="630" spans="1:8" ht="25.5">
      <c r="A630" s="412" t="s">
        <v>1975</v>
      </c>
      <c r="B630" s="357" t="s">
        <v>914</v>
      </c>
      <c r="C630" s="357" t="s">
        <v>2898</v>
      </c>
      <c r="D630" s="367"/>
      <c r="E630" s="408"/>
      <c r="F630" s="377"/>
      <c r="G630" s="377"/>
      <c r="H630" s="413"/>
    </row>
    <row r="631" spans="1:8" ht="24">
      <c r="A631" s="414">
        <v>7</v>
      </c>
      <c r="B631" s="359" t="s">
        <v>2899</v>
      </c>
      <c r="C631" s="360" t="s">
        <v>2900</v>
      </c>
      <c r="D631" s="368"/>
      <c r="E631" s="407">
        <f t="shared" si="9"/>
        <v>7451967</v>
      </c>
      <c r="F631" s="399">
        <v>7451967</v>
      </c>
      <c r="G631" s="485"/>
      <c r="H631" s="415">
        <v>7254574</v>
      </c>
    </row>
    <row r="632" spans="1:8" ht="24">
      <c r="A632" s="414">
        <v>7</v>
      </c>
      <c r="B632" s="359" t="s">
        <v>2901</v>
      </c>
      <c r="C632" s="360" t="s">
        <v>2902</v>
      </c>
      <c r="D632" s="368"/>
      <c r="E632" s="407">
        <f t="shared" si="9"/>
        <v>1077752</v>
      </c>
      <c r="F632" s="399">
        <v>1077752</v>
      </c>
      <c r="G632" s="485"/>
      <c r="H632" s="415">
        <v>1078644</v>
      </c>
    </row>
    <row r="633" spans="1:8" ht="24">
      <c r="A633" s="414">
        <v>7</v>
      </c>
      <c r="B633" s="359" t="s">
        <v>2903</v>
      </c>
      <c r="C633" s="360" t="s">
        <v>2904</v>
      </c>
      <c r="D633" s="368"/>
      <c r="E633" s="407">
        <f t="shared" si="9"/>
        <v>469297</v>
      </c>
      <c r="F633" s="399">
        <v>469297</v>
      </c>
      <c r="G633" s="485"/>
      <c r="H633" s="415">
        <v>734333</v>
      </c>
    </row>
    <row r="634" spans="1:8" ht="24">
      <c r="A634" s="414">
        <v>7</v>
      </c>
      <c r="B634" s="359" t="s">
        <v>2905</v>
      </c>
      <c r="C634" s="360" t="s">
        <v>2906</v>
      </c>
      <c r="D634" s="368"/>
      <c r="E634" s="407">
        <f t="shared" si="9"/>
        <v>134391</v>
      </c>
      <c r="F634" s="399">
        <v>134391</v>
      </c>
      <c r="G634" s="485"/>
      <c r="H634" s="415">
        <v>152178</v>
      </c>
    </row>
    <row r="635" spans="1:8" ht="24">
      <c r="A635" s="414">
        <v>7</v>
      </c>
      <c r="B635" s="359" t="s">
        <v>2907</v>
      </c>
      <c r="C635" s="360" t="s">
        <v>2908</v>
      </c>
      <c r="D635" s="368"/>
      <c r="E635" s="407">
        <f t="shared" si="9"/>
        <v>0</v>
      </c>
      <c r="F635" s="399"/>
      <c r="G635" s="485"/>
      <c r="H635" s="416"/>
    </row>
    <row r="636" spans="1:8" ht="24">
      <c r="A636" s="414">
        <v>7</v>
      </c>
      <c r="B636" s="359" t="s">
        <v>2909</v>
      </c>
      <c r="C636" s="360" t="s">
        <v>2910</v>
      </c>
      <c r="D636" s="368"/>
      <c r="E636" s="407">
        <f t="shared" si="9"/>
        <v>0</v>
      </c>
      <c r="F636" s="399"/>
      <c r="G636" s="485"/>
      <c r="H636" s="416"/>
    </row>
    <row r="637" spans="1:8" ht="24">
      <c r="A637" s="414">
        <v>7</v>
      </c>
      <c r="B637" s="359" t="s">
        <v>2911</v>
      </c>
      <c r="C637" s="360" t="s">
        <v>2912</v>
      </c>
      <c r="D637" s="368"/>
      <c r="E637" s="407">
        <f t="shared" si="9"/>
        <v>0</v>
      </c>
      <c r="F637" s="399"/>
      <c r="G637" s="485"/>
      <c r="H637" s="415"/>
    </row>
    <row r="638" spans="1:8" ht="24">
      <c r="A638" s="414">
        <v>7</v>
      </c>
      <c r="B638" s="359" t="s">
        <v>2913</v>
      </c>
      <c r="C638" s="360" t="s">
        <v>2914</v>
      </c>
      <c r="D638" s="368"/>
      <c r="E638" s="407">
        <f t="shared" si="9"/>
        <v>2538506</v>
      </c>
      <c r="F638" s="399">
        <v>2538506</v>
      </c>
      <c r="G638" s="485"/>
      <c r="H638" s="415">
        <v>2554517</v>
      </c>
    </row>
    <row r="639" spans="1:8" ht="25.5">
      <c r="A639" s="412" t="s">
        <v>1975</v>
      </c>
      <c r="B639" s="357" t="s">
        <v>915</v>
      </c>
      <c r="C639" s="357" t="s">
        <v>2915</v>
      </c>
      <c r="D639" s="367"/>
      <c r="E639" s="408"/>
      <c r="F639" s="377"/>
      <c r="G639" s="377"/>
      <c r="H639" s="413"/>
    </row>
    <row r="640" spans="1:8" ht="24">
      <c r="A640" s="414">
        <v>7</v>
      </c>
      <c r="B640" s="359" t="s">
        <v>2916</v>
      </c>
      <c r="C640" s="360" t="s">
        <v>2917</v>
      </c>
      <c r="D640" s="368"/>
      <c r="E640" s="407">
        <f t="shared" si="9"/>
        <v>232600</v>
      </c>
      <c r="F640" s="399">
        <v>232600</v>
      </c>
      <c r="G640" s="485"/>
      <c r="H640" s="415">
        <v>220253</v>
      </c>
    </row>
    <row r="641" spans="1:8" ht="24">
      <c r="A641" s="414">
        <v>7</v>
      </c>
      <c r="B641" s="359" t="s">
        <v>2918</v>
      </c>
      <c r="C641" s="360" t="s">
        <v>2919</v>
      </c>
      <c r="D641" s="368"/>
      <c r="E641" s="407">
        <f t="shared" si="9"/>
        <v>33640</v>
      </c>
      <c r="F641" s="399">
        <v>33640</v>
      </c>
      <c r="G641" s="485"/>
      <c r="H641" s="415">
        <v>32748</v>
      </c>
    </row>
    <row r="642" spans="1:8" ht="24">
      <c r="A642" s="414">
        <v>7</v>
      </c>
      <c r="B642" s="359" t="s">
        <v>2920</v>
      </c>
      <c r="C642" s="360" t="s">
        <v>2921</v>
      </c>
      <c r="D642" s="368"/>
      <c r="E642" s="407">
        <f t="shared" si="9"/>
        <v>14648</v>
      </c>
      <c r="F642" s="399">
        <v>14648</v>
      </c>
      <c r="G642" s="485"/>
      <c r="H642" s="415">
        <v>22295</v>
      </c>
    </row>
    <row r="643" spans="1:8" ht="24">
      <c r="A643" s="414">
        <v>7</v>
      </c>
      <c r="B643" s="359" t="s">
        <v>2922</v>
      </c>
      <c r="C643" s="360" t="s">
        <v>2923</v>
      </c>
      <c r="D643" s="368"/>
      <c r="E643" s="407">
        <f t="shared" si="9"/>
        <v>4195</v>
      </c>
      <c r="F643" s="399">
        <v>4195</v>
      </c>
      <c r="G643" s="485"/>
      <c r="H643" s="415">
        <v>4620</v>
      </c>
    </row>
    <row r="644" spans="1:8" ht="24">
      <c r="A644" s="414">
        <v>7</v>
      </c>
      <c r="B644" s="359" t="s">
        <v>2924</v>
      </c>
      <c r="C644" s="360" t="s">
        <v>2925</v>
      </c>
      <c r="D644" s="368"/>
      <c r="E644" s="407">
        <f t="shared" si="9"/>
        <v>0</v>
      </c>
      <c r="F644" s="399"/>
      <c r="G644" s="485"/>
      <c r="H644" s="416"/>
    </row>
    <row r="645" spans="1:8" ht="24">
      <c r="A645" s="414">
        <v>7</v>
      </c>
      <c r="B645" s="359" t="s">
        <v>2926</v>
      </c>
      <c r="C645" s="360" t="s">
        <v>2927</v>
      </c>
      <c r="D645" s="368"/>
      <c r="E645" s="407">
        <f t="shared" si="9"/>
        <v>0</v>
      </c>
      <c r="F645" s="399"/>
      <c r="G645" s="485"/>
      <c r="H645" s="416"/>
    </row>
    <row r="646" spans="1:8" ht="24">
      <c r="A646" s="414">
        <v>7</v>
      </c>
      <c r="B646" s="359" t="s">
        <v>2928</v>
      </c>
      <c r="C646" s="360" t="s">
        <v>2929</v>
      </c>
      <c r="D646" s="368"/>
      <c r="E646" s="407">
        <f t="shared" si="9"/>
        <v>0</v>
      </c>
      <c r="F646" s="399"/>
      <c r="G646" s="485"/>
      <c r="H646" s="415"/>
    </row>
    <row r="647" spans="1:8" ht="24">
      <c r="A647" s="414">
        <v>7</v>
      </c>
      <c r="B647" s="359" t="s">
        <v>2930</v>
      </c>
      <c r="C647" s="360" t="s">
        <v>2931</v>
      </c>
      <c r="D647" s="368"/>
      <c r="E647" s="407">
        <f t="shared" si="9"/>
        <v>83825</v>
      </c>
      <c r="F647" s="399">
        <v>83825</v>
      </c>
      <c r="G647" s="485"/>
      <c r="H647" s="415">
        <v>82063</v>
      </c>
    </row>
    <row r="648" spans="1:8">
      <c r="A648" s="412" t="s">
        <v>1975</v>
      </c>
      <c r="B648" s="357" t="s">
        <v>916</v>
      </c>
      <c r="C648" s="357" t="s">
        <v>1618</v>
      </c>
      <c r="D648" s="367"/>
      <c r="E648" s="408"/>
      <c r="F648" s="377"/>
      <c r="G648" s="377"/>
      <c r="H648" s="413"/>
    </row>
    <row r="649" spans="1:8">
      <c r="A649" s="414" t="s">
        <v>1978</v>
      </c>
      <c r="B649" s="359" t="s">
        <v>2932</v>
      </c>
      <c r="C649" s="360" t="s">
        <v>2933</v>
      </c>
      <c r="D649" s="368"/>
      <c r="E649" s="407">
        <f t="shared" ref="E649:E709" si="10">F649+G649</f>
        <v>0</v>
      </c>
      <c r="F649" s="399"/>
      <c r="G649" s="485"/>
      <c r="H649" s="416"/>
    </row>
    <row r="650" spans="1:8">
      <c r="A650" s="412" t="s">
        <v>1971</v>
      </c>
      <c r="B650" s="357" t="s">
        <v>917</v>
      </c>
      <c r="C650" s="357" t="s">
        <v>1619</v>
      </c>
      <c r="D650" s="367"/>
      <c r="E650" s="408"/>
      <c r="F650" s="377"/>
      <c r="G650" s="377"/>
      <c r="H650" s="413"/>
    </row>
    <row r="651" spans="1:8" ht="25.5">
      <c r="A651" s="412" t="s">
        <v>1973</v>
      </c>
      <c r="B651" s="357" t="s">
        <v>918</v>
      </c>
      <c r="C651" s="357" t="s">
        <v>2934</v>
      </c>
      <c r="D651" s="367"/>
      <c r="E651" s="408"/>
      <c r="F651" s="377"/>
      <c r="G651" s="377"/>
      <c r="H651" s="413"/>
    </row>
    <row r="652" spans="1:8" ht="24">
      <c r="A652" s="414">
        <v>6</v>
      </c>
      <c r="B652" s="359" t="s">
        <v>2935</v>
      </c>
      <c r="C652" s="360" t="s">
        <v>2936</v>
      </c>
      <c r="D652" s="368"/>
      <c r="E652" s="407">
        <f t="shared" si="10"/>
        <v>84546124</v>
      </c>
      <c r="F652" s="399">
        <v>84546124</v>
      </c>
      <c r="G652" s="485"/>
      <c r="H652" s="415">
        <v>81068384</v>
      </c>
    </row>
    <row r="653" spans="1:8" ht="24">
      <c r="A653" s="422">
        <v>6</v>
      </c>
      <c r="B653" s="363" t="s">
        <v>2937</v>
      </c>
      <c r="C653" s="364" t="s">
        <v>2938</v>
      </c>
      <c r="D653" s="373"/>
      <c r="E653" s="409"/>
      <c r="F653" s="381"/>
      <c r="G653" s="381"/>
      <c r="H653" s="423"/>
    </row>
    <row r="654" spans="1:8" ht="24">
      <c r="A654" s="414">
        <v>7</v>
      </c>
      <c r="B654" s="359" t="s">
        <v>2939</v>
      </c>
      <c r="C654" s="360" t="s">
        <v>2940</v>
      </c>
      <c r="D654" s="368"/>
      <c r="E654" s="407">
        <f t="shared" si="10"/>
        <v>1288004</v>
      </c>
      <c r="F654" s="399">
        <v>1288004</v>
      </c>
      <c r="G654" s="485"/>
      <c r="H654" s="415">
        <v>1250555</v>
      </c>
    </row>
    <row r="655" spans="1:8" ht="24">
      <c r="A655" s="414">
        <v>7</v>
      </c>
      <c r="B655" s="359" t="s">
        <v>2941</v>
      </c>
      <c r="C655" s="360" t="s">
        <v>2942</v>
      </c>
      <c r="D655" s="368"/>
      <c r="E655" s="407">
        <f t="shared" si="10"/>
        <v>5224916</v>
      </c>
      <c r="F655" s="399">
        <v>5224916</v>
      </c>
      <c r="G655" s="485"/>
      <c r="H655" s="415">
        <v>5070622</v>
      </c>
    </row>
    <row r="656" spans="1:8" ht="24">
      <c r="A656" s="414">
        <v>7</v>
      </c>
      <c r="B656" s="359" t="s">
        <v>2943</v>
      </c>
      <c r="C656" s="360" t="s">
        <v>2944</v>
      </c>
      <c r="D656" s="368"/>
      <c r="E656" s="407">
        <f t="shared" si="10"/>
        <v>2378341</v>
      </c>
      <c r="F656" s="399">
        <v>2378341</v>
      </c>
      <c r="G656" s="485"/>
      <c r="H656" s="415">
        <v>6035461</v>
      </c>
    </row>
    <row r="657" spans="1:8" ht="24">
      <c r="A657" s="422">
        <v>6</v>
      </c>
      <c r="B657" s="363" t="s">
        <v>2945</v>
      </c>
      <c r="C657" s="364" t="s">
        <v>2946</v>
      </c>
      <c r="D657" s="373"/>
      <c r="E657" s="409"/>
      <c r="F657" s="381"/>
      <c r="G657" s="381"/>
      <c r="H657" s="423"/>
    </row>
    <row r="658" spans="1:8" ht="24">
      <c r="A658" s="414">
        <v>7</v>
      </c>
      <c r="B658" s="359" t="s">
        <v>2947</v>
      </c>
      <c r="C658" s="360" t="s">
        <v>2948</v>
      </c>
      <c r="D658" s="368"/>
      <c r="E658" s="407">
        <f t="shared" si="10"/>
        <v>3560543</v>
      </c>
      <c r="F658" s="399">
        <v>3560543</v>
      </c>
      <c r="G658" s="485"/>
      <c r="H658" s="415">
        <v>3452745</v>
      </c>
    </row>
    <row r="659" spans="1:8" ht="24">
      <c r="A659" s="414">
        <v>7</v>
      </c>
      <c r="B659" s="359" t="s">
        <v>2949</v>
      </c>
      <c r="C659" s="360" t="s">
        <v>2950</v>
      </c>
      <c r="D659" s="368"/>
      <c r="E659" s="407">
        <f t="shared" si="10"/>
        <v>7258805</v>
      </c>
      <c r="F659" s="399">
        <v>7258805</v>
      </c>
      <c r="G659" s="485"/>
      <c r="H659" s="415">
        <v>7047753</v>
      </c>
    </row>
    <row r="660" spans="1:8" ht="24">
      <c r="A660" s="414">
        <v>7</v>
      </c>
      <c r="B660" s="359" t="s">
        <v>2951</v>
      </c>
      <c r="C660" s="360" t="s">
        <v>2952</v>
      </c>
      <c r="D660" s="368"/>
      <c r="E660" s="407">
        <f t="shared" si="10"/>
        <v>3193365</v>
      </c>
      <c r="F660" s="399">
        <f>1291418+1901947</f>
        <v>3193365</v>
      </c>
      <c r="G660" s="485"/>
      <c r="H660" s="415">
        <v>1253870</v>
      </c>
    </row>
    <row r="661" spans="1:8" ht="24">
      <c r="A661" s="414">
        <v>6</v>
      </c>
      <c r="B661" s="359" t="s">
        <v>2953</v>
      </c>
      <c r="C661" s="360" t="s">
        <v>2954</v>
      </c>
      <c r="D661" s="368"/>
      <c r="E661" s="407">
        <f t="shared" si="10"/>
        <v>0</v>
      </c>
      <c r="F661" s="399"/>
      <c r="G661" s="485"/>
      <c r="H661" s="416"/>
    </row>
    <row r="662" spans="1:8" ht="24">
      <c r="A662" s="414">
        <v>6</v>
      </c>
      <c r="B662" s="359" t="s">
        <v>2955</v>
      </c>
      <c r="C662" s="360" t="s">
        <v>2956</v>
      </c>
      <c r="D662" s="368"/>
      <c r="E662" s="407">
        <f t="shared" si="10"/>
        <v>0</v>
      </c>
      <c r="F662" s="399"/>
      <c r="G662" s="485"/>
      <c r="H662" s="416"/>
    </row>
    <row r="663" spans="1:8" ht="24">
      <c r="A663" s="414">
        <v>6</v>
      </c>
      <c r="B663" s="359" t="s">
        <v>2957</v>
      </c>
      <c r="C663" s="360" t="s">
        <v>2958</v>
      </c>
      <c r="D663" s="368"/>
      <c r="E663" s="407">
        <f t="shared" si="10"/>
        <v>89000</v>
      </c>
      <c r="F663" s="399">
        <v>89000</v>
      </c>
      <c r="G663" s="485"/>
      <c r="H663" s="415">
        <v>89000</v>
      </c>
    </row>
    <row r="664" spans="1:8" ht="24">
      <c r="A664" s="414">
        <v>6</v>
      </c>
      <c r="B664" s="359" t="s">
        <v>2959</v>
      </c>
      <c r="C664" s="360" t="s">
        <v>2960</v>
      </c>
      <c r="D664" s="368"/>
      <c r="E664" s="407">
        <f t="shared" si="10"/>
        <v>30171334</v>
      </c>
      <c r="F664" s="399">
        <f>29302869+535969+16454+44065+197146+74831</f>
        <v>30171334</v>
      </c>
      <c r="G664" s="485"/>
      <c r="H664" s="418">
        <f>28761346+210551+63600</f>
        <v>29035497</v>
      </c>
    </row>
    <row r="665" spans="1:8" ht="25.5">
      <c r="A665" s="412" t="s">
        <v>1973</v>
      </c>
      <c r="B665" s="357" t="s">
        <v>919</v>
      </c>
      <c r="C665" s="357" t="s">
        <v>2961</v>
      </c>
      <c r="D665" s="367"/>
      <c r="E665" s="408"/>
      <c r="F665" s="377"/>
      <c r="G665" s="377"/>
      <c r="H665" s="413"/>
    </row>
    <row r="666" spans="1:8" ht="24">
      <c r="A666" s="422">
        <v>6</v>
      </c>
      <c r="B666" s="363" t="s">
        <v>2962</v>
      </c>
      <c r="C666" s="364" t="s">
        <v>2963</v>
      </c>
      <c r="D666" s="373"/>
      <c r="E666" s="409"/>
      <c r="F666" s="381"/>
      <c r="G666" s="381"/>
      <c r="H666" s="423"/>
    </row>
    <row r="667" spans="1:8" ht="24">
      <c r="A667" s="414">
        <v>7</v>
      </c>
      <c r="B667" s="362" t="s">
        <v>2964</v>
      </c>
      <c r="C667" s="360" t="s">
        <v>2965</v>
      </c>
      <c r="D667" s="368"/>
      <c r="E667" s="407">
        <f t="shared" si="10"/>
        <v>2071496</v>
      </c>
      <c r="F667" s="399">
        <v>2071496</v>
      </c>
      <c r="G667" s="485"/>
      <c r="H667" s="415">
        <v>3611304</v>
      </c>
    </row>
    <row r="668" spans="1:8" ht="24">
      <c r="A668" s="422">
        <v>7</v>
      </c>
      <c r="B668" s="363" t="s">
        <v>2966</v>
      </c>
      <c r="C668" s="364" t="s">
        <v>2967</v>
      </c>
      <c r="D668" s="373"/>
      <c r="E668" s="409"/>
      <c r="F668" s="381"/>
      <c r="G668" s="381"/>
      <c r="H668" s="423"/>
    </row>
    <row r="669" spans="1:8" ht="24">
      <c r="A669" s="414">
        <v>8</v>
      </c>
      <c r="B669" s="359" t="s">
        <v>2968</v>
      </c>
      <c r="C669" s="360" t="s">
        <v>2969</v>
      </c>
      <c r="D669" s="368"/>
      <c r="E669" s="407">
        <f t="shared" si="10"/>
        <v>31558</v>
      </c>
      <c r="F669" s="399">
        <v>31558</v>
      </c>
      <c r="G669" s="485"/>
      <c r="H669" s="415">
        <v>55707</v>
      </c>
    </row>
    <row r="670" spans="1:8" ht="24">
      <c r="A670" s="414">
        <v>8</v>
      </c>
      <c r="B670" s="359" t="s">
        <v>2970</v>
      </c>
      <c r="C670" s="360" t="s">
        <v>2971</v>
      </c>
      <c r="D670" s="368"/>
      <c r="E670" s="407">
        <f t="shared" si="10"/>
        <v>128018</v>
      </c>
      <c r="F670" s="399">
        <v>128018</v>
      </c>
      <c r="G670" s="485"/>
      <c r="H670" s="415">
        <v>225878</v>
      </c>
    </row>
    <row r="671" spans="1:8" ht="24">
      <c r="A671" s="414">
        <v>8</v>
      </c>
      <c r="B671" s="359" t="s">
        <v>2972</v>
      </c>
      <c r="C671" s="360" t="s">
        <v>2973</v>
      </c>
      <c r="D671" s="368"/>
      <c r="E671" s="407">
        <f t="shared" si="10"/>
        <v>58273</v>
      </c>
      <c r="F671" s="399">
        <v>58273</v>
      </c>
      <c r="G671" s="485"/>
      <c r="H671" s="415">
        <v>268858</v>
      </c>
    </row>
    <row r="672" spans="1:8" ht="24">
      <c r="A672" s="422">
        <v>7</v>
      </c>
      <c r="B672" s="363" t="s">
        <v>2974</v>
      </c>
      <c r="C672" s="364" t="s">
        <v>2975</v>
      </c>
      <c r="D672" s="373"/>
      <c r="E672" s="409"/>
      <c r="F672" s="381"/>
      <c r="G672" s="381"/>
      <c r="H672" s="423"/>
    </row>
    <row r="673" spans="1:8">
      <c r="A673" s="414">
        <v>8</v>
      </c>
      <c r="B673" s="359" t="s">
        <v>2976</v>
      </c>
      <c r="C673" s="360" t="s">
        <v>2977</v>
      </c>
      <c r="D673" s="368"/>
      <c r="E673" s="407">
        <f t="shared" si="10"/>
        <v>87238</v>
      </c>
      <c r="F673" s="399">
        <v>87238</v>
      </c>
      <c r="G673" s="485"/>
      <c r="H673" s="415">
        <v>153807</v>
      </c>
    </row>
    <row r="674" spans="1:8" ht="24">
      <c r="A674" s="414">
        <v>8</v>
      </c>
      <c r="B674" s="359" t="s">
        <v>2978</v>
      </c>
      <c r="C674" s="360" t="s">
        <v>2979</v>
      </c>
      <c r="D674" s="368"/>
      <c r="E674" s="407">
        <f t="shared" si="10"/>
        <v>177851</v>
      </c>
      <c r="F674" s="399">
        <v>177851</v>
      </c>
      <c r="G674" s="485"/>
      <c r="H674" s="415">
        <v>313952</v>
      </c>
    </row>
    <row r="675" spans="1:8" ht="24">
      <c r="A675" s="414">
        <v>8</v>
      </c>
      <c r="B675" s="359" t="s">
        <v>2980</v>
      </c>
      <c r="C675" s="360" t="s">
        <v>2981</v>
      </c>
      <c r="D675" s="368"/>
      <c r="E675" s="407">
        <f t="shared" si="10"/>
        <v>31642</v>
      </c>
      <c r="F675" s="399">
        <v>31642</v>
      </c>
      <c r="G675" s="485"/>
      <c r="H675" s="415">
        <v>55855</v>
      </c>
    </row>
    <row r="676" spans="1:8" ht="24">
      <c r="A676" s="414">
        <v>7</v>
      </c>
      <c r="B676" s="359" t="s">
        <v>2982</v>
      </c>
      <c r="C676" s="360" t="s">
        <v>2983</v>
      </c>
      <c r="D676" s="368"/>
      <c r="E676" s="407">
        <f t="shared" si="10"/>
        <v>0</v>
      </c>
      <c r="F676" s="399"/>
      <c r="G676" s="485"/>
      <c r="H676" s="416"/>
    </row>
    <row r="677" spans="1:8" ht="24">
      <c r="A677" s="414">
        <v>7</v>
      </c>
      <c r="B677" s="359" t="s">
        <v>2984</v>
      </c>
      <c r="C677" s="360" t="s">
        <v>2985</v>
      </c>
      <c r="D677" s="368"/>
      <c r="E677" s="407">
        <f t="shared" si="10"/>
        <v>0</v>
      </c>
      <c r="F677" s="399"/>
      <c r="G677" s="485"/>
      <c r="H677" s="416"/>
    </row>
    <row r="678" spans="1:8" ht="24">
      <c r="A678" s="414">
        <v>7</v>
      </c>
      <c r="B678" s="359" t="s">
        <v>2986</v>
      </c>
      <c r="C678" s="360" t="s">
        <v>2987</v>
      </c>
      <c r="D678" s="368"/>
      <c r="E678" s="407">
        <f t="shared" si="10"/>
        <v>0</v>
      </c>
      <c r="F678" s="399"/>
      <c r="G678" s="485"/>
      <c r="H678" s="416"/>
    </row>
    <row r="679" spans="1:8" ht="24">
      <c r="A679" s="414">
        <v>7</v>
      </c>
      <c r="B679" s="359" t="s">
        <v>2988</v>
      </c>
      <c r="C679" s="360" t="s">
        <v>2989</v>
      </c>
      <c r="D679" s="368"/>
      <c r="E679" s="407">
        <f t="shared" si="10"/>
        <v>759049</v>
      </c>
      <c r="F679" s="399">
        <v>759049</v>
      </c>
      <c r="G679" s="485"/>
      <c r="H679" s="415">
        <v>1355653</v>
      </c>
    </row>
    <row r="680" spans="1:8" ht="24">
      <c r="A680" s="422">
        <v>6</v>
      </c>
      <c r="B680" s="363" t="s">
        <v>2990</v>
      </c>
      <c r="C680" s="364" t="s">
        <v>2991</v>
      </c>
      <c r="D680" s="373"/>
      <c r="E680" s="409"/>
      <c r="F680" s="381"/>
      <c r="G680" s="381"/>
      <c r="H680" s="423"/>
    </row>
    <row r="681" spans="1:8" ht="24">
      <c r="A681" s="414">
        <v>7</v>
      </c>
      <c r="B681" s="359" t="s">
        <v>2992</v>
      </c>
      <c r="C681" s="360" t="s">
        <v>2993</v>
      </c>
      <c r="D681" s="368"/>
      <c r="E681" s="407">
        <f t="shared" si="10"/>
        <v>0</v>
      </c>
      <c r="F681" s="399"/>
      <c r="G681" s="485"/>
      <c r="H681" s="416"/>
    </row>
    <row r="682" spans="1:8" ht="24">
      <c r="A682" s="422">
        <v>7</v>
      </c>
      <c r="B682" s="363" t="s">
        <v>2994</v>
      </c>
      <c r="C682" s="364" t="s">
        <v>2995</v>
      </c>
      <c r="D682" s="373"/>
      <c r="E682" s="409"/>
      <c r="F682" s="381"/>
      <c r="G682" s="381"/>
      <c r="H682" s="423"/>
    </row>
    <row r="683" spans="1:8" ht="24">
      <c r="A683" s="414">
        <v>8</v>
      </c>
      <c r="B683" s="359" t="s">
        <v>2996</v>
      </c>
      <c r="C683" s="360" t="s">
        <v>2997</v>
      </c>
      <c r="D683" s="368"/>
      <c r="E683" s="407">
        <f t="shared" si="10"/>
        <v>0</v>
      </c>
      <c r="F683" s="399"/>
      <c r="G683" s="485"/>
      <c r="H683" s="416"/>
    </row>
    <row r="684" spans="1:8" ht="24">
      <c r="A684" s="414">
        <v>8</v>
      </c>
      <c r="B684" s="359" t="s">
        <v>2998</v>
      </c>
      <c r="C684" s="360" t="s">
        <v>2999</v>
      </c>
      <c r="D684" s="368"/>
      <c r="E684" s="407">
        <f t="shared" si="10"/>
        <v>0</v>
      </c>
      <c r="F684" s="399"/>
      <c r="G684" s="485"/>
      <c r="H684" s="416"/>
    </row>
    <row r="685" spans="1:8">
      <c r="A685" s="414">
        <v>8</v>
      </c>
      <c r="B685" s="359" t="s">
        <v>3000</v>
      </c>
      <c r="C685" s="360" t="s">
        <v>3001</v>
      </c>
      <c r="D685" s="368"/>
      <c r="E685" s="407">
        <f t="shared" si="10"/>
        <v>0</v>
      </c>
      <c r="F685" s="399"/>
      <c r="G685" s="485"/>
      <c r="H685" s="416"/>
    </row>
    <row r="686" spans="1:8" ht="24">
      <c r="A686" s="422">
        <v>7</v>
      </c>
      <c r="B686" s="363" t="s">
        <v>3002</v>
      </c>
      <c r="C686" s="364" t="s">
        <v>3003</v>
      </c>
      <c r="D686" s="373"/>
      <c r="E686" s="409"/>
      <c r="F686" s="381"/>
      <c r="G686" s="381"/>
      <c r="H686" s="423"/>
    </row>
    <row r="687" spans="1:8" ht="24">
      <c r="A687" s="414">
        <v>8</v>
      </c>
      <c r="B687" s="359" t="s">
        <v>3004</v>
      </c>
      <c r="C687" s="360" t="s">
        <v>3005</v>
      </c>
      <c r="D687" s="368"/>
      <c r="E687" s="407">
        <f t="shared" si="10"/>
        <v>0</v>
      </c>
      <c r="F687" s="399"/>
      <c r="G687" s="485"/>
      <c r="H687" s="416"/>
    </row>
    <row r="688" spans="1:8" ht="24">
      <c r="A688" s="414">
        <v>8</v>
      </c>
      <c r="B688" s="359" t="s">
        <v>3006</v>
      </c>
      <c r="C688" s="360" t="s">
        <v>3007</v>
      </c>
      <c r="D688" s="368"/>
      <c r="E688" s="407">
        <f t="shared" si="10"/>
        <v>0</v>
      </c>
      <c r="F688" s="399"/>
      <c r="G688" s="485"/>
      <c r="H688" s="416"/>
    </row>
    <row r="689" spans="1:8" ht="24">
      <c r="A689" s="414">
        <v>8</v>
      </c>
      <c r="B689" s="359" t="s">
        <v>3008</v>
      </c>
      <c r="C689" s="360" t="s">
        <v>3009</v>
      </c>
      <c r="D689" s="368"/>
      <c r="E689" s="407">
        <f t="shared" si="10"/>
        <v>0</v>
      </c>
      <c r="F689" s="399"/>
      <c r="G689" s="485"/>
      <c r="H689" s="416"/>
    </row>
    <row r="690" spans="1:8" ht="24">
      <c r="A690" s="414">
        <v>7</v>
      </c>
      <c r="B690" s="359" t="s">
        <v>3010</v>
      </c>
      <c r="C690" s="360" t="s">
        <v>3011</v>
      </c>
      <c r="D690" s="368"/>
      <c r="E690" s="407">
        <f t="shared" si="10"/>
        <v>0</v>
      </c>
      <c r="F690" s="399"/>
      <c r="G690" s="485"/>
      <c r="H690" s="416"/>
    </row>
    <row r="691" spans="1:8" ht="24">
      <c r="A691" s="414">
        <v>7</v>
      </c>
      <c r="B691" s="359" t="s">
        <v>3012</v>
      </c>
      <c r="C691" s="360" t="s">
        <v>3013</v>
      </c>
      <c r="D691" s="368"/>
      <c r="E691" s="407">
        <f t="shared" si="10"/>
        <v>0</v>
      </c>
      <c r="F691" s="399"/>
      <c r="G691" s="485"/>
      <c r="H691" s="416"/>
    </row>
    <row r="692" spans="1:8" ht="24">
      <c r="A692" s="414">
        <v>7</v>
      </c>
      <c r="B692" s="359" t="s">
        <v>3014</v>
      </c>
      <c r="C692" s="360" t="s">
        <v>3015</v>
      </c>
      <c r="D692" s="368"/>
      <c r="E692" s="407">
        <f t="shared" si="10"/>
        <v>0</v>
      </c>
      <c r="F692" s="399"/>
      <c r="G692" s="485"/>
      <c r="H692" s="416"/>
    </row>
    <row r="693" spans="1:8" ht="24">
      <c r="A693" s="414">
        <v>7</v>
      </c>
      <c r="B693" s="359" t="s">
        <v>3016</v>
      </c>
      <c r="C693" s="360" t="s">
        <v>3017</v>
      </c>
      <c r="D693" s="368"/>
      <c r="E693" s="407">
        <f t="shared" si="10"/>
        <v>0</v>
      </c>
      <c r="F693" s="399"/>
      <c r="G693" s="485"/>
      <c r="H693" s="416"/>
    </row>
    <row r="694" spans="1:8" ht="24">
      <c r="A694" s="422">
        <v>6</v>
      </c>
      <c r="B694" s="363" t="s">
        <v>3018</v>
      </c>
      <c r="C694" s="364" t="s">
        <v>3019</v>
      </c>
      <c r="D694" s="373"/>
      <c r="E694" s="409"/>
      <c r="F694" s="381"/>
      <c r="G694" s="381"/>
      <c r="H694" s="423"/>
    </row>
    <row r="695" spans="1:8" ht="24">
      <c r="A695" s="414">
        <v>7</v>
      </c>
      <c r="B695" s="359" t="s">
        <v>3020</v>
      </c>
      <c r="C695" s="360" t="s">
        <v>3021</v>
      </c>
      <c r="D695" s="368"/>
      <c r="E695" s="407">
        <f t="shared" si="10"/>
        <v>0</v>
      </c>
      <c r="F695" s="399"/>
      <c r="G695" s="485"/>
      <c r="H695" s="416"/>
    </row>
    <row r="696" spans="1:8" ht="24">
      <c r="A696" s="422">
        <v>7</v>
      </c>
      <c r="B696" s="363" t="s">
        <v>3022</v>
      </c>
      <c r="C696" s="364" t="s">
        <v>3023</v>
      </c>
      <c r="D696" s="373"/>
      <c r="E696" s="409"/>
      <c r="F696" s="381"/>
      <c r="G696" s="381"/>
      <c r="H696" s="423"/>
    </row>
    <row r="697" spans="1:8" ht="24">
      <c r="A697" s="414">
        <v>8</v>
      </c>
      <c r="B697" s="359" t="s">
        <v>3024</v>
      </c>
      <c r="C697" s="360" t="s">
        <v>3025</v>
      </c>
      <c r="D697" s="368"/>
      <c r="E697" s="407">
        <f t="shared" si="10"/>
        <v>0</v>
      </c>
      <c r="F697" s="399"/>
      <c r="G697" s="485"/>
      <c r="H697" s="416"/>
    </row>
    <row r="698" spans="1:8" ht="24">
      <c r="A698" s="414">
        <v>8</v>
      </c>
      <c r="B698" s="359" t="s">
        <v>3026</v>
      </c>
      <c r="C698" s="360" t="s">
        <v>3027</v>
      </c>
      <c r="D698" s="368"/>
      <c r="E698" s="407">
        <f t="shared" si="10"/>
        <v>0</v>
      </c>
      <c r="F698" s="399"/>
      <c r="G698" s="485"/>
      <c r="H698" s="416"/>
    </row>
    <row r="699" spans="1:8">
      <c r="A699" s="414">
        <v>8</v>
      </c>
      <c r="B699" s="359" t="s">
        <v>3028</v>
      </c>
      <c r="C699" s="360" t="s">
        <v>3029</v>
      </c>
      <c r="D699" s="368"/>
      <c r="E699" s="407">
        <f t="shared" si="10"/>
        <v>0</v>
      </c>
      <c r="F699" s="399"/>
      <c r="G699" s="485"/>
      <c r="H699" s="416"/>
    </row>
    <row r="700" spans="1:8" ht="24">
      <c r="A700" s="422">
        <v>7</v>
      </c>
      <c r="B700" s="363" t="s">
        <v>3030</v>
      </c>
      <c r="C700" s="364" t="s">
        <v>3031</v>
      </c>
      <c r="D700" s="373"/>
      <c r="E700" s="409"/>
      <c r="F700" s="381"/>
      <c r="G700" s="381"/>
      <c r="H700" s="423"/>
    </row>
    <row r="701" spans="1:8" ht="24">
      <c r="A701" s="414">
        <v>8</v>
      </c>
      <c r="B701" s="359" t="s">
        <v>3032</v>
      </c>
      <c r="C701" s="360" t="s">
        <v>3033</v>
      </c>
      <c r="D701" s="368"/>
      <c r="E701" s="407">
        <f t="shared" si="10"/>
        <v>0</v>
      </c>
      <c r="F701" s="399"/>
      <c r="G701" s="485"/>
      <c r="H701" s="416"/>
    </row>
    <row r="702" spans="1:8" ht="24">
      <c r="A702" s="414">
        <v>8</v>
      </c>
      <c r="B702" s="359" t="s">
        <v>3034</v>
      </c>
      <c r="C702" s="360" t="s">
        <v>3035</v>
      </c>
      <c r="D702" s="368"/>
      <c r="E702" s="407">
        <f t="shared" si="10"/>
        <v>0</v>
      </c>
      <c r="F702" s="399"/>
      <c r="G702" s="485"/>
      <c r="H702" s="416"/>
    </row>
    <row r="703" spans="1:8" ht="24">
      <c r="A703" s="414">
        <v>8</v>
      </c>
      <c r="B703" s="359" t="s">
        <v>3036</v>
      </c>
      <c r="C703" s="360" t="s">
        <v>3037</v>
      </c>
      <c r="D703" s="368"/>
      <c r="E703" s="407">
        <f t="shared" si="10"/>
        <v>0</v>
      </c>
      <c r="F703" s="399"/>
      <c r="G703" s="485"/>
      <c r="H703" s="416"/>
    </row>
    <row r="704" spans="1:8" ht="24">
      <c r="A704" s="414">
        <v>7</v>
      </c>
      <c r="B704" s="359" t="s">
        <v>3038</v>
      </c>
      <c r="C704" s="360" t="s">
        <v>3039</v>
      </c>
      <c r="D704" s="368"/>
      <c r="E704" s="407">
        <f t="shared" si="10"/>
        <v>0</v>
      </c>
      <c r="F704" s="399"/>
      <c r="G704" s="485"/>
      <c r="H704" s="416"/>
    </row>
    <row r="705" spans="1:8" ht="24">
      <c r="A705" s="414">
        <v>7</v>
      </c>
      <c r="B705" s="359" t="s">
        <v>3040</v>
      </c>
      <c r="C705" s="360" t="s">
        <v>3041</v>
      </c>
      <c r="D705" s="368"/>
      <c r="E705" s="407">
        <f t="shared" si="10"/>
        <v>0</v>
      </c>
      <c r="F705" s="399"/>
      <c r="G705" s="485"/>
      <c r="H705" s="416"/>
    </row>
    <row r="706" spans="1:8" ht="24">
      <c r="A706" s="414">
        <v>7</v>
      </c>
      <c r="B706" s="359" t="s">
        <v>3042</v>
      </c>
      <c r="C706" s="360" t="s">
        <v>3043</v>
      </c>
      <c r="D706" s="368"/>
      <c r="E706" s="407">
        <f t="shared" si="10"/>
        <v>0</v>
      </c>
      <c r="F706" s="399"/>
      <c r="G706" s="485"/>
      <c r="H706" s="416"/>
    </row>
    <row r="707" spans="1:8" ht="24">
      <c r="A707" s="414">
        <v>7</v>
      </c>
      <c r="B707" s="359" t="s">
        <v>3044</v>
      </c>
      <c r="C707" s="360" t="s">
        <v>3045</v>
      </c>
      <c r="D707" s="368"/>
      <c r="E707" s="407">
        <f t="shared" si="10"/>
        <v>0</v>
      </c>
      <c r="F707" s="399"/>
      <c r="G707" s="485"/>
      <c r="H707" s="416"/>
    </row>
    <row r="708" spans="1:8">
      <c r="A708" s="412" t="s">
        <v>1973</v>
      </c>
      <c r="B708" s="357" t="s">
        <v>921</v>
      </c>
      <c r="C708" s="357" t="s">
        <v>1622</v>
      </c>
      <c r="D708" s="367"/>
      <c r="E708" s="408"/>
      <c r="F708" s="377"/>
      <c r="G708" s="377"/>
      <c r="H708" s="413"/>
    </row>
    <row r="709" spans="1:8">
      <c r="A709" s="414" t="s">
        <v>1975</v>
      </c>
      <c r="B709" s="359" t="s">
        <v>3046</v>
      </c>
      <c r="C709" s="360" t="s">
        <v>920</v>
      </c>
      <c r="D709" s="368"/>
      <c r="E709" s="407">
        <f t="shared" si="10"/>
        <v>0</v>
      </c>
      <c r="F709" s="399"/>
      <c r="G709" s="485"/>
      <c r="H709" s="416"/>
    </row>
    <row r="710" spans="1:8">
      <c r="A710" s="412" t="s">
        <v>1969</v>
      </c>
      <c r="B710" s="357" t="s">
        <v>922</v>
      </c>
      <c r="C710" s="357" t="s">
        <v>3047</v>
      </c>
      <c r="D710" s="367"/>
      <c r="E710" s="408"/>
      <c r="F710" s="377"/>
      <c r="G710" s="377"/>
      <c r="H710" s="413"/>
    </row>
    <row r="711" spans="1:8">
      <c r="A711" s="412" t="s">
        <v>1971</v>
      </c>
      <c r="B711" s="357" t="s">
        <v>923</v>
      </c>
      <c r="C711" s="357" t="s">
        <v>1624</v>
      </c>
      <c r="D711" s="367"/>
      <c r="E711" s="408"/>
      <c r="F711" s="377"/>
      <c r="G711" s="377"/>
      <c r="H711" s="413"/>
    </row>
    <row r="712" spans="1:8" ht="25.5">
      <c r="A712" s="412" t="s">
        <v>1973</v>
      </c>
      <c r="B712" s="357" t="s">
        <v>924</v>
      </c>
      <c r="C712" s="357" t="s">
        <v>3048</v>
      </c>
      <c r="D712" s="367"/>
      <c r="E712" s="408"/>
      <c r="F712" s="377"/>
      <c r="G712" s="377"/>
      <c r="H712" s="413"/>
    </row>
    <row r="713" spans="1:8" ht="24">
      <c r="A713" s="414">
        <v>6</v>
      </c>
      <c r="B713" s="359" t="s">
        <v>3049</v>
      </c>
      <c r="C713" s="360" t="s">
        <v>3050</v>
      </c>
      <c r="D713" s="368"/>
      <c r="E713" s="407">
        <f t="shared" ref="E713:E775" si="11">F713+G713</f>
        <v>625652</v>
      </c>
      <c r="F713" s="399">
        <v>625652</v>
      </c>
      <c r="G713" s="485"/>
      <c r="H713" s="415">
        <v>577329</v>
      </c>
    </row>
    <row r="714" spans="1:8" ht="24">
      <c r="A714" s="414">
        <v>6</v>
      </c>
      <c r="B714" s="359" t="s">
        <v>3051</v>
      </c>
      <c r="C714" s="360" t="s">
        <v>3052</v>
      </c>
      <c r="D714" s="368"/>
      <c r="E714" s="407">
        <f t="shared" si="11"/>
        <v>303675</v>
      </c>
      <c r="F714" s="399">
        <v>303675</v>
      </c>
      <c r="G714" s="485"/>
      <c r="H714" s="415">
        <v>258038</v>
      </c>
    </row>
    <row r="715" spans="1:8" ht="24">
      <c r="A715" s="414">
        <v>6</v>
      </c>
      <c r="B715" s="359" t="s">
        <v>3053</v>
      </c>
      <c r="C715" s="360" t="s">
        <v>3054</v>
      </c>
      <c r="D715" s="368"/>
      <c r="E715" s="407">
        <f t="shared" si="11"/>
        <v>39401</v>
      </c>
      <c r="F715" s="399">
        <v>39401</v>
      </c>
      <c r="G715" s="485"/>
      <c r="H715" s="415">
        <v>58439</v>
      </c>
    </row>
    <row r="716" spans="1:8" ht="24">
      <c r="A716" s="414">
        <v>6</v>
      </c>
      <c r="B716" s="359" t="s">
        <v>3055</v>
      </c>
      <c r="C716" s="360" t="s">
        <v>3056</v>
      </c>
      <c r="D716" s="368"/>
      <c r="E716" s="407">
        <f t="shared" si="11"/>
        <v>11283</v>
      </c>
      <c r="F716" s="399">
        <v>11283</v>
      </c>
      <c r="G716" s="485"/>
      <c r="H716" s="415">
        <v>12111</v>
      </c>
    </row>
    <row r="717" spans="1:8" ht="24">
      <c r="A717" s="414">
        <v>6</v>
      </c>
      <c r="B717" s="359" t="s">
        <v>3057</v>
      </c>
      <c r="C717" s="360" t="s">
        <v>3058</v>
      </c>
      <c r="D717" s="368"/>
      <c r="E717" s="407">
        <f t="shared" si="11"/>
        <v>0</v>
      </c>
      <c r="F717" s="399"/>
      <c r="G717" s="485"/>
      <c r="H717" s="416"/>
    </row>
    <row r="718" spans="1:8" ht="24">
      <c r="A718" s="414">
        <v>6</v>
      </c>
      <c r="B718" s="359" t="s">
        <v>3059</v>
      </c>
      <c r="C718" s="360" t="s">
        <v>3060</v>
      </c>
      <c r="D718" s="368"/>
      <c r="E718" s="407">
        <f t="shared" si="11"/>
        <v>0</v>
      </c>
      <c r="F718" s="399"/>
      <c r="G718" s="485"/>
      <c r="H718" s="416"/>
    </row>
    <row r="719" spans="1:8" ht="24">
      <c r="A719" s="414">
        <v>6</v>
      </c>
      <c r="B719" s="359" t="s">
        <v>3061</v>
      </c>
      <c r="C719" s="360" t="s">
        <v>3062</v>
      </c>
      <c r="D719" s="368"/>
      <c r="E719" s="407">
        <f t="shared" si="11"/>
        <v>24000</v>
      </c>
      <c r="F719" s="399">
        <v>24000</v>
      </c>
      <c r="G719" s="485"/>
      <c r="H719" s="415">
        <v>24000</v>
      </c>
    </row>
    <row r="720" spans="1:8" ht="24">
      <c r="A720" s="414">
        <v>6</v>
      </c>
      <c r="B720" s="359" t="s">
        <v>3063</v>
      </c>
      <c r="C720" s="360" t="s">
        <v>3064</v>
      </c>
      <c r="D720" s="368"/>
      <c r="E720" s="407">
        <f t="shared" si="11"/>
        <v>271242</v>
      </c>
      <c r="F720" s="399">
        <v>271242</v>
      </c>
      <c r="G720" s="485"/>
      <c r="H720" s="415">
        <v>250493</v>
      </c>
    </row>
    <row r="721" spans="1:8" ht="25.5">
      <c r="A721" s="412" t="s">
        <v>1973</v>
      </c>
      <c r="B721" s="357" t="s">
        <v>925</v>
      </c>
      <c r="C721" s="357" t="s">
        <v>3065</v>
      </c>
      <c r="D721" s="367"/>
      <c r="E721" s="408"/>
      <c r="F721" s="377"/>
      <c r="G721" s="377"/>
      <c r="H721" s="413"/>
    </row>
    <row r="722" spans="1:8" ht="24">
      <c r="A722" s="414">
        <v>6</v>
      </c>
      <c r="B722" s="359" t="s">
        <v>3066</v>
      </c>
      <c r="C722" s="360" t="s">
        <v>3067</v>
      </c>
      <c r="D722" s="368"/>
      <c r="E722" s="407">
        <f t="shared" si="11"/>
        <v>138672</v>
      </c>
      <c r="F722" s="399">
        <v>138672</v>
      </c>
      <c r="G722" s="485"/>
      <c r="H722" s="415">
        <v>141614</v>
      </c>
    </row>
    <row r="723" spans="1:8" ht="24">
      <c r="A723" s="414">
        <v>6</v>
      </c>
      <c r="B723" s="359" t="s">
        <v>3068</v>
      </c>
      <c r="C723" s="360" t="s">
        <v>3069</v>
      </c>
      <c r="D723" s="368"/>
      <c r="E723" s="407">
        <f t="shared" si="11"/>
        <v>67307</v>
      </c>
      <c r="F723" s="399">
        <v>67307</v>
      </c>
      <c r="G723" s="485"/>
      <c r="H723" s="415">
        <v>63295</v>
      </c>
    </row>
    <row r="724" spans="1:8" ht="24">
      <c r="A724" s="414">
        <v>6</v>
      </c>
      <c r="B724" s="359" t="s">
        <v>3070</v>
      </c>
      <c r="C724" s="360" t="s">
        <v>3071</v>
      </c>
      <c r="D724" s="368"/>
      <c r="E724" s="407">
        <f t="shared" si="11"/>
        <v>8733</v>
      </c>
      <c r="F724" s="399">
        <v>8733</v>
      </c>
      <c r="G724" s="485"/>
      <c r="H724" s="415">
        <v>14335</v>
      </c>
    </row>
    <row r="725" spans="1:8" ht="24">
      <c r="A725" s="414">
        <v>6</v>
      </c>
      <c r="B725" s="359" t="s">
        <v>3072</v>
      </c>
      <c r="C725" s="360" t="s">
        <v>3073</v>
      </c>
      <c r="D725" s="368"/>
      <c r="E725" s="407">
        <f t="shared" si="11"/>
        <v>2501</v>
      </c>
      <c r="F725" s="399">
        <v>2501</v>
      </c>
      <c r="G725" s="485"/>
      <c r="H725" s="415">
        <v>2971</v>
      </c>
    </row>
    <row r="726" spans="1:8" ht="24">
      <c r="A726" s="414">
        <v>6</v>
      </c>
      <c r="B726" s="359" t="s">
        <v>3074</v>
      </c>
      <c r="C726" s="360" t="s">
        <v>3075</v>
      </c>
      <c r="D726" s="368"/>
      <c r="E726" s="407">
        <f t="shared" si="11"/>
        <v>0</v>
      </c>
      <c r="F726" s="399"/>
      <c r="G726" s="485"/>
      <c r="H726" s="416"/>
    </row>
    <row r="727" spans="1:8" ht="24">
      <c r="A727" s="414">
        <v>6</v>
      </c>
      <c r="B727" s="359" t="s">
        <v>3076</v>
      </c>
      <c r="C727" s="360" t="s">
        <v>3077</v>
      </c>
      <c r="D727" s="368"/>
      <c r="E727" s="407">
        <f t="shared" si="11"/>
        <v>0</v>
      </c>
      <c r="F727" s="399"/>
      <c r="G727" s="485"/>
      <c r="H727" s="416"/>
    </row>
    <row r="728" spans="1:8" ht="24">
      <c r="A728" s="414">
        <v>6</v>
      </c>
      <c r="B728" s="359" t="s">
        <v>3078</v>
      </c>
      <c r="C728" s="360" t="s">
        <v>3079</v>
      </c>
      <c r="D728" s="368"/>
      <c r="E728" s="407">
        <f t="shared" si="11"/>
        <v>0</v>
      </c>
      <c r="F728" s="399"/>
      <c r="G728" s="485"/>
      <c r="H728" s="416"/>
    </row>
    <row r="729" spans="1:8" ht="24">
      <c r="A729" s="414">
        <v>6</v>
      </c>
      <c r="B729" s="359" t="s">
        <v>3080</v>
      </c>
      <c r="C729" s="360" t="s">
        <v>3081</v>
      </c>
      <c r="D729" s="368"/>
      <c r="E729" s="407">
        <f t="shared" si="11"/>
        <v>62321</v>
      </c>
      <c r="F729" s="399">
        <v>62321</v>
      </c>
      <c r="G729" s="485"/>
      <c r="H729" s="415">
        <v>63588</v>
      </c>
    </row>
    <row r="730" spans="1:8" ht="25.5">
      <c r="A730" s="412" t="s">
        <v>1973</v>
      </c>
      <c r="B730" s="357" t="s">
        <v>927</v>
      </c>
      <c r="C730" s="357" t="s">
        <v>1627</v>
      </c>
      <c r="D730" s="367"/>
      <c r="E730" s="408"/>
      <c r="F730" s="377"/>
      <c r="G730" s="377"/>
      <c r="H730" s="413"/>
    </row>
    <row r="731" spans="1:8">
      <c r="A731" s="414" t="s">
        <v>1975</v>
      </c>
      <c r="B731" s="359" t="s">
        <v>3082</v>
      </c>
      <c r="C731" s="360" t="s">
        <v>926</v>
      </c>
      <c r="D731" s="368"/>
      <c r="E731" s="407">
        <f t="shared" si="11"/>
        <v>0</v>
      </c>
      <c r="F731" s="399"/>
      <c r="G731" s="485"/>
      <c r="H731" s="416"/>
    </row>
    <row r="732" spans="1:8">
      <c r="A732" s="412" t="s">
        <v>1971</v>
      </c>
      <c r="B732" s="357" t="s">
        <v>928</v>
      </c>
      <c r="C732" s="357" t="s">
        <v>1628</v>
      </c>
      <c r="D732" s="367"/>
      <c r="E732" s="408"/>
      <c r="F732" s="377"/>
      <c r="G732" s="377"/>
      <c r="H732" s="413"/>
    </row>
    <row r="733" spans="1:8" ht="25.5">
      <c r="A733" s="412" t="s">
        <v>1973</v>
      </c>
      <c r="B733" s="357" t="s">
        <v>929</v>
      </c>
      <c r="C733" s="357" t="s">
        <v>3083</v>
      </c>
      <c r="D733" s="367"/>
      <c r="E733" s="408"/>
      <c r="F733" s="377"/>
      <c r="G733" s="377"/>
      <c r="H733" s="413"/>
    </row>
    <row r="734" spans="1:8" ht="24">
      <c r="A734" s="414">
        <v>6</v>
      </c>
      <c r="B734" s="359" t="s">
        <v>3084</v>
      </c>
      <c r="C734" s="360" t="s">
        <v>3085</v>
      </c>
      <c r="D734" s="368"/>
      <c r="E734" s="407">
        <f t="shared" si="11"/>
        <v>0</v>
      </c>
      <c r="F734" s="399"/>
      <c r="G734" s="485"/>
      <c r="H734" s="416"/>
    </row>
    <row r="735" spans="1:8" ht="24">
      <c r="A735" s="422">
        <v>6</v>
      </c>
      <c r="B735" s="363" t="s">
        <v>3086</v>
      </c>
      <c r="C735" s="364" t="s">
        <v>3087</v>
      </c>
      <c r="D735" s="373"/>
      <c r="E735" s="409"/>
      <c r="F735" s="381"/>
      <c r="G735" s="381"/>
      <c r="H735" s="423"/>
    </row>
    <row r="736" spans="1:8" ht="24">
      <c r="A736" s="414">
        <v>7</v>
      </c>
      <c r="B736" s="359" t="s">
        <v>3088</v>
      </c>
      <c r="C736" s="360" t="s">
        <v>3089</v>
      </c>
      <c r="D736" s="368"/>
      <c r="E736" s="407">
        <f t="shared" si="11"/>
        <v>0</v>
      </c>
      <c r="F736" s="399"/>
      <c r="G736" s="485"/>
      <c r="H736" s="416"/>
    </row>
    <row r="737" spans="1:8" ht="24">
      <c r="A737" s="414">
        <v>7</v>
      </c>
      <c r="B737" s="359" t="s">
        <v>3090</v>
      </c>
      <c r="C737" s="360" t="s">
        <v>3091</v>
      </c>
      <c r="D737" s="368"/>
      <c r="E737" s="407">
        <f t="shared" si="11"/>
        <v>0</v>
      </c>
      <c r="F737" s="399"/>
      <c r="G737" s="485"/>
      <c r="H737" s="416"/>
    </row>
    <row r="738" spans="1:8">
      <c r="A738" s="414">
        <v>7</v>
      </c>
      <c r="B738" s="359" t="s">
        <v>3092</v>
      </c>
      <c r="C738" s="360" t="s">
        <v>3093</v>
      </c>
      <c r="D738" s="368"/>
      <c r="E738" s="407">
        <f t="shared" si="11"/>
        <v>0</v>
      </c>
      <c r="F738" s="399"/>
      <c r="G738" s="485"/>
      <c r="H738" s="416"/>
    </row>
    <row r="739" spans="1:8" ht="24">
      <c r="A739" s="422">
        <v>6</v>
      </c>
      <c r="B739" s="363" t="s">
        <v>3094</v>
      </c>
      <c r="C739" s="364" t="s">
        <v>2946</v>
      </c>
      <c r="D739" s="373"/>
      <c r="E739" s="409"/>
      <c r="F739" s="381"/>
      <c r="G739" s="381"/>
      <c r="H739" s="423"/>
    </row>
    <row r="740" spans="1:8" ht="24">
      <c r="A740" s="414">
        <v>7</v>
      </c>
      <c r="B740" s="359" t="s">
        <v>3095</v>
      </c>
      <c r="C740" s="360" t="s">
        <v>3096</v>
      </c>
      <c r="D740" s="368"/>
      <c r="E740" s="407">
        <f t="shared" si="11"/>
        <v>0</v>
      </c>
      <c r="F740" s="399"/>
      <c r="G740" s="485"/>
      <c r="H740" s="416"/>
    </row>
    <row r="741" spans="1:8" ht="24">
      <c r="A741" s="414">
        <v>7</v>
      </c>
      <c r="B741" s="359" t="s">
        <v>3097</v>
      </c>
      <c r="C741" s="360" t="s">
        <v>3098</v>
      </c>
      <c r="D741" s="368"/>
      <c r="E741" s="407">
        <f t="shared" si="11"/>
        <v>0</v>
      </c>
      <c r="F741" s="399"/>
      <c r="G741" s="485"/>
      <c r="H741" s="416"/>
    </row>
    <row r="742" spans="1:8" ht="24">
      <c r="A742" s="414">
        <v>7</v>
      </c>
      <c r="B742" s="359" t="s">
        <v>3099</v>
      </c>
      <c r="C742" s="360" t="s">
        <v>3100</v>
      </c>
      <c r="D742" s="368"/>
      <c r="E742" s="407">
        <f t="shared" si="11"/>
        <v>0</v>
      </c>
      <c r="F742" s="399"/>
      <c r="G742" s="485"/>
      <c r="H742" s="416"/>
    </row>
    <row r="743" spans="1:8" ht="24">
      <c r="A743" s="414">
        <v>6</v>
      </c>
      <c r="B743" s="359" t="s">
        <v>3101</v>
      </c>
      <c r="C743" s="360" t="s">
        <v>3102</v>
      </c>
      <c r="D743" s="368"/>
      <c r="E743" s="407">
        <f t="shared" si="11"/>
        <v>0</v>
      </c>
      <c r="F743" s="399"/>
      <c r="G743" s="485"/>
      <c r="H743" s="416"/>
    </row>
    <row r="744" spans="1:8" ht="24">
      <c r="A744" s="414">
        <v>6</v>
      </c>
      <c r="B744" s="359" t="s">
        <v>3103</v>
      </c>
      <c r="C744" s="360" t="s">
        <v>3104</v>
      </c>
      <c r="D744" s="368"/>
      <c r="E744" s="407">
        <f t="shared" si="11"/>
        <v>0</v>
      </c>
      <c r="F744" s="399"/>
      <c r="G744" s="485"/>
      <c r="H744" s="416"/>
    </row>
    <row r="745" spans="1:8" ht="24">
      <c r="A745" s="414">
        <v>6</v>
      </c>
      <c r="B745" s="359" t="s">
        <v>3105</v>
      </c>
      <c r="C745" s="360" t="s">
        <v>3106</v>
      </c>
      <c r="D745" s="368"/>
      <c r="E745" s="407">
        <f t="shared" si="11"/>
        <v>0</v>
      </c>
      <c r="F745" s="399"/>
      <c r="G745" s="485"/>
      <c r="H745" s="416"/>
    </row>
    <row r="746" spans="1:8" ht="24">
      <c r="A746" s="414">
        <v>6</v>
      </c>
      <c r="B746" s="359" t="s">
        <v>3107</v>
      </c>
      <c r="C746" s="360" t="s">
        <v>3108</v>
      </c>
      <c r="D746" s="368"/>
      <c r="E746" s="407">
        <f t="shared" si="11"/>
        <v>0</v>
      </c>
      <c r="F746" s="399"/>
      <c r="G746" s="485"/>
      <c r="H746" s="416"/>
    </row>
    <row r="747" spans="1:8" ht="25.5">
      <c r="A747" s="412" t="s">
        <v>1973</v>
      </c>
      <c r="B747" s="357" t="s">
        <v>930</v>
      </c>
      <c r="C747" s="357" t="s">
        <v>3109</v>
      </c>
      <c r="D747" s="367"/>
      <c r="E747" s="408"/>
      <c r="F747" s="377"/>
      <c r="G747" s="377"/>
      <c r="H747" s="413"/>
    </row>
    <row r="748" spans="1:8" ht="24">
      <c r="A748" s="414">
        <v>6</v>
      </c>
      <c r="B748" s="359" t="s">
        <v>3110</v>
      </c>
      <c r="C748" s="360" t="s">
        <v>3111</v>
      </c>
      <c r="D748" s="368"/>
      <c r="E748" s="407">
        <f t="shared" si="11"/>
        <v>0</v>
      </c>
      <c r="F748" s="399"/>
      <c r="G748" s="485"/>
      <c r="H748" s="416"/>
    </row>
    <row r="749" spans="1:8" ht="24">
      <c r="A749" s="422">
        <v>6</v>
      </c>
      <c r="B749" s="363" t="s">
        <v>3112</v>
      </c>
      <c r="C749" s="364" t="s">
        <v>3113</v>
      </c>
      <c r="D749" s="373"/>
      <c r="E749" s="409"/>
      <c r="F749" s="381"/>
      <c r="G749" s="381"/>
      <c r="H749" s="423"/>
    </row>
    <row r="750" spans="1:8" ht="24">
      <c r="A750" s="414">
        <v>7</v>
      </c>
      <c r="B750" s="359" t="s">
        <v>3114</v>
      </c>
      <c r="C750" s="360" t="s">
        <v>3115</v>
      </c>
      <c r="D750" s="368"/>
      <c r="E750" s="407">
        <f t="shared" si="11"/>
        <v>0</v>
      </c>
      <c r="F750" s="399"/>
      <c r="G750" s="485"/>
      <c r="H750" s="416"/>
    </row>
    <row r="751" spans="1:8" ht="24">
      <c r="A751" s="414">
        <v>7</v>
      </c>
      <c r="B751" s="359" t="s">
        <v>3116</v>
      </c>
      <c r="C751" s="360" t="s">
        <v>3117</v>
      </c>
      <c r="D751" s="368"/>
      <c r="E751" s="407">
        <f t="shared" si="11"/>
        <v>0</v>
      </c>
      <c r="F751" s="399"/>
      <c r="G751" s="485"/>
      <c r="H751" s="416"/>
    </row>
    <row r="752" spans="1:8">
      <c r="A752" s="414">
        <v>7</v>
      </c>
      <c r="B752" s="359" t="s">
        <v>3118</v>
      </c>
      <c r="C752" s="360" t="s">
        <v>3119</v>
      </c>
      <c r="D752" s="368"/>
      <c r="E752" s="407">
        <f t="shared" si="11"/>
        <v>0</v>
      </c>
      <c r="F752" s="399"/>
      <c r="G752" s="485"/>
      <c r="H752" s="416"/>
    </row>
    <row r="753" spans="1:8" ht="24">
      <c r="A753" s="422">
        <v>6</v>
      </c>
      <c r="B753" s="363" t="s">
        <v>3120</v>
      </c>
      <c r="C753" s="364" t="s">
        <v>2975</v>
      </c>
      <c r="D753" s="373"/>
      <c r="E753" s="409"/>
      <c r="F753" s="381"/>
      <c r="G753" s="381"/>
      <c r="H753" s="423"/>
    </row>
    <row r="754" spans="1:8" ht="24">
      <c r="A754" s="414">
        <v>7</v>
      </c>
      <c r="B754" s="359" t="s">
        <v>3121</v>
      </c>
      <c r="C754" s="360" t="s">
        <v>3122</v>
      </c>
      <c r="D754" s="368"/>
      <c r="E754" s="407">
        <f t="shared" si="11"/>
        <v>0</v>
      </c>
      <c r="F754" s="399"/>
      <c r="G754" s="485"/>
      <c r="H754" s="416"/>
    </row>
    <row r="755" spans="1:8" ht="24">
      <c r="A755" s="414">
        <v>7</v>
      </c>
      <c r="B755" s="359" t="s">
        <v>3123</v>
      </c>
      <c r="C755" s="360" t="s">
        <v>3124</v>
      </c>
      <c r="D755" s="368"/>
      <c r="E755" s="407">
        <f t="shared" si="11"/>
        <v>0</v>
      </c>
      <c r="F755" s="399"/>
      <c r="G755" s="485"/>
      <c r="H755" s="416"/>
    </row>
    <row r="756" spans="1:8" ht="24">
      <c r="A756" s="414">
        <v>7</v>
      </c>
      <c r="B756" s="359" t="s">
        <v>3125</v>
      </c>
      <c r="C756" s="360" t="s">
        <v>3126</v>
      </c>
      <c r="D756" s="368"/>
      <c r="E756" s="407">
        <f t="shared" si="11"/>
        <v>0</v>
      </c>
      <c r="F756" s="399"/>
      <c r="G756" s="485"/>
      <c r="H756" s="416"/>
    </row>
    <row r="757" spans="1:8" ht="24">
      <c r="A757" s="414">
        <v>6</v>
      </c>
      <c r="B757" s="359" t="s">
        <v>3127</v>
      </c>
      <c r="C757" s="360" t="s">
        <v>3128</v>
      </c>
      <c r="D757" s="368"/>
      <c r="E757" s="407">
        <f t="shared" si="11"/>
        <v>0</v>
      </c>
      <c r="F757" s="399"/>
      <c r="G757" s="485"/>
      <c r="H757" s="416"/>
    </row>
    <row r="758" spans="1:8" ht="24">
      <c r="A758" s="414">
        <v>6</v>
      </c>
      <c r="B758" s="359" t="s">
        <v>3129</v>
      </c>
      <c r="C758" s="360" t="s">
        <v>3130</v>
      </c>
      <c r="D758" s="368"/>
      <c r="E758" s="407">
        <f t="shared" si="11"/>
        <v>0</v>
      </c>
      <c r="F758" s="399"/>
      <c r="G758" s="485"/>
      <c r="H758" s="416"/>
    </row>
    <row r="759" spans="1:8" ht="24">
      <c r="A759" s="414">
        <v>6</v>
      </c>
      <c r="B759" s="359" t="s">
        <v>3131</v>
      </c>
      <c r="C759" s="360" t="s">
        <v>3132</v>
      </c>
      <c r="D759" s="368"/>
      <c r="E759" s="407">
        <f t="shared" si="11"/>
        <v>0</v>
      </c>
      <c r="F759" s="399"/>
      <c r="G759" s="485"/>
      <c r="H759" s="416"/>
    </row>
    <row r="760" spans="1:8" ht="24">
      <c r="A760" s="414">
        <v>6</v>
      </c>
      <c r="B760" s="359" t="s">
        <v>3133</v>
      </c>
      <c r="C760" s="360" t="s">
        <v>3134</v>
      </c>
      <c r="D760" s="368"/>
      <c r="E760" s="407">
        <f t="shared" si="11"/>
        <v>0</v>
      </c>
      <c r="F760" s="399"/>
      <c r="G760" s="485"/>
      <c r="H760" s="416"/>
    </row>
    <row r="761" spans="1:8" ht="25.5">
      <c r="A761" s="412" t="s">
        <v>1973</v>
      </c>
      <c r="B761" s="357" t="s">
        <v>932</v>
      </c>
      <c r="C761" s="357" t="s">
        <v>1631</v>
      </c>
      <c r="D761" s="367"/>
      <c r="E761" s="408"/>
      <c r="F761" s="377"/>
      <c r="G761" s="377"/>
      <c r="H761" s="413"/>
    </row>
    <row r="762" spans="1:8">
      <c r="A762" s="414" t="s">
        <v>1975</v>
      </c>
      <c r="B762" s="359" t="s">
        <v>3135</v>
      </c>
      <c r="C762" s="360" t="s">
        <v>931</v>
      </c>
      <c r="D762" s="368"/>
      <c r="E762" s="407">
        <f t="shared" si="11"/>
        <v>0</v>
      </c>
      <c r="F762" s="399"/>
      <c r="G762" s="485"/>
      <c r="H762" s="416"/>
    </row>
    <row r="763" spans="1:8">
      <c r="A763" s="412" t="s">
        <v>1969</v>
      </c>
      <c r="B763" s="357" t="s">
        <v>933</v>
      </c>
      <c r="C763" s="357" t="s">
        <v>3136</v>
      </c>
      <c r="D763" s="367"/>
      <c r="E763" s="408"/>
      <c r="F763" s="377"/>
      <c r="G763" s="377"/>
      <c r="H763" s="413"/>
    </row>
    <row r="764" spans="1:8">
      <c r="A764" s="412" t="s">
        <v>1971</v>
      </c>
      <c r="B764" s="357" t="s">
        <v>934</v>
      </c>
      <c r="C764" s="357" t="s">
        <v>1633</v>
      </c>
      <c r="D764" s="367"/>
      <c r="E764" s="408"/>
      <c r="F764" s="377"/>
      <c r="G764" s="377"/>
      <c r="H764" s="413"/>
    </row>
    <row r="765" spans="1:8" ht="25.5">
      <c r="A765" s="412" t="s">
        <v>1973</v>
      </c>
      <c r="B765" s="357" t="s">
        <v>935</v>
      </c>
      <c r="C765" s="357" t="s">
        <v>1634</v>
      </c>
      <c r="D765" s="367"/>
      <c r="E765" s="408"/>
      <c r="F765" s="377"/>
      <c r="G765" s="377"/>
      <c r="H765" s="413"/>
    </row>
    <row r="766" spans="1:8" ht="24">
      <c r="A766" s="414">
        <v>6</v>
      </c>
      <c r="B766" s="359" t="s">
        <v>3137</v>
      </c>
      <c r="C766" s="360" t="s">
        <v>3138</v>
      </c>
      <c r="D766" s="368"/>
      <c r="E766" s="407">
        <f t="shared" si="11"/>
        <v>38158</v>
      </c>
      <c r="F766" s="399">
        <v>38158</v>
      </c>
      <c r="G766" s="485"/>
      <c r="H766" s="415">
        <v>60293</v>
      </c>
    </row>
    <row r="767" spans="1:8" ht="24">
      <c r="A767" s="414">
        <v>6</v>
      </c>
      <c r="B767" s="359" t="s">
        <v>3139</v>
      </c>
      <c r="C767" s="360" t="s">
        <v>3140</v>
      </c>
      <c r="D767" s="368"/>
      <c r="E767" s="407">
        <f t="shared" si="11"/>
        <v>18521</v>
      </c>
      <c r="F767" s="399">
        <v>18521</v>
      </c>
      <c r="G767" s="485"/>
      <c r="H767" s="415">
        <v>26948</v>
      </c>
    </row>
    <row r="768" spans="1:8" ht="24">
      <c r="A768" s="414">
        <v>6</v>
      </c>
      <c r="B768" s="359" t="s">
        <v>3141</v>
      </c>
      <c r="C768" s="360" t="s">
        <v>3142</v>
      </c>
      <c r="D768" s="368"/>
      <c r="E768" s="407">
        <f t="shared" si="11"/>
        <v>2403</v>
      </c>
      <c r="F768" s="399">
        <v>2403</v>
      </c>
      <c r="G768" s="485"/>
      <c r="H768" s="415">
        <v>6103</v>
      </c>
    </row>
    <row r="769" spans="1:8" ht="24">
      <c r="A769" s="414">
        <v>6</v>
      </c>
      <c r="B769" s="359" t="s">
        <v>3143</v>
      </c>
      <c r="C769" s="360" t="s">
        <v>3144</v>
      </c>
      <c r="D769" s="368"/>
      <c r="E769" s="407">
        <f t="shared" si="11"/>
        <v>688</v>
      </c>
      <c r="F769" s="399">
        <v>688</v>
      </c>
      <c r="G769" s="485"/>
      <c r="H769" s="415">
        <v>1265</v>
      </c>
    </row>
    <row r="770" spans="1:8" ht="24">
      <c r="A770" s="414">
        <v>6</v>
      </c>
      <c r="B770" s="359" t="s">
        <v>3145</v>
      </c>
      <c r="C770" s="360" t="s">
        <v>3146</v>
      </c>
      <c r="D770" s="368"/>
      <c r="E770" s="407">
        <f t="shared" si="11"/>
        <v>0</v>
      </c>
      <c r="F770" s="399"/>
      <c r="G770" s="485"/>
      <c r="H770" s="416"/>
    </row>
    <row r="771" spans="1:8" ht="24">
      <c r="A771" s="414">
        <v>6</v>
      </c>
      <c r="B771" s="359" t="s">
        <v>3147</v>
      </c>
      <c r="C771" s="360" t="s">
        <v>3148</v>
      </c>
      <c r="D771" s="368"/>
      <c r="E771" s="407">
        <f t="shared" si="11"/>
        <v>0</v>
      </c>
      <c r="F771" s="399"/>
      <c r="G771" s="485"/>
      <c r="H771" s="416"/>
    </row>
    <row r="772" spans="1:8" ht="24">
      <c r="A772" s="414">
        <v>6</v>
      </c>
      <c r="B772" s="359" t="s">
        <v>3149</v>
      </c>
      <c r="C772" s="360" t="s">
        <v>3150</v>
      </c>
      <c r="D772" s="368"/>
      <c r="E772" s="407">
        <f t="shared" si="11"/>
        <v>0</v>
      </c>
      <c r="F772" s="399"/>
      <c r="G772" s="485"/>
      <c r="H772" s="415"/>
    </row>
    <row r="773" spans="1:8" ht="24">
      <c r="A773" s="414">
        <v>6</v>
      </c>
      <c r="B773" s="359" t="s">
        <v>3151</v>
      </c>
      <c r="C773" s="360" t="s">
        <v>3152</v>
      </c>
      <c r="D773" s="368"/>
      <c r="E773" s="407">
        <f t="shared" si="11"/>
        <v>16637</v>
      </c>
      <c r="F773" s="399">
        <v>16637</v>
      </c>
      <c r="G773" s="485"/>
      <c r="H773" s="415">
        <v>26263</v>
      </c>
    </row>
    <row r="774" spans="1:8" ht="25.5">
      <c r="A774" s="412" t="s">
        <v>1973</v>
      </c>
      <c r="B774" s="357" t="s">
        <v>936</v>
      </c>
      <c r="C774" s="357" t="s">
        <v>1635</v>
      </c>
      <c r="D774" s="367"/>
      <c r="E774" s="408"/>
      <c r="F774" s="377"/>
      <c r="G774" s="377"/>
      <c r="H774" s="413"/>
    </row>
    <row r="775" spans="1:8" ht="24">
      <c r="A775" s="414">
        <v>6</v>
      </c>
      <c r="B775" s="359" t="s">
        <v>3153</v>
      </c>
      <c r="C775" s="360" t="s">
        <v>3154</v>
      </c>
      <c r="D775" s="368"/>
      <c r="E775" s="407">
        <f t="shared" si="11"/>
        <v>0</v>
      </c>
      <c r="F775" s="399"/>
      <c r="G775" s="485"/>
      <c r="H775" s="415">
        <v>26651</v>
      </c>
    </row>
    <row r="776" spans="1:8" ht="24">
      <c r="A776" s="414">
        <v>6</v>
      </c>
      <c r="B776" s="359" t="s">
        <v>3155</v>
      </c>
      <c r="C776" s="360" t="s">
        <v>3156</v>
      </c>
      <c r="D776" s="368"/>
      <c r="E776" s="407">
        <f t="shared" ref="E776:E839" si="12">F776+G776</f>
        <v>0</v>
      </c>
      <c r="F776" s="399"/>
      <c r="G776" s="485"/>
      <c r="H776" s="415">
        <v>11912</v>
      </c>
    </row>
    <row r="777" spans="1:8" ht="24">
      <c r="A777" s="414">
        <v>6</v>
      </c>
      <c r="B777" s="359" t="s">
        <v>3157</v>
      </c>
      <c r="C777" s="360" t="s">
        <v>3158</v>
      </c>
      <c r="D777" s="368"/>
      <c r="E777" s="407">
        <f t="shared" si="12"/>
        <v>0</v>
      </c>
      <c r="F777" s="399"/>
      <c r="G777" s="485"/>
      <c r="H777" s="415">
        <v>2698</v>
      </c>
    </row>
    <row r="778" spans="1:8" ht="24">
      <c r="A778" s="414">
        <v>6</v>
      </c>
      <c r="B778" s="359" t="s">
        <v>3159</v>
      </c>
      <c r="C778" s="360" t="s">
        <v>3160</v>
      </c>
      <c r="D778" s="368"/>
      <c r="E778" s="407">
        <f t="shared" si="12"/>
        <v>0</v>
      </c>
      <c r="F778" s="399"/>
      <c r="G778" s="485"/>
      <c r="H778" s="415">
        <v>559</v>
      </c>
    </row>
    <row r="779" spans="1:8" ht="24">
      <c r="A779" s="414">
        <v>6</v>
      </c>
      <c r="B779" s="359" t="s">
        <v>3161</v>
      </c>
      <c r="C779" s="360" t="s">
        <v>3162</v>
      </c>
      <c r="D779" s="368"/>
      <c r="E779" s="407">
        <f t="shared" si="12"/>
        <v>0</v>
      </c>
      <c r="F779" s="399"/>
      <c r="G779" s="485"/>
      <c r="H779" s="416"/>
    </row>
    <row r="780" spans="1:8" ht="24">
      <c r="A780" s="414">
        <v>6</v>
      </c>
      <c r="B780" s="359" t="s">
        <v>3163</v>
      </c>
      <c r="C780" s="360" t="s">
        <v>3164</v>
      </c>
      <c r="D780" s="368"/>
      <c r="E780" s="407">
        <f t="shared" si="12"/>
        <v>0</v>
      </c>
      <c r="F780" s="399"/>
      <c r="G780" s="485"/>
      <c r="H780" s="416"/>
    </row>
    <row r="781" spans="1:8" ht="24">
      <c r="A781" s="414">
        <v>6</v>
      </c>
      <c r="B781" s="359" t="s">
        <v>3165</v>
      </c>
      <c r="C781" s="360" t="s">
        <v>3166</v>
      </c>
      <c r="D781" s="368"/>
      <c r="E781" s="407">
        <f t="shared" si="12"/>
        <v>0</v>
      </c>
      <c r="F781" s="399"/>
      <c r="G781" s="485"/>
      <c r="H781" s="416"/>
    </row>
    <row r="782" spans="1:8" ht="24">
      <c r="A782" s="414">
        <v>6</v>
      </c>
      <c r="B782" s="359" t="s">
        <v>3167</v>
      </c>
      <c r="C782" s="360" t="s">
        <v>3168</v>
      </c>
      <c r="D782" s="368"/>
      <c r="E782" s="407">
        <f t="shared" si="12"/>
        <v>0</v>
      </c>
      <c r="F782" s="399"/>
      <c r="G782" s="485"/>
      <c r="H782" s="415">
        <v>12282</v>
      </c>
    </row>
    <row r="783" spans="1:8">
      <c r="A783" s="412" t="s">
        <v>1973</v>
      </c>
      <c r="B783" s="357" t="s">
        <v>938</v>
      </c>
      <c r="C783" s="357" t="s">
        <v>1636</v>
      </c>
      <c r="D783" s="367"/>
      <c r="E783" s="408"/>
      <c r="F783" s="377"/>
      <c r="G783" s="377"/>
      <c r="H783" s="413"/>
    </row>
    <row r="784" spans="1:8">
      <c r="A784" s="414" t="s">
        <v>1975</v>
      </c>
      <c r="B784" s="359" t="s">
        <v>3169</v>
      </c>
      <c r="C784" s="360" t="s">
        <v>937</v>
      </c>
      <c r="D784" s="368"/>
      <c r="E784" s="407">
        <f t="shared" si="12"/>
        <v>0</v>
      </c>
      <c r="F784" s="399"/>
      <c r="G784" s="485"/>
      <c r="H784" s="416"/>
    </row>
    <row r="785" spans="1:8">
      <c r="A785" s="412" t="s">
        <v>1971</v>
      </c>
      <c r="B785" s="357" t="s">
        <v>939</v>
      </c>
      <c r="C785" s="357" t="s">
        <v>1637</v>
      </c>
      <c r="D785" s="367"/>
      <c r="E785" s="408"/>
      <c r="F785" s="377"/>
      <c r="G785" s="377"/>
      <c r="H785" s="413"/>
    </row>
    <row r="786" spans="1:8" ht="25.5">
      <c r="A786" s="412" t="s">
        <v>1973</v>
      </c>
      <c r="B786" s="357" t="s">
        <v>940</v>
      </c>
      <c r="C786" s="357" t="s">
        <v>1638</v>
      </c>
      <c r="D786" s="367"/>
      <c r="E786" s="408"/>
      <c r="F786" s="377"/>
      <c r="G786" s="377"/>
      <c r="H786" s="413"/>
    </row>
    <row r="787" spans="1:8" ht="24">
      <c r="A787" s="422">
        <v>6</v>
      </c>
      <c r="B787" s="363" t="s">
        <v>3170</v>
      </c>
      <c r="C787" s="364" t="s">
        <v>3171</v>
      </c>
      <c r="D787" s="374"/>
      <c r="E787" s="409"/>
      <c r="F787" s="382"/>
      <c r="G787" s="382"/>
      <c r="H787" s="424"/>
    </row>
    <row r="788" spans="1:8" ht="24">
      <c r="A788" s="414">
        <v>7</v>
      </c>
      <c r="B788" s="359" t="s">
        <v>3172</v>
      </c>
      <c r="C788" s="360" t="s">
        <v>3173</v>
      </c>
      <c r="D788" s="368"/>
      <c r="E788" s="407">
        <f t="shared" si="12"/>
        <v>6900975</v>
      </c>
      <c r="F788" s="399">
        <v>6900975</v>
      </c>
      <c r="G788" s="485"/>
      <c r="H788" s="415">
        <v>7127605</v>
      </c>
    </row>
    <row r="789" spans="1:8" ht="24">
      <c r="A789" s="422">
        <v>7</v>
      </c>
      <c r="B789" s="363" t="s">
        <v>3174</v>
      </c>
      <c r="C789" s="364" t="s">
        <v>3175</v>
      </c>
      <c r="D789" s="374"/>
      <c r="E789" s="409"/>
      <c r="F789" s="382"/>
      <c r="G789" s="382"/>
      <c r="H789" s="424"/>
    </row>
    <row r="790" spans="1:8" ht="24">
      <c r="A790" s="414">
        <v>8</v>
      </c>
      <c r="B790" s="359" t="s">
        <v>3176</v>
      </c>
      <c r="C790" s="360" t="s">
        <v>3177</v>
      </c>
      <c r="D790" s="368"/>
      <c r="E790" s="407">
        <f t="shared" si="12"/>
        <v>105132</v>
      </c>
      <c r="F790" s="399">
        <v>105132</v>
      </c>
      <c r="G790" s="485"/>
      <c r="H790" s="415">
        <v>109950</v>
      </c>
    </row>
    <row r="791" spans="1:8">
      <c r="A791" s="414">
        <v>8</v>
      </c>
      <c r="B791" s="359" t="s">
        <v>3178</v>
      </c>
      <c r="C791" s="360" t="s">
        <v>3179</v>
      </c>
      <c r="D791" s="368"/>
      <c r="E791" s="407">
        <f t="shared" si="12"/>
        <v>426477</v>
      </c>
      <c r="F791" s="399">
        <v>426477</v>
      </c>
      <c r="G791" s="485"/>
      <c r="H791" s="415">
        <v>445814</v>
      </c>
    </row>
    <row r="792" spans="1:8">
      <c r="A792" s="414">
        <v>8</v>
      </c>
      <c r="B792" s="359" t="s">
        <v>3180</v>
      </c>
      <c r="C792" s="360" t="s">
        <v>3181</v>
      </c>
      <c r="D792" s="368"/>
      <c r="E792" s="407">
        <f t="shared" si="12"/>
        <v>194129</v>
      </c>
      <c r="F792" s="399">
        <v>194129</v>
      </c>
      <c r="G792" s="485"/>
      <c r="H792" s="415">
        <v>530643</v>
      </c>
    </row>
    <row r="793" spans="1:8" ht="24">
      <c r="A793" s="422">
        <v>7</v>
      </c>
      <c r="B793" s="363" t="s">
        <v>3182</v>
      </c>
      <c r="C793" s="364" t="s">
        <v>3183</v>
      </c>
      <c r="D793" s="374"/>
      <c r="E793" s="409"/>
      <c r="F793" s="382"/>
      <c r="G793" s="382"/>
      <c r="H793" s="424"/>
    </row>
    <row r="794" spans="1:8">
      <c r="A794" s="414">
        <v>8</v>
      </c>
      <c r="B794" s="359" t="s">
        <v>3184</v>
      </c>
      <c r="C794" s="360" t="s">
        <v>3185</v>
      </c>
      <c r="D794" s="368"/>
      <c r="E794" s="407">
        <f t="shared" si="12"/>
        <v>290625</v>
      </c>
      <c r="F794" s="399">
        <v>290625</v>
      </c>
      <c r="G794" s="485"/>
      <c r="H794" s="415">
        <v>303568</v>
      </c>
    </row>
    <row r="795" spans="1:8" ht="24">
      <c r="A795" s="414">
        <v>8</v>
      </c>
      <c r="B795" s="359" t="s">
        <v>3186</v>
      </c>
      <c r="C795" s="360" t="s">
        <v>3187</v>
      </c>
      <c r="D795" s="368"/>
      <c r="E795" s="407">
        <f t="shared" si="12"/>
        <v>592491</v>
      </c>
      <c r="F795" s="399">
        <v>592491</v>
      </c>
      <c r="G795" s="485"/>
      <c r="H795" s="415">
        <v>619645</v>
      </c>
    </row>
    <row r="796" spans="1:8" ht="24">
      <c r="A796" s="414">
        <v>8</v>
      </c>
      <c r="B796" s="359" t="s">
        <v>3188</v>
      </c>
      <c r="C796" s="360" t="s">
        <v>3189</v>
      </c>
      <c r="D796" s="368"/>
      <c r="E796" s="407">
        <f t="shared" si="12"/>
        <v>105410</v>
      </c>
      <c r="F796" s="399">
        <v>105410</v>
      </c>
      <c r="G796" s="485"/>
      <c r="H796" s="415">
        <v>110241</v>
      </c>
    </row>
    <row r="797" spans="1:8" ht="24">
      <c r="A797" s="414">
        <v>7</v>
      </c>
      <c r="B797" s="359" t="s">
        <v>3190</v>
      </c>
      <c r="C797" s="360" t="s">
        <v>3191</v>
      </c>
      <c r="D797" s="368"/>
      <c r="E797" s="407">
        <f t="shared" si="12"/>
        <v>0</v>
      </c>
      <c r="F797" s="399"/>
      <c r="G797" s="485"/>
      <c r="H797" s="416"/>
    </row>
    <row r="798" spans="1:8" ht="24">
      <c r="A798" s="414">
        <v>7</v>
      </c>
      <c r="B798" s="359" t="s">
        <v>3192</v>
      </c>
      <c r="C798" s="360" t="s">
        <v>3193</v>
      </c>
      <c r="D798" s="368"/>
      <c r="E798" s="407">
        <f t="shared" si="12"/>
        <v>0</v>
      </c>
      <c r="F798" s="399"/>
      <c r="G798" s="485"/>
      <c r="H798" s="416"/>
    </row>
    <row r="799" spans="1:8" ht="24">
      <c r="A799" s="414">
        <v>7</v>
      </c>
      <c r="B799" s="359" t="s">
        <v>3194</v>
      </c>
      <c r="C799" s="360" t="s">
        <v>3195</v>
      </c>
      <c r="D799" s="368"/>
      <c r="E799" s="407">
        <f t="shared" si="12"/>
        <v>33000</v>
      </c>
      <c r="F799" s="399">
        <v>33000</v>
      </c>
      <c r="G799" s="485"/>
      <c r="H799" s="415">
        <v>33000</v>
      </c>
    </row>
    <row r="800" spans="1:8" ht="24">
      <c r="A800" s="414">
        <v>7</v>
      </c>
      <c r="B800" s="359" t="s">
        <v>3196</v>
      </c>
      <c r="C800" s="360" t="s">
        <v>3197</v>
      </c>
      <c r="D800" s="368"/>
      <c r="E800" s="407">
        <f t="shared" si="12"/>
        <v>2398272</v>
      </c>
      <c r="F800" s="399">
        <v>2398272</v>
      </c>
      <c r="G800" s="485"/>
      <c r="H800" s="415">
        <v>2535043</v>
      </c>
    </row>
    <row r="801" spans="1:8" ht="24">
      <c r="A801" s="422">
        <v>6</v>
      </c>
      <c r="B801" s="363" t="s">
        <v>3198</v>
      </c>
      <c r="C801" s="364" t="s">
        <v>3199</v>
      </c>
      <c r="D801" s="374"/>
      <c r="E801" s="409"/>
      <c r="F801" s="382"/>
      <c r="G801" s="382"/>
      <c r="H801" s="424"/>
    </row>
    <row r="802" spans="1:8" ht="24">
      <c r="A802" s="414">
        <v>7</v>
      </c>
      <c r="B802" s="359" t="s">
        <v>3200</v>
      </c>
      <c r="C802" s="360" t="s">
        <v>3201</v>
      </c>
      <c r="D802" s="368"/>
      <c r="E802" s="407">
        <f t="shared" si="12"/>
        <v>22595685</v>
      </c>
      <c r="F802" s="399">
        <v>22595685</v>
      </c>
      <c r="G802" s="485"/>
      <c r="H802" s="417">
        <v>22189057</v>
      </c>
    </row>
    <row r="803" spans="1:8" ht="24">
      <c r="A803" s="422">
        <v>7</v>
      </c>
      <c r="B803" s="363" t="s">
        <v>3202</v>
      </c>
      <c r="C803" s="364" t="s">
        <v>3203</v>
      </c>
      <c r="D803" s="374"/>
      <c r="E803" s="409"/>
      <c r="F803" s="382"/>
      <c r="G803" s="382"/>
      <c r="H803" s="424"/>
    </row>
    <row r="804" spans="1:8" ht="24">
      <c r="A804" s="414">
        <v>8</v>
      </c>
      <c r="B804" s="359" t="s">
        <v>3204</v>
      </c>
      <c r="C804" s="360" t="s">
        <v>3205</v>
      </c>
      <c r="D804" s="368"/>
      <c r="E804" s="407">
        <f t="shared" si="12"/>
        <v>344230</v>
      </c>
      <c r="F804" s="399">
        <v>344230</v>
      </c>
      <c r="G804" s="485"/>
      <c r="H804" s="417">
        <v>342287</v>
      </c>
    </row>
    <row r="805" spans="1:8" ht="24">
      <c r="A805" s="414">
        <v>8</v>
      </c>
      <c r="B805" s="359" t="s">
        <v>3206</v>
      </c>
      <c r="C805" s="360" t="s">
        <v>3207</v>
      </c>
      <c r="D805" s="368"/>
      <c r="E805" s="407">
        <f t="shared" si="12"/>
        <v>1396404</v>
      </c>
      <c r="F805" s="399">
        <v>1396404</v>
      </c>
      <c r="G805" s="485"/>
      <c r="H805" s="417">
        <v>1387869</v>
      </c>
    </row>
    <row r="806" spans="1:8">
      <c r="A806" s="414">
        <v>8</v>
      </c>
      <c r="B806" s="359" t="s">
        <v>3208</v>
      </c>
      <c r="C806" s="360" t="s">
        <v>3209</v>
      </c>
      <c r="D806" s="368"/>
      <c r="E806" s="407">
        <f t="shared" si="12"/>
        <v>635632</v>
      </c>
      <c r="F806" s="399">
        <v>635632</v>
      </c>
      <c r="G806" s="485"/>
      <c r="H806" s="417">
        <v>1651953</v>
      </c>
    </row>
    <row r="807" spans="1:8" ht="24">
      <c r="A807" s="422">
        <v>7</v>
      </c>
      <c r="B807" s="363" t="s">
        <v>3210</v>
      </c>
      <c r="C807" s="364" t="s">
        <v>3211</v>
      </c>
      <c r="D807" s="374"/>
      <c r="E807" s="409"/>
      <c r="F807" s="382"/>
      <c r="G807" s="382"/>
      <c r="H807" s="424"/>
    </row>
    <row r="808" spans="1:8" ht="24">
      <c r="A808" s="414">
        <v>8</v>
      </c>
      <c r="B808" s="359" t="s">
        <v>3212</v>
      </c>
      <c r="C808" s="360" t="s">
        <v>3213</v>
      </c>
      <c r="D808" s="368"/>
      <c r="E808" s="407">
        <f t="shared" si="12"/>
        <v>951586</v>
      </c>
      <c r="F808" s="399">
        <v>951586</v>
      </c>
      <c r="G808" s="485"/>
      <c r="H808" s="417">
        <v>945044</v>
      </c>
    </row>
    <row r="809" spans="1:8" ht="24">
      <c r="A809" s="414">
        <v>8</v>
      </c>
      <c r="B809" s="359" t="s">
        <v>3214</v>
      </c>
      <c r="C809" s="360" t="s">
        <v>3215</v>
      </c>
      <c r="D809" s="368"/>
      <c r="E809" s="407">
        <f t="shared" si="12"/>
        <v>1939979</v>
      </c>
      <c r="F809" s="399">
        <v>1939979</v>
      </c>
      <c r="G809" s="485"/>
      <c r="H809" s="417">
        <v>1929026</v>
      </c>
    </row>
    <row r="810" spans="1:8" ht="24">
      <c r="A810" s="414">
        <v>8</v>
      </c>
      <c r="B810" s="359" t="s">
        <v>3216</v>
      </c>
      <c r="C810" s="360" t="s">
        <v>3217</v>
      </c>
      <c r="D810" s="368"/>
      <c r="E810" s="407">
        <f t="shared" si="12"/>
        <v>345143</v>
      </c>
      <c r="F810" s="399">
        <v>345143</v>
      </c>
      <c r="G810" s="485"/>
      <c r="H810" s="417">
        <v>343194</v>
      </c>
    </row>
    <row r="811" spans="1:8" ht="24">
      <c r="A811" s="414">
        <v>7</v>
      </c>
      <c r="B811" s="359" t="s">
        <v>3218</v>
      </c>
      <c r="C811" s="360" t="s">
        <v>3219</v>
      </c>
      <c r="D811" s="368"/>
      <c r="E811" s="407">
        <f t="shared" si="12"/>
        <v>0</v>
      </c>
      <c r="F811" s="399"/>
      <c r="G811" s="485"/>
      <c r="H811" s="416"/>
    </row>
    <row r="812" spans="1:8" ht="24">
      <c r="A812" s="414">
        <v>7</v>
      </c>
      <c r="B812" s="359" t="s">
        <v>3220</v>
      </c>
      <c r="C812" s="360" t="s">
        <v>3221</v>
      </c>
      <c r="D812" s="368"/>
      <c r="E812" s="407">
        <f t="shared" si="12"/>
        <v>0</v>
      </c>
      <c r="F812" s="399"/>
      <c r="G812" s="485"/>
      <c r="H812" s="416"/>
    </row>
    <row r="813" spans="1:8" ht="24">
      <c r="A813" s="414">
        <v>7</v>
      </c>
      <c r="B813" s="359" t="s">
        <v>3222</v>
      </c>
      <c r="C813" s="360" t="s">
        <v>3223</v>
      </c>
      <c r="D813" s="368"/>
      <c r="E813" s="407">
        <f t="shared" si="12"/>
        <v>0</v>
      </c>
      <c r="F813" s="399"/>
      <c r="G813" s="485"/>
      <c r="H813" s="416"/>
    </row>
    <row r="814" spans="1:8" ht="24">
      <c r="A814" s="414">
        <v>7</v>
      </c>
      <c r="B814" s="359" t="s">
        <v>3224</v>
      </c>
      <c r="C814" s="360" t="s">
        <v>3225</v>
      </c>
      <c r="D814" s="368"/>
      <c r="E814" s="407">
        <f t="shared" si="12"/>
        <v>7825475</v>
      </c>
      <c r="F814" s="399">
        <v>7825475</v>
      </c>
      <c r="G814" s="485"/>
      <c r="H814" s="417">
        <v>7866092</v>
      </c>
    </row>
    <row r="815" spans="1:8" ht="25.5">
      <c r="A815" s="412" t="s">
        <v>1973</v>
      </c>
      <c r="B815" s="357" t="s">
        <v>941</v>
      </c>
      <c r="C815" s="357" t="s">
        <v>1639</v>
      </c>
      <c r="D815" s="367"/>
      <c r="E815" s="408"/>
      <c r="F815" s="377"/>
      <c r="G815" s="377"/>
      <c r="H815" s="413"/>
    </row>
    <row r="816" spans="1:8" ht="24">
      <c r="A816" s="422">
        <v>6</v>
      </c>
      <c r="B816" s="363" t="s">
        <v>3226</v>
      </c>
      <c r="C816" s="364" t="s">
        <v>3227</v>
      </c>
      <c r="D816" s="374"/>
      <c r="E816" s="409"/>
      <c r="F816" s="382"/>
      <c r="G816" s="382"/>
      <c r="H816" s="424"/>
    </row>
    <row r="817" spans="1:8" ht="24">
      <c r="A817" s="414">
        <v>7</v>
      </c>
      <c r="B817" s="359" t="s">
        <v>3228</v>
      </c>
      <c r="C817" s="360" t="s">
        <v>3229</v>
      </c>
      <c r="D817" s="368"/>
      <c r="E817" s="407">
        <f t="shared" si="12"/>
        <v>1415943</v>
      </c>
      <c r="F817" s="399">
        <v>1415943</v>
      </c>
      <c r="G817" s="485"/>
      <c r="H817" s="415">
        <v>1286744</v>
      </c>
    </row>
    <row r="818" spans="1:8" ht="24">
      <c r="A818" s="422">
        <v>7</v>
      </c>
      <c r="B818" s="363" t="s">
        <v>3230</v>
      </c>
      <c r="C818" s="364" t="s">
        <v>3231</v>
      </c>
      <c r="D818" s="374"/>
      <c r="E818" s="409"/>
      <c r="F818" s="382"/>
      <c r="G818" s="382"/>
      <c r="H818" s="424"/>
    </row>
    <row r="819" spans="1:8" ht="24">
      <c r="A819" s="414">
        <v>8</v>
      </c>
      <c r="B819" s="359" t="s">
        <v>3232</v>
      </c>
      <c r="C819" s="360" t="s">
        <v>3233</v>
      </c>
      <c r="D819" s="368"/>
      <c r="E819" s="407">
        <f t="shared" si="12"/>
        <v>21571</v>
      </c>
      <c r="F819" s="399">
        <v>21571</v>
      </c>
      <c r="G819" s="485"/>
      <c r="H819" s="415">
        <v>19849</v>
      </c>
    </row>
    <row r="820" spans="1:8">
      <c r="A820" s="414">
        <v>8</v>
      </c>
      <c r="B820" s="359" t="s">
        <v>3234</v>
      </c>
      <c r="C820" s="360" t="s">
        <v>3235</v>
      </c>
      <c r="D820" s="368"/>
      <c r="E820" s="407">
        <f t="shared" si="12"/>
        <v>87505</v>
      </c>
      <c r="F820" s="399">
        <v>87505</v>
      </c>
      <c r="G820" s="485"/>
      <c r="H820" s="415">
        <v>80483</v>
      </c>
    </row>
    <row r="821" spans="1:8">
      <c r="A821" s="414">
        <v>8</v>
      </c>
      <c r="B821" s="359" t="s">
        <v>3236</v>
      </c>
      <c r="C821" s="360" t="s">
        <v>3237</v>
      </c>
      <c r="D821" s="368"/>
      <c r="E821" s="407">
        <f t="shared" si="12"/>
        <v>39832</v>
      </c>
      <c r="F821" s="399">
        <v>39832</v>
      </c>
      <c r="G821" s="485"/>
      <c r="H821" s="415">
        <v>95797</v>
      </c>
    </row>
    <row r="822" spans="1:8" ht="24">
      <c r="A822" s="422">
        <v>7</v>
      </c>
      <c r="B822" s="363" t="s">
        <v>3238</v>
      </c>
      <c r="C822" s="364" t="s">
        <v>3239</v>
      </c>
      <c r="D822" s="374"/>
      <c r="E822" s="409"/>
      <c r="F822" s="382"/>
      <c r="G822" s="382"/>
      <c r="H822" s="424"/>
    </row>
    <row r="823" spans="1:8">
      <c r="A823" s="414">
        <v>8</v>
      </c>
      <c r="B823" s="359" t="s">
        <v>3240</v>
      </c>
      <c r="C823" s="360" t="s">
        <v>3241</v>
      </c>
      <c r="D823" s="368"/>
      <c r="E823" s="407">
        <f t="shared" si="12"/>
        <v>59631</v>
      </c>
      <c r="F823" s="399">
        <v>59631</v>
      </c>
      <c r="G823" s="485"/>
      <c r="H823" s="415">
        <v>54803</v>
      </c>
    </row>
    <row r="824" spans="1:8" ht="24">
      <c r="A824" s="414">
        <v>8</v>
      </c>
      <c r="B824" s="359" t="s">
        <v>3242</v>
      </c>
      <c r="C824" s="360" t="s">
        <v>3243</v>
      </c>
      <c r="D824" s="368"/>
      <c r="E824" s="407">
        <f t="shared" si="12"/>
        <v>121568</v>
      </c>
      <c r="F824" s="399">
        <v>121568</v>
      </c>
      <c r="G824" s="485"/>
      <c r="H824" s="415">
        <v>111864</v>
      </c>
    </row>
    <row r="825" spans="1:8" ht="24">
      <c r="A825" s="414">
        <v>8</v>
      </c>
      <c r="B825" s="359" t="s">
        <v>3244</v>
      </c>
      <c r="C825" s="360" t="s">
        <v>3245</v>
      </c>
      <c r="D825" s="368"/>
      <c r="E825" s="407">
        <f t="shared" si="12"/>
        <v>21628</v>
      </c>
      <c r="F825" s="399">
        <v>21628</v>
      </c>
      <c r="G825" s="485"/>
      <c r="H825" s="415">
        <v>19902</v>
      </c>
    </row>
    <row r="826" spans="1:8" ht="24">
      <c r="A826" s="414">
        <v>7</v>
      </c>
      <c r="B826" s="359" t="s">
        <v>3246</v>
      </c>
      <c r="C826" s="360" t="s">
        <v>3247</v>
      </c>
      <c r="D826" s="368"/>
      <c r="E826" s="407">
        <f t="shared" si="12"/>
        <v>0</v>
      </c>
      <c r="F826" s="399"/>
      <c r="G826" s="485"/>
      <c r="H826" s="416"/>
    </row>
    <row r="827" spans="1:8" ht="24">
      <c r="A827" s="414">
        <v>7</v>
      </c>
      <c r="B827" s="359" t="s">
        <v>3248</v>
      </c>
      <c r="C827" s="360" t="s">
        <v>3249</v>
      </c>
      <c r="D827" s="368"/>
      <c r="E827" s="407">
        <f t="shared" si="12"/>
        <v>0</v>
      </c>
      <c r="F827" s="399"/>
      <c r="G827" s="485"/>
      <c r="H827" s="416"/>
    </row>
    <row r="828" spans="1:8" ht="24">
      <c r="A828" s="414">
        <v>7</v>
      </c>
      <c r="B828" s="359" t="s">
        <v>3250</v>
      </c>
      <c r="C828" s="360" t="s">
        <v>3251</v>
      </c>
      <c r="D828" s="368"/>
      <c r="E828" s="407">
        <f t="shared" si="12"/>
        <v>1000</v>
      </c>
      <c r="F828" s="399">
        <v>1000</v>
      </c>
      <c r="G828" s="485"/>
      <c r="H828" s="415">
        <v>1000</v>
      </c>
    </row>
    <row r="829" spans="1:8" ht="24">
      <c r="A829" s="414">
        <v>7</v>
      </c>
      <c r="B829" s="359" t="s">
        <v>3252</v>
      </c>
      <c r="C829" s="360" t="s">
        <v>3253</v>
      </c>
      <c r="D829" s="368"/>
      <c r="E829" s="407">
        <f t="shared" si="12"/>
        <v>519105</v>
      </c>
      <c r="F829" s="399">
        <v>519105</v>
      </c>
      <c r="G829" s="485"/>
      <c r="H829" s="415">
        <v>483300</v>
      </c>
    </row>
    <row r="830" spans="1:8" ht="24">
      <c r="A830" s="422">
        <v>6</v>
      </c>
      <c r="B830" s="363" t="s">
        <v>3254</v>
      </c>
      <c r="C830" s="364" t="s">
        <v>3255</v>
      </c>
      <c r="D830" s="374"/>
      <c r="E830" s="409"/>
      <c r="F830" s="382"/>
      <c r="G830" s="382"/>
      <c r="H830" s="424"/>
    </row>
    <row r="831" spans="1:8" ht="24">
      <c r="A831" s="414">
        <v>7</v>
      </c>
      <c r="B831" s="359" t="s">
        <v>3256</v>
      </c>
      <c r="C831" s="360" t="s">
        <v>3257</v>
      </c>
      <c r="D831" s="368"/>
      <c r="E831" s="407">
        <f t="shared" si="12"/>
        <v>1422908</v>
      </c>
      <c r="F831" s="399">
        <v>1422908</v>
      </c>
      <c r="G831" s="485"/>
      <c r="H831" s="415">
        <v>1565687</v>
      </c>
    </row>
    <row r="832" spans="1:8" ht="24">
      <c r="A832" s="422">
        <v>7</v>
      </c>
      <c r="B832" s="363" t="s">
        <v>3258</v>
      </c>
      <c r="C832" s="364" t="s">
        <v>3259</v>
      </c>
      <c r="D832" s="374"/>
      <c r="E832" s="409"/>
      <c r="F832" s="382"/>
      <c r="G832" s="382"/>
      <c r="H832" s="424"/>
    </row>
    <row r="833" spans="1:8" ht="24">
      <c r="A833" s="414">
        <v>8</v>
      </c>
      <c r="B833" s="359" t="s">
        <v>3260</v>
      </c>
      <c r="C833" s="360" t="s">
        <v>3261</v>
      </c>
      <c r="D833" s="368"/>
      <c r="E833" s="407">
        <f t="shared" si="12"/>
        <v>21677</v>
      </c>
      <c r="F833" s="399">
        <v>21677</v>
      </c>
      <c r="G833" s="485"/>
      <c r="H833" s="415">
        <v>24152</v>
      </c>
    </row>
    <row r="834" spans="1:8" ht="24">
      <c r="A834" s="414">
        <v>8</v>
      </c>
      <c r="B834" s="359" t="s">
        <v>3262</v>
      </c>
      <c r="C834" s="360" t="s">
        <v>3263</v>
      </c>
      <c r="D834" s="368"/>
      <c r="E834" s="407">
        <f t="shared" si="12"/>
        <v>87935</v>
      </c>
      <c r="F834" s="399">
        <v>87935</v>
      </c>
      <c r="G834" s="485"/>
      <c r="H834" s="415">
        <v>97930</v>
      </c>
    </row>
    <row r="835" spans="1:8">
      <c r="A835" s="414">
        <v>8</v>
      </c>
      <c r="B835" s="359" t="s">
        <v>3264</v>
      </c>
      <c r="C835" s="360" t="s">
        <v>3265</v>
      </c>
      <c r="D835" s="368"/>
      <c r="E835" s="407">
        <f t="shared" si="12"/>
        <v>40027</v>
      </c>
      <c r="F835" s="399">
        <v>40027</v>
      </c>
      <c r="G835" s="485"/>
      <c r="H835" s="415">
        <v>116564</v>
      </c>
    </row>
    <row r="836" spans="1:8" ht="24">
      <c r="A836" s="422">
        <v>7</v>
      </c>
      <c r="B836" s="363" t="s">
        <v>3266</v>
      </c>
      <c r="C836" s="364" t="s">
        <v>3267</v>
      </c>
      <c r="D836" s="374"/>
      <c r="E836" s="409"/>
      <c r="F836" s="382"/>
      <c r="G836" s="382"/>
      <c r="H836" s="424"/>
    </row>
    <row r="837" spans="1:8" ht="24">
      <c r="A837" s="414">
        <v>8</v>
      </c>
      <c r="B837" s="359" t="s">
        <v>3268</v>
      </c>
      <c r="C837" s="360" t="s">
        <v>3269</v>
      </c>
      <c r="D837" s="368"/>
      <c r="E837" s="407">
        <f t="shared" si="12"/>
        <v>59924</v>
      </c>
      <c r="F837" s="399">
        <v>59924</v>
      </c>
      <c r="G837" s="485"/>
      <c r="H837" s="415">
        <v>66683</v>
      </c>
    </row>
    <row r="838" spans="1:8" ht="24">
      <c r="A838" s="414">
        <v>8</v>
      </c>
      <c r="B838" s="359" t="s">
        <v>3270</v>
      </c>
      <c r="C838" s="360" t="s">
        <v>3271</v>
      </c>
      <c r="D838" s="368"/>
      <c r="E838" s="407">
        <f t="shared" si="12"/>
        <v>122165</v>
      </c>
      <c r="F838" s="399">
        <v>122165</v>
      </c>
      <c r="G838" s="485"/>
      <c r="H838" s="415">
        <v>136114</v>
      </c>
    </row>
    <row r="839" spans="1:8" ht="24">
      <c r="A839" s="414">
        <v>8</v>
      </c>
      <c r="B839" s="359" t="s">
        <v>3272</v>
      </c>
      <c r="C839" s="360" t="s">
        <v>3273</v>
      </c>
      <c r="D839" s="368"/>
      <c r="E839" s="407">
        <f t="shared" si="12"/>
        <v>21735</v>
      </c>
      <c r="F839" s="399">
        <v>21735</v>
      </c>
      <c r="G839" s="485"/>
      <c r="H839" s="415">
        <v>24216</v>
      </c>
    </row>
    <row r="840" spans="1:8" ht="24">
      <c r="A840" s="414">
        <v>7</v>
      </c>
      <c r="B840" s="359" t="s">
        <v>3274</v>
      </c>
      <c r="C840" s="360" t="s">
        <v>3275</v>
      </c>
      <c r="D840" s="368"/>
      <c r="E840" s="407">
        <f t="shared" ref="E840:E903" si="13">F840+G840</f>
        <v>0</v>
      </c>
      <c r="F840" s="399"/>
      <c r="G840" s="485"/>
      <c r="H840" s="416"/>
    </row>
    <row r="841" spans="1:8" ht="24">
      <c r="A841" s="414">
        <v>7</v>
      </c>
      <c r="B841" s="359" t="s">
        <v>3276</v>
      </c>
      <c r="C841" s="360" t="s">
        <v>3277</v>
      </c>
      <c r="D841" s="368"/>
      <c r="E841" s="407">
        <f t="shared" si="13"/>
        <v>0</v>
      </c>
      <c r="F841" s="399"/>
      <c r="G841" s="485"/>
      <c r="H841" s="416"/>
    </row>
    <row r="842" spans="1:8" ht="24">
      <c r="A842" s="414">
        <v>7</v>
      </c>
      <c r="B842" s="359" t="s">
        <v>3278</v>
      </c>
      <c r="C842" s="360" t="s">
        <v>3279</v>
      </c>
      <c r="D842" s="368"/>
      <c r="E842" s="407">
        <f t="shared" si="13"/>
        <v>0</v>
      </c>
      <c r="F842" s="399"/>
      <c r="G842" s="485"/>
      <c r="H842" s="416"/>
    </row>
    <row r="843" spans="1:8" ht="24">
      <c r="A843" s="414">
        <v>7</v>
      </c>
      <c r="B843" s="359" t="s">
        <v>3280</v>
      </c>
      <c r="C843" s="360" t="s">
        <v>3281</v>
      </c>
      <c r="D843" s="368"/>
      <c r="E843" s="407">
        <f t="shared" si="13"/>
        <v>521390</v>
      </c>
      <c r="F843" s="399">
        <v>521390</v>
      </c>
      <c r="G843" s="485"/>
      <c r="H843" s="415">
        <v>587746</v>
      </c>
    </row>
    <row r="844" spans="1:8">
      <c r="A844" s="412" t="s">
        <v>1973</v>
      </c>
      <c r="B844" s="357" t="s">
        <v>943</v>
      </c>
      <c r="C844" s="357" t="s">
        <v>1640</v>
      </c>
      <c r="D844" s="367"/>
      <c r="E844" s="408"/>
      <c r="F844" s="377"/>
      <c r="G844" s="377"/>
      <c r="H844" s="413"/>
    </row>
    <row r="845" spans="1:8">
      <c r="A845" s="414" t="s">
        <v>1975</v>
      </c>
      <c r="B845" s="359" t="s">
        <v>3282</v>
      </c>
      <c r="C845" s="360" t="s">
        <v>942</v>
      </c>
      <c r="D845" s="368"/>
      <c r="E845" s="407">
        <f t="shared" si="13"/>
        <v>0</v>
      </c>
      <c r="F845" s="399"/>
      <c r="G845" s="485"/>
      <c r="H845" s="416"/>
    </row>
    <row r="846" spans="1:8">
      <c r="A846" s="412" t="s">
        <v>1969</v>
      </c>
      <c r="B846" s="357" t="s">
        <v>944</v>
      </c>
      <c r="C846" s="357" t="s">
        <v>3283</v>
      </c>
      <c r="D846" s="367"/>
      <c r="E846" s="408"/>
      <c r="F846" s="377"/>
      <c r="G846" s="377"/>
      <c r="H846" s="413"/>
    </row>
    <row r="847" spans="1:8">
      <c r="A847" s="412" t="s">
        <v>1971</v>
      </c>
      <c r="B847" s="357" t="s">
        <v>945</v>
      </c>
      <c r="C847" s="357" t="s">
        <v>1642</v>
      </c>
      <c r="D847" s="367"/>
      <c r="E847" s="408"/>
      <c r="F847" s="377"/>
      <c r="G847" s="377"/>
      <c r="H847" s="413"/>
    </row>
    <row r="848" spans="1:8" ht="25.5">
      <c r="A848" s="412">
        <v>5</v>
      </c>
      <c r="B848" s="357" t="s">
        <v>946</v>
      </c>
      <c r="C848" s="357" t="s">
        <v>1643</v>
      </c>
      <c r="D848" s="367"/>
      <c r="E848" s="408"/>
      <c r="F848" s="377"/>
      <c r="G848" s="377"/>
      <c r="H848" s="413"/>
    </row>
    <row r="849" spans="1:8" ht="24">
      <c r="A849" s="414">
        <v>6</v>
      </c>
      <c r="B849" s="359" t="s">
        <v>3284</v>
      </c>
      <c r="C849" s="360" t="s">
        <v>3285</v>
      </c>
      <c r="D849" s="368"/>
      <c r="E849" s="407">
        <f t="shared" si="13"/>
        <v>607220</v>
      </c>
      <c r="F849" s="399">
        <v>607220</v>
      </c>
      <c r="G849" s="485"/>
      <c r="H849" s="415">
        <v>783801</v>
      </c>
    </row>
    <row r="850" spans="1:8" ht="24">
      <c r="A850" s="414">
        <v>6</v>
      </c>
      <c r="B850" s="359" t="s">
        <v>3286</v>
      </c>
      <c r="C850" s="360" t="s">
        <v>3287</v>
      </c>
      <c r="D850" s="368"/>
      <c r="E850" s="407">
        <f t="shared" si="13"/>
        <v>461739</v>
      </c>
      <c r="F850" s="399">
        <f>294728+167011</f>
        <v>461739</v>
      </c>
      <c r="G850" s="485"/>
      <c r="H850" s="415">
        <v>350321</v>
      </c>
    </row>
    <row r="851" spans="1:8" ht="24">
      <c r="A851" s="414">
        <v>6</v>
      </c>
      <c r="B851" s="359" t="s">
        <v>3288</v>
      </c>
      <c r="C851" s="360" t="s">
        <v>3289</v>
      </c>
      <c r="D851" s="368"/>
      <c r="E851" s="407">
        <f t="shared" si="13"/>
        <v>38240</v>
      </c>
      <c r="F851" s="399">
        <v>38240</v>
      </c>
      <c r="G851" s="485"/>
      <c r="H851" s="415">
        <v>79339</v>
      </c>
    </row>
    <row r="852" spans="1:8" ht="24">
      <c r="A852" s="414">
        <v>6</v>
      </c>
      <c r="B852" s="359" t="s">
        <v>3290</v>
      </c>
      <c r="C852" s="360" t="s">
        <v>3291</v>
      </c>
      <c r="D852" s="368"/>
      <c r="E852" s="407">
        <f t="shared" si="13"/>
        <v>10951</v>
      </c>
      <c r="F852" s="399">
        <v>10951</v>
      </c>
      <c r="G852" s="485"/>
      <c r="H852" s="415">
        <v>16442</v>
      </c>
    </row>
    <row r="853" spans="1:8" ht="24">
      <c r="A853" s="414">
        <v>6</v>
      </c>
      <c r="B853" s="359" t="s">
        <v>3292</v>
      </c>
      <c r="C853" s="360" t="s">
        <v>3293</v>
      </c>
      <c r="D853" s="368"/>
      <c r="E853" s="407">
        <f t="shared" si="13"/>
        <v>0</v>
      </c>
      <c r="F853" s="399"/>
      <c r="G853" s="485"/>
      <c r="H853" s="416"/>
    </row>
    <row r="854" spans="1:8" ht="24">
      <c r="A854" s="414">
        <v>6</v>
      </c>
      <c r="B854" s="359" t="s">
        <v>3294</v>
      </c>
      <c r="C854" s="360" t="s">
        <v>3295</v>
      </c>
      <c r="D854" s="368"/>
      <c r="E854" s="407">
        <f t="shared" si="13"/>
        <v>0</v>
      </c>
      <c r="F854" s="399"/>
      <c r="G854" s="485"/>
      <c r="H854" s="416"/>
    </row>
    <row r="855" spans="1:8" ht="24">
      <c r="A855" s="414">
        <v>6</v>
      </c>
      <c r="B855" s="359" t="s">
        <v>3296</v>
      </c>
      <c r="C855" s="360" t="s">
        <v>3297</v>
      </c>
      <c r="D855" s="368"/>
      <c r="E855" s="407">
        <f t="shared" si="13"/>
        <v>0</v>
      </c>
      <c r="F855" s="399"/>
      <c r="G855" s="485"/>
      <c r="H855" s="416"/>
    </row>
    <row r="856" spans="1:8" ht="24">
      <c r="A856" s="414">
        <v>6</v>
      </c>
      <c r="B856" s="359" t="s">
        <v>3298</v>
      </c>
      <c r="C856" s="360" t="s">
        <v>3299</v>
      </c>
      <c r="D856" s="368"/>
      <c r="E856" s="407">
        <f t="shared" si="13"/>
        <v>304643</v>
      </c>
      <c r="F856" s="399">
        <f>257579+47064</f>
        <v>304643</v>
      </c>
      <c r="G856" s="485"/>
      <c r="H856" s="415">
        <v>332144</v>
      </c>
    </row>
    <row r="857" spans="1:8" ht="25.5">
      <c r="A857" s="412" t="s">
        <v>1973</v>
      </c>
      <c r="B857" s="357" t="s">
        <v>947</v>
      </c>
      <c r="C857" s="357" t="s">
        <v>1644</v>
      </c>
      <c r="D857" s="367"/>
      <c r="E857" s="408"/>
      <c r="F857" s="377"/>
      <c r="G857" s="377"/>
      <c r="H857" s="413"/>
    </row>
    <row r="858" spans="1:8" ht="24">
      <c r="A858" s="414">
        <v>6</v>
      </c>
      <c r="B858" s="359" t="s">
        <v>3300</v>
      </c>
      <c r="C858" s="360" t="s">
        <v>3301</v>
      </c>
      <c r="D858" s="368"/>
      <c r="E858" s="407">
        <f t="shared" si="13"/>
        <v>164113</v>
      </c>
      <c r="F858" s="399">
        <v>164113</v>
      </c>
      <c r="G858" s="485"/>
      <c r="H858" s="415">
        <v>119421</v>
      </c>
    </row>
    <row r="859" spans="1:8" ht="24">
      <c r="A859" s="414">
        <v>6</v>
      </c>
      <c r="B859" s="359" t="s">
        <v>3302</v>
      </c>
      <c r="C859" s="360" t="s">
        <v>3303</v>
      </c>
      <c r="D859" s="368"/>
      <c r="E859" s="407">
        <f t="shared" si="13"/>
        <v>79656</v>
      </c>
      <c r="F859" s="399">
        <v>79656</v>
      </c>
      <c r="G859" s="485"/>
      <c r="H859" s="415">
        <v>53375</v>
      </c>
    </row>
    <row r="860" spans="1:8" ht="24">
      <c r="A860" s="414">
        <v>6</v>
      </c>
      <c r="B860" s="359" t="s">
        <v>3304</v>
      </c>
      <c r="C860" s="360" t="s">
        <v>3305</v>
      </c>
      <c r="D860" s="368"/>
      <c r="E860" s="407">
        <f t="shared" si="13"/>
        <v>10335</v>
      </c>
      <c r="F860" s="399">
        <v>10335</v>
      </c>
      <c r="G860" s="485"/>
      <c r="H860" s="415">
        <v>12088</v>
      </c>
    </row>
    <row r="861" spans="1:8" ht="24">
      <c r="A861" s="414">
        <v>6</v>
      </c>
      <c r="B861" s="359" t="s">
        <v>3306</v>
      </c>
      <c r="C861" s="360" t="s">
        <v>3307</v>
      </c>
      <c r="D861" s="368"/>
      <c r="E861" s="407">
        <f t="shared" si="13"/>
        <v>2960</v>
      </c>
      <c r="F861" s="399">
        <v>2960</v>
      </c>
      <c r="G861" s="485"/>
      <c r="H861" s="415">
        <v>2505</v>
      </c>
    </row>
    <row r="862" spans="1:8" ht="24">
      <c r="A862" s="414">
        <v>6</v>
      </c>
      <c r="B862" s="359" t="s">
        <v>3308</v>
      </c>
      <c r="C862" s="360" t="s">
        <v>3309</v>
      </c>
      <c r="D862" s="368"/>
      <c r="E862" s="407">
        <f t="shared" si="13"/>
        <v>0</v>
      </c>
      <c r="F862" s="399"/>
      <c r="G862" s="485"/>
      <c r="H862" s="416"/>
    </row>
    <row r="863" spans="1:8" ht="24">
      <c r="A863" s="414">
        <v>6</v>
      </c>
      <c r="B863" s="359" t="s">
        <v>3310</v>
      </c>
      <c r="C863" s="360" t="s">
        <v>3311</v>
      </c>
      <c r="D863" s="368"/>
      <c r="E863" s="407">
        <f t="shared" si="13"/>
        <v>0</v>
      </c>
      <c r="F863" s="399"/>
      <c r="G863" s="485"/>
      <c r="H863" s="416"/>
    </row>
    <row r="864" spans="1:8" ht="24">
      <c r="A864" s="414">
        <v>6</v>
      </c>
      <c r="B864" s="359" t="s">
        <v>3312</v>
      </c>
      <c r="C864" s="360" t="s">
        <v>3313</v>
      </c>
      <c r="D864" s="368"/>
      <c r="E864" s="407">
        <f t="shared" si="13"/>
        <v>0</v>
      </c>
      <c r="F864" s="399"/>
      <c r="G864" s="485"/>
      <c r="H864" s="416"/>
    </row>
    <row r="865" spans="1:8" ht="24">
      <c r="A865" s="414">
        <v>6</v>
      </c>
      <c r="B865" s="359" t="s">
        <v>3314</v>
      </c>
      <c r="C865" s="360" t="s">
        <v>3315</v>
      </c>
      <c r="D865" s="368"/>
      <c r="E865" s="407">
        <f t="shared" si="13"/>
        <v>73755</v>
      </c>
      <c r="F865" s="399">
        <v>73755</v>
      </c>
      <c r="G865" s="485"/>
      <c r="H865" s="415">
        <v>53623</v>
      </c>
    </row>
    <row r="866" spans="1:8" ht="25.5">
      <c r="A866" s="412" t="s">
        <v>1973</v>
      </c>
      <c r="B866" s="357" t="s">
        <v>949</v>
      </c>
      <c r="C866" s="357" t="s">
        <v>1645</v>
      </c>
      <c r="D866" s="367"/>
      <c r="E866" s="408"/>
      <c r="F866" s="377"/>
      <c r="G866" s="377"/>
      <c r="H866" s="413"/>
    </row>
    <row r="867" spans="1:8">
      <c r="A867" s="414" t="s">
        <v>1975</v>
      </c>
      <c r="B867" s="359" t="s">
        <v>3316</v>
      </c>
      <c r="C867" s="360" t="s">
        <v>948</v>
      </c>
      <c r="D867" s="368"/>
      <c r="E867" s="407">
        <f t="shared" si="13"/>
        <v>0</v>
      </c>
      <c r="F867" s="399"/>
      <c r="G867" s="485"/>
      <c r="H867" s="416"/>
    </row>
    <row r="868" spans="1:8">
      <c r="A868" s="412" t="s">
        <v>1971</v>
      </c>
      <c r="B868" s="357" t="s">
        <v>950</v>
      </c>
      <c r="C868" s="357" t="s">
        <v>1646</v>
      </c>
      <c r="D868" s="367"/>
      <c r="E868" s="408"/>
      <c r="F868" s="377"/>
      <c r="G868" s="377"/>
      <c r="H868" s="413"/>
    </row>
    <row r="869" spans="1:8" ht="25.5">
      <c r="A869" s="412" t="s">
        <v>1973</v>
      </c>
      <c r="B869" s="357" t="s">
        <v>951</v>
      </c>
      <c r="C869" s="357" t="s">
        <v>1647</v>
      </c>
      <c r="D869" s="367"/>
      <c r="E869" s="408"/>
      <c r="F869" s="377"/>
      <c r="G869" s="377"/>
      <c r="H869" s="413"/>
    </row>
    <row r="870" spans="1:8" ht="24">
      <c r="A870" s="414">
        <v>6</v>
      </c>
      <c r="B870" s="359" t="s">
        <v>3317</v>
      </c>
      <c r="C870" s="360" t="s">
        <v>3318</v>
      </c>
      <c r="D870" s="368"/>
      <c r="E870" s="407">
        <f t="shared" si="13"/>
        <v>8564223</v>
      </c>
      <c r="F870" s="399">
        <v>8564223</v>
      </c>
      <c r="G870" s="485"/>
      <c r="H870" s="415">
        <v>8537377</v>
      </c>
    </row>
    <row r="871" spans="1:8" ht="24">
      <c r="A871" s="422">
        <v>6</v>
      </c>
      <c r="B871" s="363" t="s">
        <v>3319</v>
      </c>
      <c r="C871" s="364" t="s">
        <v>3320</v>
      </c>
      <c r="D871" s="374"/>
      <c r="E871" s="409"/>
      <c r="F871" s="382"/>
      <c r="G871" s="382"/>
      <c r="H871" s="424"/>
    </row>
    <row r="872" spans="1:8" ht="24">
      <c r="A872" s="414">
        <v>7</v>
      </c>
      <c r="B872" s="359" t="s">
        <v>3321</v>
      </c>
      <c r="C872" s="360" t="s">
        <v>3322</v>
      </c>
      <c r="D872" s="368"/>
      <c r="E872" s="407">
        <f t="shared" si="13"/>
        <v>130470</v>
      </c>
      <c r="F872" s="399">
        <v>130470</v>
      </c>
      <c r="G872" s="485"/>
      <c r="H872" s="415">
        <v>131697</v>
      </c>
    </row>
    <row r="873" spans="1:8" ht="24">
      <c r="A873" s="414">
        <v>7</v>
      </c>
      <c r="B873" s="359" t="s">
        <v>3323</v>
      </c>
      <c r="C873" s="360" t="s">
        <v>3324</v>
      </c>
      <c r="D873" s="368"/>
      <c r="E873" s="407">
        <f t="shared" si="13"/>
        <v>529265</v>
      </c>
      <c r="F873" s="399">
        <v>529265</v>
      </c>
      <c r="G873" s="485"/>
      <c r="H873" s="415">
        <v>533991</v>
      </c>
    </row>
    <row r="874" spans="1:8">
      <c r="A874" s="414">
        <v>7</v>
      </c>
      <c r="B874" s="359" t="s">
        <v>3325</v>
      </c>
      <c r="C874" s="360" t="s">
        <v>3326</v>
      </c>
      <c r="D874" s="368"/>
      <c r="E874" s="407">
        <f t="shared" si="13"/>
        <v>240918</v>
      </c>
      <c r="F874" s="399">
        <v>240918</v>
      </c>
      <c r="G874" s="485"/>
      <c r="H874" s="415">
        <v>635599</v>
      </c>
    </row>
    <row r="875" spans="1:8" ht="24">
      <c r="A875" s="422">
        <v>6</v>
      </c>
      <c r="B875" s="363" t="s">
        <v>3327</v>
      </c>
      <c r="C875" s="364" t="s">
        <v>3328</v>
      </c>
      <c r="D875" s="374"/>
      <c r="E875" s="409"/>
      <c r="F875" s="382"/>
      <c r="G875" s="382"/>
      <c r="H875" s="424"/>
    </row>
    <row r="876" spans="1:8" ht="24">
      <c r="A876" s="414">
        <v>7</v>
      </c>
      <c r="B876" s="359" t="s">
        <v>3329</v>
      </c>
      <c r="C876" s="360" t="s">
        <v>3330</v>
      </c>
      <c r="D876" s="368"/>
      <c r="E876" s="407">
        <f t="shared" si="13"/>
        <v>360670</v>
      </c>
      <c r="F876" s="399">
        <v>360670</v>
      </c>
      <c r="G876" s="485"/>
      <c r="H876" s="415">
        <v>363611</v>
      </c>
    </row>
    <row r="877" spans="1:8" ht="24">
      <c r="A877" s="414">
        <v>7</v>
      </c>
      <c r="B877" s="359" t="s">
        <v>3331</v>
      </c>
      <c r="C877" s="360" t="s">
        <v>3332</v>
      </c>
      <c r="D877" s="368"/>
      <c r="E877" s="407">
        <f t="shared" si="13"/>
        <v>735290</v>
      </c>
      <c r="F877" s="399">
        <v>735290</v>
      </c>
      <c r="G877" s="485"/>
      <c r="H877" s="415">
        <v>742205</v>
      </c>
    </row>
    <row r="878" spans="1:8" ht="24">
      <c r="A878" s="414">
        <v>7</v>
      </c>
      <c r="B878" s="359" t="s">
        <v>3333</v>
      </c>
      <c r="C878" s="360" t="s">
        <v>3334</v>
      </c>
      <c r="D878" s="368"/>
      <c r="E878" s="407">
        <f t="shared" si="13"/>
        <v>130816</v>
      </c>
      <c r="F878" s="399">
        <v>130816</v>
      </c>
      <c r="G878" s="485"/>
      <c r="H878" s="415">
        <v>132046</v>
      </c>
    </row>
    <row r="879" spans="1:8" ht="24">
      <c r="A879" s="414">
        <v>6</v>
      </c>
      <c r="B879" s="359" t="s">
        <v>3335</v>
      </c>
      <c r="C879" s="360" t="s">
        <v>3336</v>
      </c>
      <c r="D879" s="368"/>
      <c r="E879" s="407">
        <f t="shared" si="13"/>
        <v>0</v>
      </c>
      <c r="F879" s="399"/>
      <c r="G879" s="485"/>
      <c r="H879" s="416"/>
    </row>
    <row r="880" spans="1:8" ht="24">
      <c r="A880" s="414">
        <v>6</v>
      </c>
      <c r="B880" s="359" t="s">
        <v>3337</v>
      </c>
      <c r="C880" s="360" t="s">
        <v>3338</v>
      </c>
      <c r="D880" s="368"/>
      <c r="E880" s="407">
        <f t="shared" si="13"/>
        <v>0</v>
      </c>
      <c r="F880" s="399"/>
      <c r="G880" s="485"/>
      <c r="H880" s="416"/>
    </row>
    <row r="881" spans="1:8" ht="24">
      <c r="A881" s="414">
        <v>6</v>
      </c>
      <c r="B881" s="359" t="s">
        <v>3339</v>
      </c>
      <c r="C881" s="360" t="s">
        <v>3340</v>
      </c>
      <c r="D881" s="368"/>
      <c r="E881" s="407">
        <f t="shared" si="13"/>
        <v>23000</v>
      </c>
      <c r="F881" s="399">
        <v>23000</v>
      </c>
      <c r="G881" s="485"/>
      <c r="H881" s="415">
        <v>23000</v>
      </c>
    </row>
    <row r="882" spans="1:8" ht="24">
      <c r="A882" s="414">
        <v>6</v>
      </c>
      <c r="B882" s="359" t="s">
        <v>3341</v>
      </c>
      <c r="C882" s="360" t="s">
        <v>3342</v>
      </c>
      <c r="D882" s="368"/>
      <c r="E882" s="407">
        <f t="shared" si="13"/>
        <v>2890999</v>
      </c>
      <c r="F882" s="399">
        <v>2890999</v>
      </c>
      <c r="G882" s="485"/>
      <c r="H882" s="415">
        <v>2948611</v>
      </c>
    </row>
    <row r="883" spans="1:8" ht="25.5">
      <c r="A883" s="412" t="s">
        <v>1973</v>
      </c>
      <c r="B883" s="357" t="s">
        <v>952</v>
      </c>
      <c r="C883" s="357" t="s">
        <v>1648</v>
      </c>
      <c r="D883" s="367"/>
      <c r="E883" s="408"/>
      <c r="F883" s="377"/>
      <c r="G883" s="377"/>
      <c r="H883" s="413"/>
    </row>
    <row r="884" spans="1:8" ht="24">
      <c r="A884" s="414">
        <v>6</v>
      </c>
      <c r="B884" s="359" t="s">
        <v>3343</v>
      </c>
      <c r="C884" s="360" t="s">
        <v>3344</v>
      </c>
      <c r="D884" s="368"/>
      <c r="E884" s="407">
        <f t="shared" si="13"/>
        <v>1637720</v>
      </c>
      <c r="F884" s="399">
        <v>1637720</v>
      </c>
      <c r="G884" s="485"/>
      <c r="H884" s="415">
        <v>2164811</v>
      </c>
    </row>
    <row r="885" spans="1:8" ht="24">
      <c r="A885" s="422">
        <v>6</v>
      </c>
      <c r="B885" s="363" t="s">
        <v>3345</v>
      </c>
      <c r="C885" s="364" t="s">
        <v>3346</v>
      </c>
      <c r="D885" s="374"/>
      <c r="E885" s="409"/>
      <c r="F885" s="382"/>
      <c r="G885" s="382"/>
      <c r="H885" s="424"/>
    </row>
    <row r="886" spans="1:8" ht="24">
      <c r="A886" s="414">
        <v>7</v>
      </c>
      <c r="B886" s="359" t="s">
        <v>3347</v>
      </c>
      <c r="C886" s="360" t="s">
        <v>3348</v>
      </c>
      <c r="D886" s="368"/>
      <c r="E886" s="407">
        <f t="shared" si="13"/>
        <v>24950</v>
      </c>
      <c r="F886" s="399">
        <v>24950</v>
      </c>
      <c r="G886" s="485"/>
      <c r="H886" s="415">
        <v>33394</v>
      </c>
    </row>
    <row r="887" spans="1:8" ht="24">
      <c r="A887" s="414">
        <v>7</v>
      </c>
      <c r="B887" s="359" t="s">
        <v>3349</v>
      </c>
      <c r="C887" s="360" t="s">
        <v>3350</v>
      </c>
      <c r="D887" s="368"/>
      <c r="E887" s="407">
        <f t="shared" si="13"/>
        <v>101210</v>
      </c>
      <c r="F887" s="399">
        <v>101210</v>
      </c>
      <c r="G887" s="485"/>
      <c r="H887" s="415">
        <v>135403</v>
      </c>
    </row>
    <row r="888" spans="1:8">
      <c r="A888" s="414">
        <v>7</v>
      </c>
      <c r="B888" s="359" t="s">
        <v>3351</v>
      </c>
      <c r="C888" s="360" t="s">
        <v>3352</v>
      </c>
      <c r="D888" s="368"/>
      <c r="E888" s="407">
        <f t="shared" si="13"/>
        <v>46070</v>
      </c>
      <c r="F888" s="399">
        <v>46070</v>
      </c>
      <c r="G888" s="485"/>
      <c r="H888" s="415">
        <v>161168</v>
      </c>
    </row>
    <row r="889" spans="1:8" ht="24">
      <c r="A889" s="422">
        <v>6</v>
      </c>
      <c r="B889" s="363" t="s">
        <v>3353</v>
      </c>
      <c r="C889" s="364" t="s">
        <v>3354</v>
      </c>
      <c r="D889" s="374"/>
      <c r="E889" s="409"/>
      <c r="F889" s="382"/>
      <c r="G889" s="382"/>
      <c r="H889" s="424"/>
    </row>
    <row r="890" spans="1:8" ht="24">
      <c r="A890" s="414">
        <v>7</v>
      </c>
      <c r="B890" s="359" t="s">
        <v>3355</v>
      </c>
      <c r="C890" s="360" t="s">
        <v>3356</v>
      </c>
      <c r="D890" s="368"/>
      <c r="E890" s="407">
        <f t="shared" si="13"/>
        <v>68970</v>
      </c>
      <c r="F890" s="399">
        <v>68970</v>
      </c>
      <c r="G890" s="485"/>
      <c r="H890" s="415">
        <v>92200</v>
      </c>
    </row>
    <row r="891" spans="1:8" ht="24">
      <c r="A891" s="414">
        <v>7</v>
      </c>
      <c r="B891" s="359" t="s">
        <v>3357</v>
      </c>
      <c r="C891" s="360" t="s">
        <v>3358</v>
      </c>
      <c r="D891" s="368"/>
      <c r="E891" s="407">
        <f t="shared" si="13"/>
        <v>140608</v>
      </c>
      <c r="F891" s="399">
        <v>140608</v>
      </c>
      <c r="G891" s="485"/>
      <c r="H891" s="415">
        <v>188200</v>
      </c>
    </row>
    <row r="892" spans="1:8" ht="24">
      <c r="A892" s="414">
        <v>7</v>
      </c>
      <c r="B892" s="359" t="s">
        <v>3359</v>
      </c>
      <c r="C892" s="360" t="s">
        <v>3360</v>
      </c>
      <c r="D892" s="368"/>
      <c r="E892" s="407">
        <f t="shared" si="13"/>
        <v>25016</v>
      </c>
      <c r="F892" s="399">
        <v>25016</v>
      </c>
      <c r="G892" s="485"/>
      <c r="H892" s="415">
        <v>33483</v>
      </c>
    </row>
    <row r="893" spans="1:8" ht="24">
      <c r="A893" s="414">
        <v>6</v>
      </c>
      <c r="B893" s="359" t="s">
        <v>3361</v>
      </c>
      <c r="C893" s="360" t="s">
        <v>3362</v>
      </c>
      <c r="D893" s="368"/>
      <c r="E893" s="407">
        <f t="shared" si="13"/>
        <v>0</v>
      </c>
      <c r="F893" s="399"/>
      <c r="G893" s="485"/>
      <c r="H893" s="416"/>
    </row>
    <row r="894" spans="1:8" ht="24">
      <c r="A894" s="414">
        <v>6</v>
      </c>
      <c r="B894" s="359" t="s">
        <v>3363</v>
      </c>
      <c r="C894" s="360" t="s">
        <v>3364</v>
      </c>
      <c r="D894" s="368"/>
      <c r="E894" s="407">
        <f t="shared" si="13"/>
        <v>0</v>
      </c>
      <c r="F894" s="399"/>
      <c r="G894" s="485"/>
      <c r="H894" s="416"/>
    </row>
    <row r="895" spans="1:8" ht="24">
      <c r="A895" s="414">
        <v>6</v>
      </c>
      <c r="B895" s="359" t="s">
        <v>3365</v>
      </c>
      <c r="C895" s="360" t="s">
        <v>3366</v>
      </c>
      <c r="D895" s="368"/>
      <c r="E895" s="407">
        <f t="shared" si="13"/>
        <v>0</v>
      </c>
      <c r="F895" s="399"/>
      <c r="G895" s="485"/>
      <c r="H895" s="416"/>
    </row>
    <row r="896" spans="1:8" ht="24">
      <c r="A896" s="414">
        <v>6</v>
      </c>
      <c r="B896" s="359" t="s">
        <v>3367</v>
      </c>
      <c r="C896" s="360" t="s">
        <v>3368</v>
      </c>
      <c r="D896" s="368"/>
      <c r="E896" s="407">
        <f t="shared" si="13"/>
        <v>584687</v>
      </c>
      <c r="F896" s="399">
        <v>584687</v>
      </c>
      <c r="G896" s="485"/>
      <c r="H896" s="415">
        <v>791475</v>
      </c>
    </row>
    <row r="897" spans="1:8" ht="25.5">
      <c r="A897" s="412" t="s">
        <v>1973</v>
      </c>
      <c r="B897" s="357" t="s">
        <v>954</v>
      </c>
      <c r="C897" s="357" t="s">
        <v>1649</v>
      </c>
      <c r="D897" s="367"/>
      <c r="E897" s="408"/>
      <c r="F897" s="377"/>
      <c r="G897" s="377"/>
      <c r="H897" s="413"/>
    </row>
    <row r="898" spans="1:8">
      <c r="A898" s="414" t="s">
        <v>1975</v>
      </c>
      <c r="B898" s="359" t="s">
        <v>3369</v>
      </c>
      <c r="C898" s="360" t="s">
        <v>953</v>
      </c>
      <c r="D898" s="368"/>
      <c r="E898" s="407">
        <f t="shared" si="13"/>
        <v>0</v>
      </c>
      <c r="F898" s="399"/>
      <c r="G898" s="485"/>
      <c r="H898" s="416"/>
    </row>
    <row r="899" spans="1:8">
      <c r="A899" s="412" t="s">
        <v>1969</v>
      </c>
      <c r="B899" s="357" t="s">
        <v>955</v>
      </c>
      <c r="C899" s="357" t="s">
        <v>3370</v>
      </c>
      <c r="D899" s="367"/>
      <c r="E899" s="408"/>
      <c r="F899" s="377"/>
      <c r="G899" s="377"/>
      <c r="H899" s="413"/>
    </row>
    <row r="900" spans="1:8">
      <c r="A900" s="412" t="s">
        <v>1971</v>
      </c>
      <c r="B900" s="357" t="s">
        <v>956</v>
      </c>
      <c r="C900" s="357" t="s">
        <v>3371</v>
      </c>
      <c r="D900" s="367"/>
      <c r="E900" s="408"/>
      <c r="F900" s="377"/>
      <c r="G900" s="377"/>
      <c r="H900" s="413"/>
    </row>
    <row r="901" spans="1:8">
      <c r="A901" s="414">
        <v>5</v>
      </c>
      <c r="B901" s="359" t="s">
        <v>3372</v>
      </c>
      <c r="C901" s="360" t="s">
        <v>957</v>
      </c>
      <c r="D901" s="368"/>
      <c r="E901" s="407">
        <f t="shared" si="13"/>
        <v>5000</v>
      </c>
      <c r="F901" s="399">
        <v>5000</v>
      </c>
      <c r="G901" s="485"/>
      <c r="H901" s="418">
        <v>8000</v>
      </c>
    </row>
    <row r="902" spans="1:8">
      <c r="A902" s="414">
        <v>5</v>
      </c>
      <c r="B902" s="359" t="s">
        <v>3373</v>
      </c>
      <c r="C902" s="360" t="s">
        <v>958</v>
      </c>
      <c r="D902" s="368"/>
      <c r="E902" s="407">
        <f t="shared" si="13"/>
        <v>130000</v>
      </c>
      <c r="F902" s="399">
        <v>130000</v>
      </c>
      <c r="G902" s="485"/>
      <c r="H902" s="418">
        <v>130000</v>
      </c>
    </row>
    <row r="903" spans="1:8">
      <c r="A903" s="414">
        <v>5</v>
      </c>
      <c r="B903" s="359" t="s">
        <v>3374</v>
      </c>
      <c r="C903" s="360" t="s">
        <v>959</v>
      </c>
      <c r="D903" s="368"/>
      <c r="E903" s="407">
        <f t="shared" si="13"/>
        <v>0</v>
      </c>
      <c r="F903" s="399"/>
      <c r="G903" s="485"/>
      <c r="H903" s="418"/>
    </row>
    <row r="904" spans="1:8">
      <c r="A904" s="414">
        <v>5</v>
      </c>
      <c r="B904" s="359" t="s">
        <v>3375</v>
      </c>
      <c r="C904" s="360" t="s">
        <v>960</v>
      </c>
      <c r="D904" s="368"/>
      <c r="E904" s="407">
        <f t="shared" ref="E904:E967" si="14">F904+G904</f>
        <v>1100000</v>
      </c>
      <c r="F904" s="399">
        <v>1100000</v>
      </c>
      <c r="G904" s="485"/>
      <c r="H904" s="418">
        <v>1230000</v>
      </c>
    </row>
    <row r="905" spans="1:8">
      <c r="A905" s="414">
        <v>5</v>
      </c>
      <c r="B905" s="359" t="s">
        <v>3376</v>
      </c>
      <c r="C905" s="360" t="s">
        <v>961</v>
      </c>
      <c r="D905" s="368"/>
      <c r="E905" s="407">
        <f t="shared" si="14"/>
        <v>14000</v>
      </c>
      <c r="F905" s="399">
        <v>14000</v>
      </c>
      <c r="G905" s="485"/>
      <c r="H905" s="418">
        <v>14000</v>
      </c>
    </row>
    <row r="906" spans="1:8">
      <c r="A906" s="414">
        <v>5</v>
      </c>
      <c r="B906" s="359" t="s">
        <v>3377</v>
      </c>
      <c r="C906" s="360" t="s">
        <v>962</v>
      </c>
      <c r="D906" s="368"/>
      <c r="E906" s="407">
        <f t="shared" si="14"/>
        <v>7000</v>
      </c>
      <c r="F906" s="399">
        <v>7000</v>
      </c>
      <c r="G906" s="485"/>
      <c r="H906" s="418">
        <v>7000</v>
      </c>
    </row>
    <row r="907" spans="1:8">
      <c r="A907" s="414">
        <v>5</v>
      </c>
      <c r="B907" s="359" t="s">
        <v>3378</v>
      </c>
      <c r="C907" s="360" t="s">
        <v>963</v>
      </c>
      <c r="D907" s="368"/>
      <c r="E907" s="407">
        <f t="shared" si="14"/>
        <v>30000</v>
      </c>
      <c r="F907" s="399">
        <v>30000</v>
      </c>
      <c r="G907" s="485"/>
      <c r="H907" s="418">
        <v>30000</v>
      </c>
    </row>
    <row r="908" spans="1:8">
      <c r="A908" s="412" t="s">
        <v>1971</v>
      </c>
      <c r="B908" s="357" t="s">
        <v>965</v>
      </c>
      <c r="C908" s="357" t="s">
        <v>3379</v>
      </c>
      <c r="D908" s="367"/>
      <c r="E908" s="408"/>
      <c r="F908" s="377"/>
      <c r="G908" s="377"/>
      <c r="H908" s="413"/>
    </row>
    <row r="909" spans="1:8">
      <c r="A909" s="414" t="s">
        <v>1973</v>
      </c>
      <c r="B909" s="359" t="s">
        <v>3380</v>
      </c>
      <c r="C909" s="360" t="s">
        <v>964</v>
      </c>
      <c r="D909" s="368"/>
      <c r="E909" s="407">
        <f t="shared" si="14"/>
        <v>0</v>
      </c>
      <c r="F909" s="399"/>
      <c r="G909" s="485"/>
      <c r="H909" s="416"/>
    </row>
    <row r="910" spans="1:8">
      <c r="A910" s="412" t="s">
        <v>1971</v>
      </c>
      <c r="B910" s="357" t="s">
        <v>967</v>
      </c>
      <c r="C910" s="357" t="s">
        <v>1653</v>
      </c>
      <c r="D910" s="367"/>
      <c r="E910" s="408"/>
      <c r="F910" s="377"/>
      <c r="G910" s="377"/>
      <c r="H910" s="413"/>
    </row>
    <row r="911" spans="1:8" ht="25.5">
      <c r="A911" s="412" t="s">
        <v>1973</v>
      </c>
      <c r="B911" s="357" t="s">
        <v>968</v>
      </c>
      <c r="C911" s="357" t="s">
        <v>3381</v>
      </c>
      <c r="D911" s="367"/>
      <c r="E911" s="408"/>
      <c r="F911" s="377"/>
      <c r="G911" s="377"/>
      <c r="H911" s="413"/>
    </row>
    <row r="912" spans="1:8">
      <c r="A912" s="425">
        <v>6</v>
      </c>
      <c r="B912" s="363" t="s">
        <v>3382</v>
      </c>
      <c r="C912" s="364" t="s">
        <v>969</v>
      </c>
      <c r="D912" s="373"/>
      <c r="E912" s="409"/>
      <c r="F912" s="381"/>
      <c r="G912" s="381"/>
      <c r="H912" s="423"/>
    </row>
    <row r="913" spans="1:9">
      <c r="A913" s="414">
        <v>7</v>
      </c>
      <c r="B913" s="359" t="s">
        <v>3383</v>
      </c>
      <c r="C913" s="360" t="s">
        <v>3384</v>
      </c>
      <c r="D913" s="368"/>
      <c r="E913" s="407">
        <f t="shared" si="14"/>
        <v>527000</v>
      </c>
      <c r="F913" s="400">
        <v>527000</v>
      </c>
      <c r="G913" s="485"/>
      <c r="H913" s="418">
        <v>527000</v>
      </c>
    </row>
    <row r="914" spans="1:9">
      <c r="A914" s="414">
        <v>7</v>
      </c>
      <c r="B914" s="359" t="s">
        <v>3385</v>
      </c>
      <c r="C914" s="360" t="s">
        <v>3386</v>
      </c>
      <c r="D914" s="368"/>
      <c r="E914" s="407">
        <f t="shared" si="14"/>
        <v>150000</v>
      </c>
      <c r="F914" s="400">
        <v>150000</v>
      </c>
      <c r="G914" s="485"/>
      <c r="H914" s="418">
        <v>150000</v>
      </c>
    </row>
    <row r="915" spans="1:9">
      <c r="A915" s="414">
        <v>7</v>
      </c>
      <c r="B915" s="359" t="s">
        <v>3387</v>
      </c>
      <c r="C915" s="360" t="s">
        <v>970</v>
      </c>
      <c r="D915" s="368"/>
      <c r="E915" s="407">
        <f t="shared" si="14"/>
        <v>106000</v>
      </c>
      <c r="F915" s="400">
        <v>106000</v>
      </c>
      <c r="G915" s="485"/>
      <c r="H915" s="418">
        <v>106000</v>
      </c>
    </row>
    <row r="916" spans="1:9">
      <c r="A916" s="425">
        <v>6</v>
      </c>
      <c r="B916" s="363" t="s">
        <v>3388</v>
      </c>
      <c r="C916" s="364" t="s">
        <v>971</v>
      </c>
      <c r="D916" s="373"/>
      <c r="E916" s="409"/>
      <c r="F916" s="381"/>
      <c r="G916" s="381"/>
      <c r="H916" s="423"/>
    </row>
    <row r="917" spans="1:9">
      <c r="A917" s="414">
        <v>7</v>
      </c>
      <c r="B917" s="359" t="s">
        <v>3389</v>
      </c>
      <c r="C917" s="360" t="s">
        <v>3390</v>
      </c>
      <c r="D917" s="368"/>
      <c r="E917" s="407">
        <f t="shared" si="14"/>
        <v>59000</v>
      </c>
      <c r="F917" s="400">
        <v>59000</v>
      </c>
      <c r="G917" s="485"/>
      <c r="H917" s="418">
        <v>59000</v>
      </c>
    </row>
    <row r="918" spans="1:9">
      <c r="A918" s="414">
        <v>7</v>
      </c>
      <c r="B918" s="359" t="s">
        <v>3391</v>
      </c>
      <c r="C918" s="360" t="s">
        <v>3392</v>
      </c>
      <c r="D918" s="368"/>
      <c r="E918" s="407">
        <f t="shared" si="14"/>
        <v>2000</v>
      </c>
      <c r="F918" s="400">
        <v>2000</v>
      </c>
      <c r="G918" s="485"/>
      <c r="H918" s="418">
        <v>2000</v>
      </c>
    </row>
    <row r="919" spans="1:9">
      <c r="A919" s="414">
        <v>7</v>
      </c>
      <c r="B919" s="359" t="s">
        <v>3393</v>
      </c>
      <c r="C919" s="360" t="s">
        <v>972</v>
      </c>
      <c r="D919" s="368"/>
      <c r="E919" s="407">
        <f t="shared" si="14"/>
        <v>1000</v>
      </c>
      <c r="F919" s="400">
        <v>1000</v>
      </c>
      <c r="G919" s="485"/>
      <c r="H919" s="418">
        <v>1000</v>
      </c>
    </row>
    <row r="920" spans="1:9">
      <c r="A920" s="425">
        <v>6</v>
      </c>
      <c r="B920" s="363" t="s">
        <v>3394</v>
      </c>
      <c r="C920" s="364" t="s">
        <v>973</v>
      </c>
      <c r="D920" s="373"/>
      <c r="E920" s="409"/>
      <c r="F920" s="381"/>
      <c r="G920" s="381"/>
      <c r="H920" s="423"/>
    </row>
    <row r="921" spans="1:9">
      <c r="A921" s="414">
        <v>7</v>
      </c>
      <c r="B921" s="359" t="s">
        <v>3395</v>
      </c>
      <c r="C921" s="360" t="s">
        <v>3396</v>
      </c>
      <c r="D921" s="368"/>
      <c r="E921" s="407">
        <f t="shared" si="14"/>
        <v>26000</v>
      </c>
      <c r="F921" s="400">
        <v>26000</v>
      </c>
      <c r="G921" s="485"/>
      <c r="H921" s="418">
        <v>26000</v>
      </c>
    </row>
    <row r="922" spans="1:9">
      <c r="A922" s="414">
        <v>7</v>
      </c>
      <c r="B922" s="359" t="s">
        <v>3397</v>
      </c>
      <c r="C922" s="360" t="s">
        <v>3398</v>
      </c>
      <c r="D922" s="368"/>
      <c r="E922" s="407">
        <f t="shared" si="14"/>
        <v>4000</v>
      </c>
      <c r="F922" s="400">
        <v>4000</v>
      </c>
      <c r="G922" s="485"/>
      <c r="H922" s="418">
        <v>4000</v>
      </c>
    </row>
    <row r="923" spans="1:9">
      <c r="A923" s="414">
        <v>7</v>
      </c>
      <c r="B923" s="359" t="s">
        <v>3399</v>
      </c>
      <c r="C923" s="360" t="s">
        <v>974</v>
      </c>
      <c r="D923" s="368"/>
      <c r="E923" s="407">
        <f t="shared" si="14"/>
        <v>2000</v>
      </c>
      <c r="F923" s="400">
        <v>2000</v>
      </c>
      <c r="G923" s="485"/>
      <c r="H923" s="418">
        <v>2000</v>
      </c>
    </row>
    <row r="924" spans="1:9">
      <c r="A924" s="412" t="s">
        <v>1973</v>
      </c>
      <c r="B924" s="357" t="s">
        <v>975</v>
      </c>
      <c r="C924" s="357" t="s">
        <v>3400</v>
      </c>
      <c r="D924" s="367"/>
      <c r="E924" s="408"/>
      <c r="F924" s="377"/>
      <c r="G924" s="377"/>
      <c r="H924" s="413"/>
    </row>
    <row r="925" spans="1:9">
      <c r="A925" s="414">
        <v>6</v>
      </c>
      <c r="B925" s="359" t="s">
        <v>3401</v>
      </c>
      <c r="C925" s="360" t="s">
        <v>976</v>
      </c>
      <c r="D925" s="368"/>
      <c r="E925" s="407">
        <f t="shared" si="14"/>
        <v>80000</v>
      </c>
      <c r="F925" s="399">
        <f>90000-10000</f>
        <v>80000</v>
      </c>
      <c r="G925" s="485"/>
      <c r="H925" s="418">
        <v>90000</v>
      </c>
    </row>
    <row r="926" spans="1:9" s="256" customFormat="1">
      <c r="A926" s="414">
        <v>6</v>
      </c>
      <c r="B926" s="362" t="s">
        <v>3402</v>
      </c>
      <c r="C926" s="360" t="s">
        <v>977</v>
      </c>
      <c r="D926" s="368"/>
      <c r="E926" s="407">
        <f t="shared" si="14"/>
        <v>0</v>
      </c>
      <c r="F926" s="399"/>
      <c r="G926" s="485"/>
      <c r="H926" s="418">
        <v>1377</v>
      </c>
      <c r="I926" s="376"/>
    </row>
    <row r="927" spans="1:9" s="256" customFormat="1">
      <c r="A927" s="414">
        <v>6</v>
      </c>
      <c r="B927" s="362" t="s">
        <v>3403</v>
      </c>
      <c r="C927" s="360" t="s">
        <v>966</v>
      </c>
      <c r="D927" s="368"/>
      <c r="E927" s="407">
        <f t="shared" si="14"/>
        <v>17165</v>
      </c>
      <c r="F927" s="399">
        <f>10000-1000+665+7500</f>
        <v>17165</v>
      </c>
      <c r="G927" s="485"/>
      <c r="H927" s="418">
        <v>10000</v>
      </c>
      <c r="I927" s="376"/>
    </row>
    <row r="928" spans="1:9" ht="25.5">
      <c r="A928" s="412" t="s">
        <v>1973</v>
      </c>
      <c r="B928" s="357" t="s">
        <v>979</v>
      </c>
      <c r="C928" s="357" t="s">
        <v>1656</v>
      </c>
      <c r="D928" s="367" t="s">
        <v>1253</v>
      </c>
      <c r="E928" s="408"/>
      <c r="F928" s="377"/>
      <c r="G928" s="377"/>
      <c r="H928" s="413"/>
    </row>
    <row r="929" spans="1:8" ht="24">
      <c r="A929" s="414" t="s">
        <v>1975</v>
      </c>
      <c r="B929" s="359" t="s">
        <v>3404</v>
      </c>
      <c r="C929" s="360" t="s">
        <v>978</v>
      </c>
      <c r="D929" s="368" t="s">
        <v>1253</v>
      </c>
      <c r="E929" s="407">
        <f t="shared" si="14"/>
        <v>0</v>
      </c>
      <c r="F929" s="399"/>
      <c r="G929" s="485"/>
      <c r="H929" s="416"/>
    </row>
    <row r="930" spans="1:8" ht="25.5">
      <c r="A930" s="412" t="s">
        <v>1973</v>
      </c>
      <c r="B930" s="357" t="s">
        <v>981</v>
      </c>
      <c r="C930" s="357" t="s">
        <v>1657</v>
      </c>
      <c r="D930" s="367"/>
      <c r="E930" s="408"/>
      <c r="F930" s="377"/>
      <c r="G930" s="377"/>
      <c r="H930" s="413"/>
    </row>
    <row r="931" spans="1:8">
      <c r="A931" s="414" t="s">
        <v>1975</v>
      </c>
      <c r="B931" s="359" t="s">
        <v>3405</v>
      </c>
      <c r="C931" s="360" t="s">
        <v>980</v>
      </c>
      <c r="D931" s="368"/>
      <c r="E931" s="407">
        <f t="shared" si="14"/>
        <v>0</v>
      </c>
      <c r="F931" s="399"/>
      <c r="G931" s="485"/>
      <c r="H931" s="416"/>
    </row>
    <row r="932" spans="1:8">
      <c r="A932" s="412" t="s">
        <v>1969</v>
      </c>
      <c r="B932" s="357" t="s">
        <v>982</v>
      </c>
      <c r="C932" s="357" t="s">
        <v>1660</v>
      </c>
      <c r="D932" s="367"/>
      <c r="E932" s="408"/>
      <c r="F932" s="377"/>
      <c r="G932" s="377"/>
      <c r="H932" s="413"/>
    </row>
    <row r="933" spans="1:8">
      <c r="A933" s="414">
        <v>4</v>
      </c>
      <c r="B933" s="359" t="s">
        <v>3406</v>
      </c>
      <c r="C933" s="360" t="s">
        <v>983</v>
      </c>
      <c r="D933" s="368"/>
      <c r="E933" s="407">
        <f t="shared" si="14"/>
        <v>0</v>
      </c>
      <c r="F933" s="399"/>
      <c r="G933" s="485"/>
      <c r="H933" s="416"/>
    </row>
    <row r="934" spans="1:8">
      <c r="A934" s="414">
        <v>4</v>
      </c>
      <c r="B934" s="359" t="s">
        <v>3407</v>
      </c>
      <c r="C934" s="360" t="s">
        <v>984</v>
      </c>
      <c r="D934" s="368"/>
      <c r="E934" s="407">
        <f t="shared" si="14"/>
        <v>0</v>
      </c>
      <c r="F934" s="399"/>
      <c r="G934" s="485"/>
      <c r="H934" s="416"/>
    </row>
    <row r="935" spans="1:8" ht="24">
      <c r="A935" s="414">
        <v>4</v>
      </c>
      <c r="B935" s="359" t="s">
        <v>3408</v>
      </c>
      <c r="C935" s="360" t="s">
        <v>3409</v>
      </c>
      <c r="D935" s="368"/>
      <c r="E935" s="407">
        <f t="shared" si="14"/>
        <v>0</v>
      </c>
      <c r="F935" s="399"/>
      <c r="G935" s="485"/>
      <c r="H935" s="416"/>
    </row>
    <row r="936" spans="1:8" ht="24">
      <c r="A936" s="414">
        <v>4</v>
      </c>
      <c r="B936" s="359" t="s">
        <v>3410</v>
      </c>
      <c r="C936" s="360" t="s">
        <v>985</v>
      </c>
      <c r="D936" s="368"/>
      <c r="E936" s="407">
        <f t="shared" si="14"/>
        <v>0</v>
      </c>
      <c r="F936" s="399"/>
      <c r="G936" s="485"/>
      <c r="H936" s="416"/>
    </row>
    <row r="937" spans="1:8">
      <c r="A937" s="414">
        <v>4</v>
      </c>
      <c r="B937" s="359" t="s">
        <v>3411</v>
      </c>
      <c r="C937" s="360" t="s">
        <v>986</v>
      </c>
      <c r="D937" s="368"/>
      <c r="E937" s="407">
        <f t="shared" si="14"/>
        <v>550000</v>
      </c>
      <c r="F937" s="400">
        <v>550000</v>
      </c>
      <c r="G937" s="485"/>
      <c r="H937" s="418">
        <v>550000</v>
      </c>
    </row>
    <row r="938" spans="1:8">
      <c r="A938" s="414">
        <v>4</v>
      </c>
      <c r="B938" s="359" t="s">
        <v>3412</v>
      </c>
      <c r="C938" s="360" t="s">
        <v>987</v>
      </c>
      <c r="D938" s="368"/>
      <c r="E938" s="407">
        <f t="shared" si="14"/>
        <v>50000</v>
      </c>
      <c r="F938" s="400">
        <v>50000</v>
      </c>
      <c r="G938" s="485"/>
      <c r="H938" s="418">
        <v>50000</v>
      </c>
    </row>
    <row r="939" spans="1:8">
      <c r="A939" s="414">
        <v>4</v>
      </c>
      <c r="B939" s="359" t="s">
        <v>3413</v>
      </c>
      <c r="C939" s="360" t="s">
        <v>988</v>
      </c>
      <c r="D939" s="368"/>
      <c r="E939" s="407">
        <f t="shared" si="14"/>
        <v>0</v>
      </c>
      <c r="F939" s="399"/>
      <c r="G939" s="485"/>
      <c r="H939" s="416"/>
    </row>
    <row r="940" spans="1:8">
      <c r="A940" s="414">
        <v>4</v>
      </c>
      <c r="B940" s="359" t="s">
        <v>3414</v>
      </c>
      <c r="C940" s="360" t="s">
        <v>989</v>
      </c>
      <c r="D940" s="368"/>
      <c r="E940" s="407">
        <f t="shared" si="14"/>
        <v>0</v>
      </c>
      <c r="F940" s="399"/>
      <c r="G940" s="485"/>
      <c r="H940" s="416"/>
    </row>
    <row r="941" spans="1:8">
      <c r="A941" s="412" t="s">
        <v>1969</v>
      </c>
      <c r="B941" s="357" t="s">
        <v>990</v>
      </c>
      <c r="C941" s="357" t="s">
        <v>1661</v>
      </c>
      <c r="D941" s="367"/>
      <c r="E941" s="408"/>
      <c r="F941" s="377"/>
      <c r="G941" s="377"/>
      <c r="H941" s="413"/>
    </row>
    <row r="942" spans="1:8">
      <c r="A942" s="412" t="s">
        <v>1971</v>
      </c>
      <c r="B942" s="357" t="s">
        <v>991</v>
      </c>
      <c r="C942" s="357" t="s">
        <v>1662</v>
      </c>
      <c r="D942" s="367"/>
      <c r="E942" s="408"/>
      <c r="F942" s="377"/>
      <c r="G942" s="377"/>
      <c r="H942" s="413"/>
    </row>
    <row r="943" spans="1:8" ht="25.5">
      <c r="A943" s="412" t="s">
        <v>1973</v>
      </c>
      <c r="B943" s="357" t="s">
        <v>993</v>
      </c>
      <c r="C943" s="357" t="s">
        <v>1663</v>
      </c>
      <c r="D943" s="367"/>
      <c r="E943" s="408"/>
      <c r="F943" s="377"/>
      <c r="G943" s="377"/>
      <c r="H943" s="413"/>
    </row>
    <row r="944" spans="1:8">
      <c r="A944" s="414" t="s">
        <v>1975</v>
      </c>
      <c r="B944" s="359" t="s">
        <v>3415</v>
      </c>
      <c r="C944" s="360" t="s">
        <v>992</v>
      </c>
      <c r="D944" s="368"/>
      <c r="E944" s="407">
        <f t="shared" si="14"/>
        <v>65000</v>
      </c>
      <c r="F944" s="399">
        <v>65000</v>
      </c>
      <c r="G944" s="485"/>
      <c r="H944" s="415">
        <v>65000</v>
      </c>
    </row>
    <row r="945" spans="1:8">
      <c r="A945" s="412" t="s">
        <v>1973</v>
      </c>
      <c r="B945" s="357" t="s">
        <v>995</v>
      </c>
      <c r="C945" s="357" t="s">
        <v>1664</v>
      </c>
      <c r="D945" s="367"/>
      <c r="E945" s="408"/>
      <c r="F945" s="377"/>
      <c r="G945" s="377"/>
      <c r="H945" s="413"/>
    </row>
    <row r="946" spans="1:8">
      <c r="A946" s="414" t="s">
        <v>1975</v>
      </c>
      <c r="B946" s="359" t="s">
        <v>3416</v>
      </c>
      <c r="C946" s="360" t="s">
        <v>994</v>
      </c>
      <c r="D946" s="368"/>
      <c r="E946" s="407">
        <f t="shared" si="14"/>
        <v>16165000</v>
      </c>
      <c r="F946" s="399">
        <v>16165000</v>
      </c>
      <c r="G946" s="485"/>
      <c r="H946" s="415">
        <v>16165000</v>
      </c>
    </row>
    <row r="947" spans="1:8">
      <c r="A947" s="412" t="s">
        <v>1971</v>
      </c>
      <c r="B947" s="357" t="s">
        <v>996</v>
      </c>
      <c r="C947" s="357" t="s">
        <v>1665</v>
      </c>
      <c r="D947" s="367"/>
      <c r="E947" s="408"/>
      <c r="F947" s="377"/>
      <c r="G947" s="377"/>
      <c r="H947" s="413"/>
    </row>
    <row r="948" spans="1:8">
      <c r="A948" s="414">
        <v>5</v>
      </c>
      <c r="B948" s="359" t="s">
        <v>3417</v>
      </c>
      <c r="C948" s="360" t="s">
        <v>997</v>
      </c>
      <c r="D948" s="368"/>
      <c r="E948" s="407">
        <f t="shared" si="14"/>
        <v>745000</v>
      </c>
      <c r="F948" s="400">
        <v>745000</v>
      </c>
      <c r="G948" s="485"/>
      <c r="H948" s="418">
        <v>745000</v>
      </c>
    </row>
    <row r="949" spans="1:8">
      <c r="A949" s="414">
        <v>5</v>
      </c>
      <c r="B949" s="359" t="s">
        <v>3418</v>
      </c>
      <c r="C949" s="360" t="s">
        <v>998</v>
      </c>
      <c r="D949" s="368"/>
      <c r="E949" s="407">
        <f t="shared" si="14"/>
        <v>6842000</v>
      </c>
      <c r="F949" s="400">
        <v>6842000</v>
      </c>
      <c r="G949" s="485"/>
      <c r="H949" s="418">
        <v>6842000</v>
      </c>
    </row>
    <row r="950" spans="1:8">
      <c r="A950" s="414">
        <v>5</v>
      </c>
      <c r="B950" s="359" t="s">
        <v>3419</v>
      </c>
      <c r="C950" s="360" t="s">
        <v>999</v>
      </c>
      <c r="D950" s="368"/>
      <c r="E950" s="407">
        <f t="shared" si="14"/>
        <v>617000</v>
      </c>
      <c r="F950" s="400">
        <v>617000</v>
      </c>
      <c r="G950" s="485"/>
      <c r="H950" s="418">
        <v>617000</v>
      </c>
    </row>
    <row r="951" spans="1:8">
      <c r="A951" s="414">
        <v>5</v>
      </c>
      <c r="B951" s="359" t="s">
        <v>3420</v>
      </c>
      <c r="C951" s="360" t="s">
        <v>1000</v>
      </c>
      <c r="D951" s="368"/>
      <c r="E951" s="407">
        <f t="shared" si="14"/>
        <v>300000</v>
      </c>
      <c r="F951" s="400">
        <v>300000</v>
      </c>
      <c r="G951" s="485"/>
      <c r="H951" s="418">
        <v>300000</v>
      </c>
    </row>
    <row r="952" spans="1:8">
      <c r="A952" s="414">
        <v>5</v>
      </c>
      <c r="B952" s="359" t="s">
        <v>3421</v>
      </c>
      <c r="C952" s="360" t="s">
        <v>1001</v>
      </c>
      <c r="D952" s="368"/>
      <c r="E952" s="407">
        <f t="shared" si="14"/>
        <v>1140000</v>
      </c>
      <c r="F952" s="400">
        <v>1140000</v>
      </c>
      <c r="G952" s="485"/>
      <c r="H952" s="418">
        <v>1140000</v>
      </c>
    </row>
    <row r="953" spans="1:8">
      <c r="A953" s="412" t="s">
        <v>1969</v>
      </c>
      <c r="B953" s="357" t="s">
        <v>1002</v>
      </c>
      <c r="C953" s="357" t="s">
        <v>1666</v>
      </c>
      <c r="D953" s="367"/>
      <c r="E953" s="408"/>
      <c r="F953" s="377"/>
      <c r="G953" s="377"/>
      <c r="H953" s="413"/>
    </row>
    <row r="954" spans="1:8" ht="25.5">
      <c r="A954" s="412" t="s">
        <v>1971</v>
      </c>
      <c r="B954" s="357" t="s">
        <v>1003</v>
      </c>
      <c r="C954" s="357" t="s">
        <v>1667</v>
      </c>
      <c r="D954" s="367"/>
      <c r="E954" s="408"/>
      <c r="F954" s="377"/>
      <c r="G954" s="377"/>
      <c r="H954" s="413"/>
    </row>
    <row r="955" spans="1:8">
      <c r="A955" s="422">
        <v>5</v>
      </c>
      <c r="B955" s="363" t="s">
        <v>3422</v>
      </c>
      <c r="C955" s="364" t="s">
        <v>1004</v>
      </c>
      <c r="D955" s="375"/>
      <c r="E955" s="409"/>
      <c r="F955" s="381"/>
      <c r="G955" s="486"/>
      <c r="H955" s="423"/>
    </row>
    <row r="956" spans="1:8">
      <c r="A956" s="414">
        <v>6</v>
      </c>
      <c r="B956" s="359" t="s">
        <v>3423</v>
      </c>
      <c r="C956" s="360" t="s">
        <v>1005</v>
      </c>
      <c r="D956" s="368"/>
      <c r="E956" s="407">
        <f t="shared" si="14"/>
        <v>0</v>
      </c>
      <c r="F956" s="399"/>
      <c r="G956" s="485"/>
      <c r="H956" s="416"/>
    </row>
    <row r="957" spans="1:8">
      <c r="A957" s="414">
        <v>6</v>
      </c>
      <c r="B957" s="359" t="s">
        <v>3424</v>
      </c>
      <c r="C957" s="360" t="s">
        <v>1006</v>
      </c>
      <c r="D957" s="368"/>
      <c r="E957" s="407">
        <f t="shared" si="14"/>
        <v>0</v>
      </c>
      <c r="F957" s="399"/>
      <c r="G957" s="485"/>
      <c r="H957" s="416"/>
    </row>
    <row r="958" spans="1:8" ht="24">
      <c r="A958" s="414">
        <v>6</v>
      </c>
      <c r="B958" s="359" t="s">
        <v>3425</v>
      </c>
      <c r="C958" s="360" t="s">
        <v>1007</v>
      </c>
      <c r="D958" s="368"/>
      <c r="E958" s="407">
        <f t="shared" si="14"/>
        <v>0</v>
      </c>
      <c r="F958" s="399"/>
      <c r="G958" s="485"/>
      <c r="H958" s="416"/>
    </row>
    <row r="959" spans="1:8">
      <c r="A959" s="414">
        <v>6</v>
      </c>
      <c r="B959" s="359" t="s">
        <v>3426</v>
      </c>
      <c r="C959" s="360" t="s">
        <v>1008</v>
      </c>
      <c r="D959" s="368"/>
      <c r="E959" s="407">
        <f t="shared" si="14"/>
        <v>0</v>
      </c>
      <c r="F959" s="399"/>
      <c r="G959" s="485"/>
      <c r="H959" s="416"/>
    </row>
    <row r="960" spans="1:8">
      <c r="A960" s="422">
        <v>5</v>
      </c>
      <c r="B960" s="363" t="s">
        <v>3427</v>
      </c>
      <c r="C960" s="364" t="s">
        <v>1009</v>
      </c>
      <c r="D960" s="375"/>
      <c r="E960" s="409"/>
      <c r="F960" s="381"/>
      <c r="G960" s="486"/>
      <c r="H960" s="423"/>
    </row>
    <row r="961" spans="1:8">
      <c r="A961" s="414">
        <v>6</v>
      </c>
      <c r="B961" s="359" t="s">
        <v>3428</v>
      </c>
      <c r="C961" s="360" t="s">
        <v>1010</v>
      </c>
      <c r="D961" s="368"/>
      <c r="E961" s="407">
        <f t="shared" si="14"/>
        <v>0</v>
      </c>
      <c r="F961" s="399"/>
      <c r="G961" s="485"/>
      <c r="H961" s="416"/>
    </row>
    <row r="962" spans="1:8">
      <c r="A962" s="414">
        <v>6</v>
      </c>
      <c r="B962" s="359" t="s">
        <v>3429</v>
      </c>
      <c r="C962" s="360" t="s">
        <v>1011</v>
      </c>
      <c r="D962" s="368"/>
      <c r="E962" s="407">
        <f t="shared" si="14"/>
        <v>0</v>
      </c>
      <c r="F962" s="399"/>
      <c r="G962" s="485"/>
      <c r="H962" s="416"/>
    </row>
    <row r="963" spans="1:8">
      <c r="A963" s="414">
        <v>6</v>
      </c>
      <c r="B963" s="359" t="s">
        <v>3430</v>
      </c>
      <c r="C963" s="360" t="s">
        <v>1012</v>
      </c>
      <c r="D963" s="368"/>
      <c r="E963" s="407">
        <f t="shared" si="14"/>
        <v>0</v>
      </c>
      <c r="F963" s="399"/>
      <c r="G963" s="485"/>
      <c r="H963" s="416"/>
    </row>
    <row r="964" spans="1:8">
      <c r="A964" s="414">
        <v>6</v>
      </c>
      <c r="B964" s="359" t="s">
        <v>3431</v>
      </c>
      <c r="C964" s="360" t="s">
        <v>1013</v>
      </c>
      <c r="D964" s="368"/>
      <c r="E964" s="407">
        <f t="shared" si="14"/>
        <v>0</v>
      </c>
      <c r="F964" s="399"/>
      <c r="G964" s="485"/>
      <c r="H964" s="416"/>
    </row>
    <row r="965" spans="1:8">
      <c r="A965" s="414">
        <v>6</v>
      </c>
      <c r="B965" s="359" t="s">
        <v>3432</v>
      </c>
      <c r="C965" s="360" t="s">
        <v>1014</v>
      </c>
      <c r="D965" s="368"/>
      <c r="E965" s="407">
        <f t="shared" si="14"/>
        <v>0</v>
      </c>
      <c r="F965" s="399"/>
      <c r="G965" s="485"/>
      <c r="H965" s="416"/>
    </row>
    <row r="966" spans="1:8">
      <c r="A966" s="414">
        <v>6</v>
      </c>
      <c r="B966" s="359" t="s">
        <v>3433</v>
      </c>
      <c r="C966" s="360" t="s">
        <v>1015</v>
      </c>
      <c r="D966" s="368"/>
      <c r="E966" s="407">
        <f t="shared" si="14"/>
        <v>0</v>
      </c>
      <c r="F966" s="399"/>
      <c r="G966" s="485"/>
      <c r="H966" s="416"/>
    </row>
    <row r="967" spans="1:8">
      <c r="A967" s="414">
        <v>6</v>
      </c>
      <c r="B967" s="359" t="s">
        <v>3434</v>
      </c>
      <c r="C967" s="360" t="s">
        <v>1016</v>
      </c>
      <c r="D967" s="368"/>
      <c r="E967" s="407">
        <f t="shared" si="14"/>
        <v>0</v>
      </c>
      <c r="F967" s="399"/>
      <c r="G967" s="485"/>
      <c r="H967" s="416"/>
    </row>
    <row r="968" spans="1:8">
      <c r="A968" s="414">
        <v>6</v>
      </c>
      <c r="B968" s="359" t="s">
        <v>3435</v>
      </c>
      <c r="C968" s="360" t="s">
        <v>3436</v>
      </c>
      <c r="D968" s="368"/>
      <c r="E968" s="407">
        <f t="shared" ref="E968:E1030" si="15">F968+G968</f>
        <v>0</v>
      </c>
      <c r="F968" s="399"/>
      <c r="G968" s="485"/>
      <c r="H968" s="416"/>
    </row>
    <row r="969" spans="1:8">
      <c r="A969" s="414">
        <v>6</v>
      </c>
      <c r="B969" s="359" t="s">
        <v>3437</v>
      </c>
      <c r="C969" s="360" t="s">
        <v>1017</v>
      </c>
      <c r="D969" s="368"/>
      <c r="E969" s="407">
        <f t="shared" si="15"/>
        <v>0</v>
      </c>
      <c r="F969" s="399"/>
      <c r="G969" s="485"/>
      <c r="H969" s="416"/>
    </row>
    <row r="970" spans="1:8">
      <c r="A970" s="414">
        <v>6</v>
      </c>
      <c r="B970" s="359" t="s">
        <v>3438</v>
      </c>
      <c r="C970" s="360" t="s">
        <v>1018</v>
      </c>
      <c r="D970" s="368"/>
      <c r="E970" s="407">
        <f t="shared" si="15"/>
        <v>0</v>
      </c>
      <c r="F970" s="399"/>
      <c r="G970" s="485"/>
      <c r="H970" s="416"/>
    </row>
    <row r="971" spans="1:8">
      <c r="A971" s="412" t="s">
        <v>1971</v>
      </c>
      <c r="B971" s="357" t="s">
        <v>1019</v>
      </c>
      <c r="C971" s="357" t="s">
        <v>1668</v>
      </c>
      <c r="D971" s="367"/>
      <c r="E971" s="408"/>
      <c r="F971" s="377"/>
      <c r="G971" s="377"/>
      <c r="H971" s="413"/>
    </row>
    <row r="972" spans="1:8">
      <c r="A972" s="414">
        <v>5</v>
      </c>
      <c r="B972" s="359" t="s">
        <v>3439</v>
      </c>
      <c r="C972" s="360" t="s">
        <v>1020</v>
      </c>
      <c r="D972" s="368"/>
      <c r="E972" s="407">
        <f t="shared" si="15"/>
        <v>0</v>
      </c>
      <c r="F972" s="399"/>
      <c r="G972" s="485"/>
      <c r="H972" s="416"/>
    </row>
    <row r="973" spans="1:8">
      <c r="A973" s="414">
        <v>5</v>
      </c>
      <c r="B973" s="359" t="s">
        <v>3440</v>
      </c>
      <c r="C973" s="360" t="s">
        <v>1021</v>
      </c>
      <c r="D973" s="368"/>
      <c r="E973" s="407">
        <f t="shared" si="15"/>
        <v>0</v>
      </c>
      <c r="F973" s="399"/>
      <c r="G973" s="485"/>
      <c r="H973" s="416"/>
    </row>
    <row r="974" spans="1:8">
      <c r="A974" s="414">
        <v>5</v>
      </c>
      <c r="B974" s="359" t="s">
        <v>3441</v>
      </c>
      <c r="C974" s="360" t="s">
        <v>1022</v>
      </c>
      <c r="D974" s="368"/>
      <c r="E974" s="407">
        <f t="shared" si="15"/>
        <v>0</v>
      </c>
      <c r="F974" s="399"/>
      <c r="G974" s="485"/>
      <c r="H974" s="416"/>
    </row>
    <row r="975" spans="1:8">
      <c r="A975" s="414">
        <v>5</v>
      </c>
      <c r="B975" s="359" t="s">
        <v>3442</v>
      </c>
      <c r="C975" s="360" t="s">
        <v>1023</v>
      </c>
      <c r="D975" s="368"/>
      <c r="E975" s="407">
        <f t="shared" si="15"/>
        <v>0</v>
      </c>
      <c r="F975" s="399"/>
      <c r="G975" s="485"/>
      <c r="H975" s="416"/>
    </row>
    <row r="976" spans="1:8" ht="24">
      <c r="A976" s="414">
        <v>5</v>
      </c>
      <c r="B976" s="359" t="s">
        <v>3443</v>
      </c>
      <c r="C976" s="360" t="s">
        <v>1024</v>
      </c>
      <c r="D976" s="368"/>
      <c r="E976" s="407">
        <f t="shared" si="15"/>
        <v>0</v>
      </c>
      <c r="F976" s="399"/>
      <c r="G976" s="485"/>
      <c r="H976" s="416"/>
    </row>
    <row r="977" spans="1:8">
      <c r="A977" s="414">
        <v>5</v>
      </c>
      <c r="B977" s="359" t="s">
        <v>3444</v>
      </c>
      <c r="C977" s="360" t="s">
        <v>1025</v>
      </c>
      <c r="D977" s="368"/>
      <c r="E977" s="407">
        <f t="shared" si="15"/>
        <v>0</v>
      </c>
      <c r="F977" s="399"/>
      <c r="G977" s="485"/>
      <c r="H977" s="416"/>
    </row>
    <row r="978" spans="1:8">
      <c r="A978" s="414">
        <v>5</v>
      </c>
      <c r="B978" s="359" t="s">
        <v>3445</v>
      </c>
      <c r="C978" s="360" t="s">
        <v>1026</v>
      </c>
      <c r="D978" s="368"/>
      <c r="E978" s="407">
        <f t="shared" si="15"/>
        <v>0</v>
      </c>
      <c r="F978" s="399"/>
      <c r="G978" s="485"/>
      <c r="H978" s="416"/>
    </row>
    <row r="979" spans="1:8">
      <c r="A979" s="414">
        <v>5</v>
      </c>
      <c r="B979" s="359" t="s">
        <v>3446</v>
      </c>
      <c r="C979" s="360" t="s">
        <v>1027</v>
      </c>
      <c r="D979" s="368"/>
      <c r="E979" s="407">
        <f t="shared" si="15"/>
        <v>0</v>
      </c>
      <c r="F979" s="399"/>
      <c r="G979" s="485"/>
      <c r="H979" s="416"/>
    </row>
    <row r="980" spans="1:8" ht="24">
      <c r="A980" s="414">
        <v>5</v>
      </c>
      <c r="B980" s="359" t="s">
        <v>3447</v>
      </c>
      <c r="C980" s="360" t="s">
        <v>1028</v>
      </c>
      <c r="D980" s="368"/>
      <c r="E980" s="407">
        <f t="shared" si="15"/>
        <v>0</v>
      </c>
      <c r="F980" s="399"/>
      <c r="G980" s="485"/>
      <c r="H980" s="416"/>
    </row>
    <row r="981" spans="1:8" ht="24">
      <c r="A981" s="414">
        <v>5</v>
      </c>
      <c r="B981" s="359" t="s">
        <v>3448</v>
      </c>
      <c r="C981" s="360" t="s">
        <v>1029</v>
      </c>
      <c r="D981" s="368"/>
      <c r="E981" s="407">
        <f t="shared" si="15"/>
        <v>0</v>
      </c>
      <c r="F981" s="399"/>
      <c r="G981" s="485"/>
      <c r="H981" s="416"/>
    </row>
    <row r="982" spans="1:8">
      <c r="A982" s="414">
        <v>5</v>
      </c>
      <c r="B982" s="359" t="s">
        <v>3449</v>
      </c>
      <c r="C982" s="360" t="s">
        <v>1030</v>
      </c>
      <c r="D982" s="368"/>
      <c r="E982" s="407">
        <f t="shared" si="15"/>
        <v>0</v>
      </c>
      <c r="F982" s="399"/>
      <c r="G982" s="485"/>
      <c r="H982" s="416"/>
    </row>
    <row r="983" spans="1:8" ht="24">
      <c r="A983" s="414">
        <v>5</v>
      </c>
      <c r="B983" s="359" t="s">
        <v>3450</v>
      </c>
      <c r="C983" s="360" t="s">
        <v>1031</v>
      </c>
      <c r="D983" s="368"/>
      <c r="E983" s="407">
        <f t="shared" si="15"/>
        <v>0</v>
      </c>
      <c r="F983" s="399"/>
      <c r="G983" s="485"/>
      <c r="H983" s="416"/>
    </row>
    <row r="984" spans="1:8" ht="24">
      <c r="A984" s="414">
        <v>5</v>
      </c>
      <c r="B984" s="359" t="s">
        <v>3451</v>
      </c>
      <c r="C984" s="360" t="s">
        <v>1032</v>
      </c>
      <c r="D984" s="368"/>
      <c r="E984" s="407">
        <f t="shared" si="15"/>
        <v>0</v>
      </c>
      <c r="F984" s="399"/>
      <c r="G984" s="485"/>
      <c r="H984" s="416"/>
    </row>
    <row r="985" spans="1:8" ht="24">
      <c r="A985" s="414">
        <v>5</v>
      </c>
      <c r="B985" s="359" t="s">
        <v>3452</v>
      </c>
      <c r="C985" s="360" t="s">
        <v>1033</v>
      </c>
      <c r="D985" s="368"/>
      <c r="E985" s="407">
        <f t="shared" si="15"/>
        <v>0</v>
      </c>
      <c r="F985" s="399"/>
      <c r="G985" s="485"/>
      <c r="H985" s="416"/>
    </row>
    <row r="986" spans="1:8" ht="24">
      <c r="A986" s="414">
        <v>5</v>
      </c>
      <c r="B986" s="359" t="s">
        <v>3453</v>
      </c>
      <c r="C986" s="360" t="s">
        <v>3454</v>
      </c>
      <c r="D986" s="368"/>
      <c r="E986" s="407">
        <f t="shared" si="15"/>
        <v>0</v>
      </c>
      <c r="F986" s="399"/>
      <c r="G986" s="485"/>
      <c r="H986" s="416"/>
    </row>
    <row r="987" spans="1:8" ht="24">
      <c r="A987" s="414">
        <v>5</v>
      </c>
      <c r="B987" s="359" t="s">
        <v>3455</v>
      </c>
      <c r="C987" s="360" t="s">
        <v>1034</v>
      </c>
      <c r="D987" s="368"/>
      <c r="E987" s="407">
        <f t="shared" si="15"/>
        <v>0</v>
      </c>
      <c r="F987" s="399"/>
      <c r="G987" s="485"/>
      <c r="H987" s="416"/>
    </row>
    <row r="988" spans="1:8">
      <c r="A988" s="414">
        <v>5</v>
      </c>
      <c r="B988" s="359" t="s">
        <v>3456</v>
      </c>
      <c r="C988" s="360" t="s">
        <v>1035</v>
      </c>
      <c r="D988" s="368"/>
      <c r="E988" s="407">
        <f t="shared" si="15"/>
        <v>0</v>
      </c>
      <c r="F988" s="399"/>
      <c r="G988" s="485"/>
      <c r="H988" s="416"/>
    </row>
    <row r="989" spans="1:8" ht="24">
      <c r="A989" s="414">
        <v>5</v>
      </c>
      <c r="B989" s="359" t="s">
        <v>3457</v>
      </c>
      <c r="C989" s="360" t="s">
        <v>1036</v>
      </c>
      <c r="D989" s="368"/>
      <c r="E989" s="407">
        <f t="shared" si="15"/>
        <v>0</v>
      </c>
      <c r="F989" s="399"/>
      <c r="G989" s="485"/>
      <c r="H989" s="416"/>
    </row>
    <row r="990" spans="1:8" ht="24">
      <c r="A990" s="414">
        <v>5</v>
      </c>
      <c r="B990" s="359" t="s">
        <v>3458</v>
      </c>
      <c r="C990" s="360" t="s">
        <v>1037</v>
      </c>
      <c r="D990" s="368"/>
      <c r="E990" s="407">
        <f t="shared" si="15"/>
        <v>0</v>
      </c>
      <c r="F990" s="399"/>
      <c r="G990" s="485"/>
      <c r="H990" s="416"/>
    </row>
    <row r="991" spans="1:8" ht="24">
      <c r="A991" s="414">
        <v>5</v>
      </c>
      <c r="B991" s="359" t="s">
        <v>3459</v>
      </c>
      <c r="C991" s="360" t="s">
        <v>1038</v>
      </c>
      <c r="D991" s="368"/>
      <c r="E991" s="407">
        <f t="shared" si="15"/>
        <v>0</v>
      </c>
      <c r="F991" s="399"/>
      <c r="G991" s="485"/>
      <c r="H991" s="416"/>
    </row>
    <row r="992" spans="1:8" ht="24">
      <c r="A992" s="414">
        <v>5</v>
      </c>
      <c r="B992" s="359" t="s">
        <v>3460</v>
      </c>
      <c r="C992" s="360" t="s">
        <v>1039</v>
      </c>
      <c r="D992" s="368"/>
      <c r="E992" s="407">
        <f t="shared" si="15"/>
        <v>0</v>
      </c>
      <c r="F992" s="399"/>
      <c r="G992" s="485"/>
      <c r="H992" s="416"/>
    </row>
    <row r="993" spans="1:8" ht="24">
      <c r="A993" s="414">
        <v>5</v>
      </c>
      <c r="B993" s="359" t="s">
        <v>3461</v>
      </c>
      <c r="C993" s="360" t="s">
        <v>1040</v>
      </c>
      <c r="D993" s="368"/>
      <c r="E993" s="407">
        <f t="shared" si="15"/>
        <v>0</v>
      </c>
      <c r="F993" s="399"/>
      <c r="G993" s="485"/>
      <c r="H993" s="416"/>
    </row>
    <row r="994" spans="1:8" ht="24">
      <c r="A994" s="414">
        <v>5</v>
      </c>
      <c r="B994" s="359" t="s">
        <v>3462</v>
      </c>
      <c r="C994" s="360" t="s">
        <v>1041</v>
      </c>
      <c r="D994" s="368"/>
      <c r="E994" s="407">
        <f t="shared" si="15"/>
        <v>0</v>
      </c>
      <c r="F994" s="399"/>
      <c r="G994" s="485"/>
      <c r="H994" s="416"/>
    </row>
    <row r="995" spans="1:8" ht="24">
      <c r="A995" s="414">
        <v>5</v>
      </c>
      <c r="B995" s="359" t="s">
        <v>3463</v>
      </c>
      <c r="C995" s="360" t="s">
        <v>1042</v>
      </c>
      <c r="D995" s="368"/>
      <c r="E995" s="407">
        <f t="shared" si="15"/>
        <v>0</v>
      </c>
      <c r="F995" s="399"/>
      <c r="G995" s="485"/>
      <c r="H995" s="416"/>
    </row>
    <row r="996" spans="1:8" ht="24">
      <c r="A996" s="414">
        <v>5</v>
      </c>
      <c r="B996" s="359" t="s">
        <v>3464</v>
      </c>
      <c r="C996" s="360" t="s">
        <v>1043</v>
      </c>
      <c r="D996" s="368"/>
      <c r="E996" s="407">
        <f t="shared" si="15"/>
        <v>0</v>
      </c>
      <c r="F996" s="399"/>
      <c r="G996" s="485"/>
      <c r="H996" s="416"/>
    </row>
    <row r="997" spans="1:8" ht="24">
      <c r="A997" s="414">
        <v>5</v>
      </c>
      <c r="B997" s="359" t="s">
        <v>3465</v>
      </c>
      <c r="C997" s="360" t="s">
        <v>1044</v>
      </c>
      <c r="D997" s="368"/>
      <c r="E997" s="407">
        <f t="shared" si="15"/>
        <v>0</v>
      </c>
      <c r="F997" s="399"/>
      <c r="G997" s="485"/>
      <c r="H997" s="416"/>
    </row>
    <row r="998" spans="1:8" ht="24">
      <c r="A998" s="414">
        <v>5</v>
      </c>
      <c r="B998" s="359" t="s">
        <v>3466</v>
      </c>
      <c r="C998" s="360" t="s">
        <v>1045</v>
      </c>
      <c r="D998" s="368"/>
      <c r="E998" s="407">
        <f t="shared" si="15"/>
        <v>0</v>
      </c>
      <c r="F998" s="399"/>
      <c r="G998" s="485"/>
      <c r="H998" s="416"/>
    </row>
    <row r="999" spans="1:8" ht="24">
      <c r="A999" s="414">
        <v>5</v>
      </c>
      <c r="B999" s="359" t="s">
        <v>3467</v>
      </c>
      <c r="C999" s="360" t="s">
        <v>1046</v>
      </c>
      <c r="D999" s="368"/>
      <c r="E999" s="407">
        <f t="shared" si="15"/>
        <v>0</v>
      </c>
      <c r="F999" s="399"/>
      <c r="G999" s="485"/>
      <c r="H999" s="416"/>
    </row>
    <row r="1000" spans="1:8" ht="24">
      <c r="A1000" s="414">
        <v>5</v>
      </c>
      <c r="B1000" s="359" t="s">
        <v>3468</v>
      </c>
      <c r="C1000" s="360" t="s">
        <v>1047</v>
      </c>
      <c r="D1000" s="368"/>
      <c r="E1000" s="407">
        <f t="shared" si="15"/>
        <v>0</v>
      </c>
      <c r="F1000" s="399"/>
      <c r="G1000" s="485"/>
      <c r="H1000" s="416"/>
    </row>
    <row r="1001" spans="1:8" ht="24">
      <c r="A1001" s="414">
        <v>5</v>
      </c>
      <c r="B1001" s="359" t="s">
        <v>3469</v>
      </c>
      <c r="C1001" s="360" t="s">
        <v>1048</v>
      </c>
      <c r="D1001" s="368"/>
      <c r="E1001" s="407">
        <f t="shared" si="15"/>
        <v>0</v>
      </c>
      <c r="F1001" s="399"/>
      <c r="G1001" s="485"/>
      <c r="H1001" s="416"/>
    </row>
    <row r="1002" spans="1:8" ht="24">
      <c r="A1002" s="414">
        <v>5</v>
      </c>
      <c r="B1002" s="359" t="s">
        <v>3470</v>
      </c>
      <c r="C1002" s="360" t="s">
        <v>1049</v>
      </c>
      <c r="D1002" s="368"/>
      <c r="E1002" s="407">
        <f t="shared" si="15"/>
        <v>0</v>
      </c>
      <c r="F1002" s="399"/>
      <c r="G1002" s="485"/>
      <c r="H1002" s="416"/>
    </row>
    <row r="1003" spans="1:8" ht="24">
      <c r="A1003" s="414">
        <v>5</v>
      </c>
      <c r="B1003" s="359" t="s">
        <v>3471</v>
      </c>
      <c r="C1003" s="360" t="s">
        <v>1050</v>
      </c>
      <c r="D1003" s="368"/>
      <c r="E1003" s="407">
        <f t="shared" si="15"/>
        <v>0</v>
      </c>
      <c r="F1003" s="399"/>
      <c r="G1003" s="485"/>
      <c r="H1003" s="416"/>
    </row>
    <row r="1004" spans="1:8">
      <c r="A1004" s="414">
        <v>5</v>
      </c>
      <c r="B1004" s="359" t="s">
        <v>3472</v>
      </c>
      <c r="C1004" s="360" t="s">
        <v>1051</v>
      </c>
      <c r="D1004" s="368"/>
      <c r="E1004" s="407">
        <f t="shared" si="15"/>
        <v>0</v>
      </c>
      <c r="F1004" s="399"/>
      <c r="G1004" s="485"/>
      <c r="H1004" s="416"/>
    </row>
    <row r="1005" spans="1:8" ht="24">
      <c r="A1005" s="414">
        <v>5</v>
      </c>
      <c r="B1005" s="359" t="s">
        <v>3473</v>
      </c>
      <c r="C1005" s="360" t="s">
        <v>1052</v>
      </c>
      <c r="D1005" s="368"/>
      <c r="E1005" s="407">
        <f t="shared" si="15"/>
        <v>0</v>
      </c>
      <c r="F1005" s="399"/>
      <c r="G1005" s="485"/>
      <c r="H1005" s="416"/>
    </row>
    <row r="1006" spans="1:8" ht="24">
      <c r="A1006" s="414">
        <v>5</v>
      </c>
      <c r="B1006" s="359" t="s">
        <v>3474</v>
      </c>
      <c r="C1006" s="360" t="s">
        <v>1053</v>
      </c>
      <c r="D1006" s="368"/>
      <c r="E1006" s="407">
        <f t="shared" si="15"/>
        <v>0</v>
      </c>
      <c r="F1006" s="399"/>
      <c r="G1006" s="485"/>
      <c r="H1006" s="416"/>
    </row>
    <row r="1007" spans="1:8" ht="24">
      <c r="A1007" s="414">
        <v>5</v>
      </c>
      <c r="B1007" s="359" t="s">
        <v>3475</v>
      </c>
      <c r="C1007" s="360" t="s">
        <v>1054</v>
      </c>
      <c r="D1007" s="368"/>
      <c r="E1007" s="407">
        <f t="shared" si="15"/>
        <v>0</v>
      </c>
      <c r="F1007" s="399"/>
      <c r="G1007" s="485"/>
      <c r="H1007" s="416"/>
    </row>
    <row r="1008" spans="1:8" ht="24">
      <c r="A1008" s="414">
        <v>5</v>
      </c>
      <c r="B1008" s="359" t="s">
        <v>3476</v>
      </c>
      <c r="C1008" s="360" t="s">
        <v>1055</v>
      </c>
      <c r="D1008" s="368"/>
      <c r="E1008" s="407">
        <f t="shared" si="15"/>
        <v>0</v>
      </c>
      <c r="F1008" s="399"/>
      <c r="G1008" s="485"/>
      <c r="H1008" s="416"/>
    </row>
    <row r="1009" spans="1:8" ht="24">
      <c r="A1009" s="414">
        <v>5</v>
      </c>
      <c r="B1009" s="359" t="s">
        <v>3477</v>
      </c>
      <c r="C1009" s="360" t="s">
        <v>1056</v>
      </c>
      <c r="D1009" s="368"/>
      <c r="E1009" s="407">
        <f t="shared" si="15"/>
        <v>0</v>
      </c>
      <c r="F1009" s="399"/>
      <c r="G1009" s="485"/>
      <c r="H1009" s="416"/>
    </row>
    <row r="1010" spans="1:8">
      <c r="A1010" s="414">
        <v>5</v>
      </c>
      <c r="B1010" s="359" t="s">
        <v>3478</v>
      </c>
      <c r="C1010" s="360" t="s">
        <v>1057</v>
      </c>
      <c r="D1010" s="368"/>
      <c r="E1010" s="407">
        <f t="shared" si="15"/>
        <v>0</v>
      </c>
      <c r="F1010" s="399"/>
      <c r="G1010" s="485"/>
      <c r="H1010" s="416"/>
    </row>
    <row r="1011" spans="1:8">
      <c r="A1011" s="414">
        <v>5</v>
      </c>
      <c r="B1011" s="359" t="s">
        <v>3479</v>
      </c>
      <c r="C1011" s="360" t="s">
        <v>1058</v>
      </c>
      <c r="D1011" s="368"/>
      <c r="E1011" s="407">
        <f t="shared" si="15"/>
        <v>0</v>
      </c>
      <c r="F1011" s="399"/>
      <c r="G1011" s="485"/>
      <c r="H1011" s="416"/>
    </row>
    <row r="1012" spans="1:8">
      <c r="A1012" s="414">
        <v>5</v>
      </c>
      <c r="B1012" s="359" t="s">
        <v>3480</v>
      </c>
      <c r="C1012" s="360" t="s">
        <v>1059</v>
      </c>
      <c r="D1012" s="368"/>
      <c r="E1012" s="407">
        <f t="shared" si="15"/>
        <v>0</v>
      </c>
      <c r="F1012" s="399"/>
      <c r="G1012" s="485"/>
      <c r="H1012" s="416"/>
    </row>
    <row r="1013" spans="1:8">
      <c r="A1013" s="414">
        <v>5</v>
      </c>
      <c r="B1013" s="359" t="s">
        <v>3481</v>
      </c>
      <c r="C1013" s="360" t="s">
        <v>1060</v>
      </c>
      <c r="D1013" s="368"/>
      <c r="E1013" s="407">
        <f t="shared" si="15"/>
        <v>0</v>
      </c>
      <c r="F1013" s="399"/>
      <c r="G1013" s="485"/>
      <c r="H1013" s="416"/>
    </row>
    <row r="1014" spans="1:8">
      <c r="A1014" s="414">
        <v>5</v>
      </c>
      <c r="B1014" s="359" t="s">
        <v>3482</v>
      </c>
      <c r="C1014" s="360" t="s">
        <v>1061</v>
      </c>
      <c r="D1014" s="368"/>
      <c r="E1014" s="407">
        <f t="shared" si="15"/>
        <v>0</v>
      </c>
      <c r="F1014" s="399"/>
      <c r="G1014" s="485"/>
      <c r="H1014" s="416"/>
    </row>
    <row r="1015" spans="1:8">
      <c r="A1015" s="414">
        <v>5</v>
      </c>
      <c r="B1015" s="359" t="s">
        <v>3483</v>
      </c>
      <c r="C1015" s="360" t="s">
        <v>1062</v>
      </c>
      <c r="D1015" s="368"/>
      <c r="E1015" s="407">
        <f t="shared" si="15"/>
        <v>0</v>
      </c>
      <c r="F1015" s="399"/>
      <c r="G1015" s="485"/>
      <c r="H1015" s="416"/>
    </row>
    <row r="1016" spans="1:8">
      <c r="A1016" s="414">
        <v>5</v>
      </c>
      <c r="B1016" s="359" t="s">
        <v>3484</v>
      </c>
      <c r="C1016" s="360" t="s">
        <v>1063</v>
      </c>
      <c r="D1016" s="368"/>
      <c r="E1016" s="407">
        <f t="shared" si="15"/>
        <v>0</v>
      </c>
      <c r="F1016" s="399"/>
      <c r="G1016" s="485"/>
      <c r="H1016" s="416"/>
    </row>
    <row r="1017" spans="1:8">
      <c r="A1017" s="414">
        <v>5</v>
      </c>
      <c r="B1017" s="359" t="s">
        <v>3485</v>
      </c>
      <c r="C1017" s="360" t="s">
        <v>1064</v>
      </c>
      <c r="D1017" s="368"/>
      <c r="E1017" s="407">
        <f t="shared" si="15"/>
        <v>0</v>
      </c>
      <c r="F1017" s="399"/>
      <c r="G1017" s="485"/>
      <c r="H1017" s="416"/>
    </row>
    <row r="1018" spans="1:8">
      <c r="A1018" s="414">
        <v>5</v>
      </c>
      <c r="B1018" s="359" t="s">
        <v>3486</v>
      </c>
      <c r="C1018" s="360" t="s">
        <v>1065</v>
      </c>
      <c r="D1018" s="368"/>
      <c r="E1018" s="407">
        <f t="shared" si="15"/>
        <v>0</v>
      </c>
      <c r="F1018" s="399"/>
      <c r="G1018" s="485"/>
      <c r="H1018" s="416"/>
    </row>
    <row r="1019" spans="1:8">
      <c r="A1019" s="412" t="s">
        <v>1969</v>
      </c>
      <c r="B1019" s="357" t="s">
        <v>1066</v>
      </c>
      <c r="C1019" s="357" t="s">
        <v>1669</v>
      </c>
      <c r="D1019" s="367"/>
      <c r="E1019" s="408"/>
      <c r="F1019" s="377"/>
      <c r="G1019" s="377"/>
      <c r="H1019" s="413"/>
    </row>
    <row r="1020" spans="1:8">
      <c r="A1020" s="412" t="s">
        <v>1971</v>
      </c>
      <c r="B1020" s="357" t="s">
        <v>1067</v>
      </c>
      <c r="C1020" s="357" t="s">
        <v>1670</v>
      </c>
      <c r="D1020" s="367"/>
      <c r="E1020" s="408"/>
      <c r="F1020" s="377"/>
      <c r="G1020" s="377"/>
      <c r="H1020" s="413"/>
    </row>
    <row r="1021" spans="1:8">
      <c r="A1021" s="412" t="s">
        <v>1973</v>
      </c>
      <c r="B1021" s="357" t="s">
        <v>1068</v>
      </c>
      <c r="C1021" s="357" t="s">
        <v>1671</v>
      </c>
      <c r="D1021" s="367"/>
      <c r="E1021" s="408"/>
      <c r="F1021" s="377"/>
      <c r="G1021" s="377"/>
      <c r="H1021" s="413"/>
    </row>
    <row r="1022" spans="1:8">
      <c r="A1022" s="414" t="s">
        <v>1975</v>
      </c>
      <c r="B1022" s="359" t="s">
        <v>3487</v>
      </c>
      <c r="C1022" s="360" t="s">
        <v>3488</v>
      </c>
      <c r="D1022" s="368"/>
      <c r="E1022" s="407">
        <f t="shared" si="15"/>
        <v>0</v>
      </c>
      <c r="F1022" s="399"/>
      <c r="G1022" s="485"/>
      <c r="H1022" s="416"/>
    </row>
    <row r="1023" spans="1:8">
      <c r="A1023" s="412" t="s">
        <v>1973</v>
      </c>
      <c r="B1023" s="357" t="s">
        <v>1069</v>
      </c>
      <c r="C1023" s="357" t="s">
        <v>1672</v>
      </c>
      <c r="D1023" s="367"/>
      <c r="E1023" s="408"/>
      <c r="F1023" s="377"/>
      <c r="G1023" s="377"/>
      <c r="H1023" s="413"/>
    </row>
    <row r="1024" spans="1:8">
      <c r="A1024" s="414" t="s">
        <v>1975</v>
      </c>
      <c r="B1024" s="359" t="s">
        <v>3489</v>
      </c>
      <c r="C1024" s="360" t="s">
        <v>3490</v>
      </c>
      <c r="D1024" s="368"/>
      <c r="E1024" s="407">
        <f t="shared" si="15"/>
        <v>0</v>
      </c>
      <c r="F1024" s="399"/>
      <c r="G1024" s="485"/>
      <c r="H1024" s="416"/>
    </row>
    <row r="1025" spans="1:8">
      <c r="A1025" s="412" t="s">
        <v>1973</v>
      </c>
      <c r="B1025" s="357" t="s">
        <v>1070</v>
      </c>
      <c r="C1025" s="357" t="s">
        <v>1673</v>
      </c>
      <c r="D1025" s="367"/>
      <c r="E1025" s="408"/>
      <c r="F1025" s="377"/>
      <c r="G1025" s="377"/>
      <c r="H1025" s="413"/>
    </row>
    <row r="1026" spans="1:8">
      <c r="A1026" s="414" t="s">
        <v>1975</v>
      </c>
      <c r="B1026" s="359" t="s">
        <v>3491</v>
      </c>
      <c r="C1026" s="360" t="s">
        <v>3492</v>
      </c>
      <c r="D1026" s="368"/>
      <c r="E1026" s="407">
        <f t="shared" si="15"/>
        <v>0</v>
      </c>
      <c r="F1026" s="399"/>
      <c r="G1026" s="485"/>
      <c r="H1026" s="416"/>
    </row>
    <row r="1027" spans="1:8">
      <c r="A1027" s="412" t="s">
        <v>1973</v>
      </c>
      <c r="B1027" s="357" t="s">
        <v>1071</v>
      </c>
      <c r="C1027" s="357" t="s">
        <v>1674</v>
      </c>
      <c r="D1027" s="367"/>
      <c r="E1027" s="408"/>
      <c r="F1027" s="377"/>
      <c r="G1027" s="377"/>
      <c r="H1027" s="413"/>
    </row>
    <row r="1028" spans="1:8">
      <c r="A1028" s="414" t="s">
        <v>1975</v>
      </c>
      <c r="B1028" s="359" t="s">
        <v>3493</v>
      </c>
      <c r="C1028" s="360" t="s">
        <v>3494</v>
      </c>
      <c r="D1028" s="368"/>
      <c r="E1028" s="407">
        <f t="shared" si="15"/>
        <v>0</v>
      </c>
      <c r="F1028" s="399"/>
      <c r="G1028" s="485"/>
      <c r="H1028" s="416"/>
    </row>
    <row r="1029" spans="1:8">
      <c r="A1029" s="412" t="s">
        <v>1973</v>
      </c>
      <c r="B1029" s="357" t="s">
        <v>1072</v>
      </c>
      <c r="C1029" s="357" t="s">
        <v>1675</v>
      </c>
      <c r="D1029" s="367"/>
      <c r="E1029" s="408"/>
      <c r="F1029" s="377"/>
      <c r="G1029" s="377"/>
      <c r="H1029" s="413"/>
    </row>
    <row r="1030" spans="1:8">
      <c r="A1030" s="414" t="s">
        <v>1975</v>
      </c>
      <c r="B1030" s="359" t="s">
        <v>3495</v>
      </c>
      <c r="C1030" s="360" t="s">
        <v>3496</v>
      </c>
      <c r="D1030" s="368"/>
      <c r="E1030" s="407">
        <f t="shared" si="15"/>
        <v>0</v>
      </c>
      <c r="F1030" s="399"/>
      <c r="G1030" s="485"/>
      <c r="H1030" s="416"/>
    </row>
    <row r="1031" spans="1:8">
      <c r="A1031" s="412" t="s">
        <v>1973</v>
      </c>
      <c r="B1031" s="357" t="s">
        <v>1073</v>
      </c>
      <c r="C1031" s="357" t="s">
        <v>1676</v>
      </c>
      <c r="D1031" s="367"/>
      <c r="E1031" s="408"/>
      <c r="F1031" s="377"/>
      <c r="G1031" s="377"/>
      <c r="H1031" s="413"/>
    </row>
    <row r="1032" spans="1:8">
      <c r="A1032" s="414" t="s">
        <v>1975</v>
      </c>
      <c r="B1032" s="359" t="s">
        <v>3497</v>
      </c>
      <c r="C1032" s="360" t="s">
        <v>3498</v>
      </c>
      <c r="D1032" s="368"/>
      <c r="E1032" s="407">
        <f t="shared" ref="E1032:E1095" si="16">F1032+G1032</f>
        <v>0</v>
      </c>
      <c r="F1032" s="399"/>
      <c r="G1032" s="485"/>
      <c r="H1032" s="416"/>
    </row>
    <row r="1033" spans="1:8">
      <c r="A1033" s="412" t="s">
        <v>1973</v>
      </c>
      <c r="B1033" s="357" t="s">
        <v>1074</v>
      </c>
      <c r="C1033" s="357" t="s">
        <v>1677</v>
      </c>
      <c r="D1033" s="367"/>
      <c r="E1033" s="408"/>
      <c r="F1033" s="377"/>
      <c r="G1033" s="377"/>
      <c r="H1033" s="413"/>
    </row>
    <row r="1034" spans="1:8">
      <c r="A1034" s="414" t="s">
        <v>1975</v>
      </c>
      <c r="B1034" s="359" t="s">
        <v>3499</v>
      </c>
      <c r="C1034" s="360" t="s">
        <v>3500</v>
      </c>
      <c r="D1034" s="368"/>
      <c r="E1034" s="407">
        <f t="shared" si="16"/>
        <v>0</v>
      </c>
      <c r="F1034" s="399"/>
      <c r="G1034" s="485"/>
      <c r="H1034" s="416"/>
    </row>
    <row r="1035" spans="1:8">
      <c r="A1035" s="412" t="s">
        <v>1973</v>
      </c>
      <c r="B1035" s="357" t="s">
        <v>1075</v>
      </c>
      <c r="C1035" s="357" t="s">
        <v>1678</v>
      </c>
      <c r="D1035" s="367"/>
      <c r="E1035" s="408"/>
      <c r="F1035" s="377"/>
      <c r="G1035" s="377"/>
      <c r="H1035" s="413"/>
    </row>
    <row r="1036" spans="1:8">
      <c r="A1036" s="414" t="s">
        <v>1975</v>
      </c>
      <c r="B1036" s="359" t="s">
        <v>3501</v>
      </c>
      <c r="C1036" s="360" t="s">
        <v>3502</v>
      </c>
      <c r="D1036" s="368"/>
      <c r="E1036" s="407">
        <f t="shared" si="16"/>
        <v>0</v>
      </c>
      <c r="F1036" s="399"/>
      <c r="G1036" s="485"/>
      <c r="H1036" s="416"/>
    </row>
    <row r="1037" spans="1:8">
      <c r="A1037" s="412" t="s">
        <v>1971</v>
      </c>
      <c r="B1037" s="357" t="s">
        <v>1076</v>
      </c>
      <c r="C1037" s="357" t="s">
        <v>1679</v>
      </c>
      <c r="D1037" s="367"/>
      <c r="E1037" s="408"/>
      <c r="F1037" s="377"/>
      <c r="G1037" s="377"/>
      <c r="H1037" s="413"/>
    </row>
    <row r="1038" spans="1:8">
      <c r="A1038" s="412" t="s">
        <v>1973</v>
      </c>
      <c r="B1038" s="357" t="s">
        <v>1077</v>
      </c>
      <c r="C1038" s="357" t="s">
        <v>1680</v>
      </c>
      <c r="D1038" s="367"/>
      <c r="E1038" s="408"/>
      <c r="F1038" s="377"/>
      <c r="G1038" s="377"/>
      <c r="H1038" s="413"/>
    </row>
    <row r="1039" spans="1:8">
      <c r="A1039" s="414" t="s">
        <v>1975</v>
      </c>
      <c r="B1039" s="359" t="s">
        <v>3503</v>
      </c>
      <c r="C1039" s="360" t="s">
        <v>3504</v>
      </c>
      <c r="D1039" s="368"/>
      <c r="E1039" s="407">
        <f t="shared" si="16"/>
        <v>0</v>
      </c>
      <c r="F1039" s="399"/>
      <c r="G1039" s="485"/>
      <c r="H1039" s="416"/>
    </row>
    <row r="1040" spans="1:8" ht="25.5">
      <c r="A1040" s="412" t="s">
        <v>1973</v>
      </c>
      <c r="B1040" s="357" t="s">
        <v>1078</v>
      </c>
      <c r="C1040" s="357" t="s">
        <v>1681</v>
      </c>
      <c r="D1040" s="367"/>
      <c r="E1040" s="408"/>
      <c r="F1040" s="377"/>
      <c r="G1040" s="377"/>
      <c r="H1040" s="413"/>
    </row>
    <row r="1041" spans="1:8" ht="24">
      <c r="A1041" s="414" t="s">
        <v>1975</v>
      </c>
      <c r="B1041" s="359" t="s">
        <v>3505</v>
      </c>
      <c r="C1041" s="360" t="s">
        <v>3506</v>
      </c>
      <c r="D1041" s="368"/>
      <c r="E1041" s="407">
        <f t="shared" si="16"/>
        <v>0</v>
      </c>
      <c r="F1041" s="399"/>
      <c r="G1041" s="485"/>
      <c r="H1041" s="416"/>
    </row>
    <row r="1042" spans="1:8">
      <c r="A1042" s="412" t="s">
        <v>1973</v>
      </c>
      <c r="B1042" s="357" t="s">
        <v>1079</v>
      </c>
      <c r="C1042" s="357" t="s">
        <v>1682</v>
      </c>
      <c r="D1042" s="367"/>
      <c r="E1042" s="408"/>
      <c r="F1042" s="377"/>
      <c r="G1042" s="377"/>
      <c r="H1042" s="413"/>
    </row>
    <row r="1043" spans="1:8">
      <c r="A1043" s="414" t="s">
        <v>1975</v>
      </c>
      <c r="B1043" s="359" t="s">
        <v>3507</v>
      </c>
      <c r="C1043" s="360" t="s">
        <v>3508</v>
      </c>
      <c r="D1043" s="368"/>
      <c r="E1043" s="407">
        <f t="shared" si="16"/>
        <v>0</v>
      </c>
      <c r="F1043" s="399"/>
      <c r="G1043" s="485"/>
      <c r="H1043" s="416"/>
    </row>
    <row r="1044" spans="1:8">
      <c r="A1044" s="412" t="s">
        <v>1973</v>
      </c>
      <c r="B1044" s="357" t="s">
        <v>1080</v>
      </c>
      <c r="C1044" s="357" t="s">
        <v>1683</v>
      </c>
      <c r="D1044" s="367"/>
      <c r="E1044" s="408"/>
      <c r="F1044" s="377"/>
      <c r="G1044" s="377"/>
      <c r="H1044" s="413"/>
    </row>
    <row r="1045" spans="1:8">
      <c r="A1045" s="414" t="s">
        <v>1975</v>
      </c>
      <c r="B1045" s="359" t="s">
        <v>3509</v>
      </c>
      <c r="C1045" s="360" t="s">
        <v>3510</v>
      </c>
      <c r="D1045" s="368"/>
      <c r="E1045" s="407">
        <f t="shared" si="16"/>
        <v>0</v>
      </c>
      <c r="F1045" s="399"/>
      <c r="G1045" s="485"/>
      <c r="H1045" s="416"/>
    </row>
    <row r="1046" spans="1:8">
      <c r="A1046" s="412" t="s">
        <v>1973</v>
      </c>
      <c r="B1046" s="357" t="s">
        <v>1081</v>
      </c>
      <c r="C1046" s="357" t="s">
        <v>1684</v>
      </c>
      <c r="D1046" s="367"/>
      <c r="E1046" s="408"/>
      <c r="F1046" s="377"/>
      <c r="G1046" s="377"/>
      <c r="H1046" s="413"/>
    </row>
    <row r="1047" spans="1:8">
      <c r="A1047" s="414" t="s">
        <v>1975</v>
      </c>
      <c r="B1047" s="359" t="s">
        <v>3511</v>
      </c>
      <c r="C1047" s="360" t="s">
        <v>3512</v>
      </c>
      <c r="D1047" s="368"/>
      <c r="E1047" s="407">
        <f t="shared" si="16"/>
        <v>0</v>
      </c>
      <c r="F1047" s="399"/>
      <c r="G1047" s="485"/>
      <c r="H1047" s="416"/>
    </row>
    <row r="1048" spans="1:8">
      <c r="A1048" s="412" t="s">
        <v>1973</v>
      </c>
      <c r="B1048" s="357" t="s">
        <v>1082</v>
      </c>
      <c r="C1048" s="357" t="s">
        <v>1685</v>
      </c>
      <c r="D1048" s="367"/>
      <c r="E1048" s="408"/>
      <c r="F1048" s="377"/>
      <c r="G1048" s="377"/>
      <c r="H1048" s="413"/>
    </row>
    <row r="1049" spans="1:8">
      <c r="A1049" s="414" t="s">
        <v>1975</v>
      </c>
      <c r="B1049" s="359" t="s">
        <v>3513</v>
      </c>
      <c r="C1049" s="360" t="s">
        <v>3514</v>
      </c>
      <c r="D1049" s="368"/>
      <c r="E1049" s="407">
        <f t="shared" si="16"/>
        <v>0</v>
      </c>
      <c r="F1049" s="399"/>
      <c r="G1049" s="485"/>
      <c r="H1049" s="416"/>
    </row>
    <row r="1050" spans="1:8">
      <c r="A1050" s="412" t="s">
        <v>1969</v>
      </c>
      <c r="B1050" s="357" t="s">
        <v>1083</v>
      </c>
      <c r="C1050" s="357" t="s">
        <v>3515</v>
      </c>
      <c r="D1050" s="367"/>
      <c r="E1050" s="408"/>
      <c r="F1050" s="377"/>
      <c r="G1050" s="377"/>
      <c r="H1050" s="413"/>
    </row>
    <row r="1051" spans="1:8">
      <c r="A1051" s="412" t="s">
        <v>1971</v>
      </c>
      <c r="B1051" s="357" t="s">
        <v>1084</v>
      </c>
      <c r="C1051" s="357" t="s">
        <v>1687</v>
      </c>
      <c r="D1051" s="367"/>
      <c r="E1051" s="408"/>
      <c r="F1051" s="377"/>
      <c r="G1051" s="377"/>
      <c r="H1051" s="413"/>
    </row>
    <row r="1052" spans="1:8" ht="25.5">
      <c r="A1052" s="412" t="s">
        <v>1973</v>
      </c>
      <c r="B1052" s="357" t="s">
        <v>1086</v>
      </c>
      <c r="C1052" s="357" t="s">
        <v>1688</v>
      </c>
      <c r="D1052" s="367"/>
      <c r="E1052" s="408"/>
      <c r="F1052" s="377"/>
      <c r="G1052" s="377"/>
      <c r="H1052" s="413"/>
    </row>
    <row r="1053" spans="1:8">
      <c r="A1053" s="414" t="s">
        <v>1975</v>
      </c>
      <c r="B1053" s="359" t="s">
        <v>3516</v>
      </c>
      <c r="C1053" s="360" t="s">
        <v>1085</v>
      </c>
      <c r="D1053" s="368"/>
      <c r="E1053" s="407">
        <f t="shared" si="16"/>
        <v>0</v>
      </c>
      <c r="F1053" s="399"/>
      <c r="G1053" s="485"/>
      <c r="H1053" s="415">
        <v>1600000</v>
      </c>
    </row>
    <row r="1054" spans="1:8" ht="25.5">
      <c r="A1054" s="412" t="s">
        <v>1973</v>
      </c>
      <c r="B1054" s="357" t="s">
        <v>1088</v>
      </c>
      <c r="C1054" s="357" t="s">
        <v>1689</v>
      </c>
      <c r="D1054" s="367"/>
      <c r="E1054" s="408"/>
      <c r="F1054" s="377"/>
      <c r="G1054" s="377"/>
      <c r="H1054" s="413"/>
    </row>
    <row r="1055" spans="1:8">
      <c r="A1055" s="414" t="s">
        <v>1975</v>
      </c>
      <c r="B1055" s="359" t="s">
        <v>3517</v>
      </c>
      <c r="C1055" s="360" t="s">
        <v>1087</v>
      </c>
      <c r="D1055" s="368"/>
      <c r="E1055" s="407">
        <f t="shared" si="16"/>
        <v>0</v>
      </c>
      <c r="F1055" s="399"/>
      <c r="G1055" s="485"/>
      <c r="H1055" s="416"/>
    </row>
    <row r="1056" spans="1:8" ht="25.5">
      <c r="A1056" s="412" t="s">
        <v>1973</v>
      </c>
      <c r="B1056" s="357" t="s">
        <v>1090</v>
      </c>
      <c r="C1056" s="357" t="s">
        <v>1690</v>
      </c>
      <c r="D1056" s="367"/>
      <c r="E1056" s="408"/>
      <c r="F1056" s="377"/>
      <c r="G1056" s="377"/>
      <c r="H1056" s="413"/>
    </row>
    <row r="1057" spans="1:8" ht="24">
      <c r="A1057" s="414" t="s">
        <v>1975</v>
      </c>
      <c r="B1057" s="359" t="s">
        <v>3518</v>
      </c>
      <c r="C1057" s="360" t="s">
        <v>1089</v>
      </c>
      <c r="D1057" s="368"/>
      <c r="E1057" s="407">
        <f t="shared" si="16"/>
        <v>0</v>
      </c>
      <c r="F1057" s="399"/>
      <c r="G1057" s="485"/>
      <c r="H1057" s="416"/>
    </row>
    <row r="1058" spans="1:8" ht="25.5">
      <c r="A1058" s="412" t="s">
        <v>1973</v>
      </c>
      <c r="B1058" s="357" t="s">
        <v>1092</v>
      </c>
      <c r="C1058" s="357" t="s">
        <v>1691</v>
      </c>
      <c r="D1058" s="367"/>
      <c r="E1058" s="408"/>
      <c r="F1058" s="377"/>
      <c r="G1058" s="377"/>
      <c r="H1058" s="413"/>
    </row>
    <row r="1059" spans="1:8" ht="24">
      <c r="A1059" s="414" t="s">
        <v>1975</v>
      </c>
      <c r="B1059" s="359" t="s">
        <v>3519</v>
      </c>
      <c r="C1059" s="360" t="s">
        <v>1091</v>
      </c>
      <c r="D1059" s="368"/>
      <c r="E1059" s="407">
        <f t="shared" si="16"/>
        <v>0</v>
      </c>
      <c r="F1059" s="399"/>
      <c r="G1059" s="485"/>
      <c r="H1059" s="416"/>
    </row>
    <row r="1060" spans="1:8">
      <c r="A1060" s="412" t="s">
        <v>1973</v>
      </c>
      <c r="B1060" s="357" t="s">
        <v>1094</v>
      </c>
      <c r="C1060" s="357" t="s">
        <v>1692</v>
      </c>
      <c r="D1060" s="367"/>
      <c r="E1060" s="408"/>
      <c r="F1060" s="377"/>
      <c r="G1060" s="377"/>
      <c r="H1060" s="413"/>
    </row>
    <row r="1061" spans="1:8">
      <c r="A1061" s="414" t="s">
        <v>1975</v>
      </c>
      <c r="B1061" s="359" t="s">
        <v>3520</v>
      </c>
      <c r="C1061" s="360" t="s">
        <v>1093</v>
      </c>
      <c r="D1061" s="368"/>
      <c r="E1061" s="407">
        <f t="shared" si="16"/>
        <v>0</v>
      </c>
      <c r="F1061" s="399"/>
      <c r="G1061" s="485"/>
      <c r="H1061" s="416"/>
    </row>
    <row r="1062" spans="1:8">
      <c r="A1062" s="412" t="s">
        <v>1973</v>
      </c>
      <c r="B1062" s="357" t="s">
        <v>1096</v>
      </c>
      <c r="C1062" s="357" t="s">
        <v>1693</v>
      </c>
      <c r="D1062" s="367"/>
      <c r="E1062" s="408"/>
      <c r="F1062" s="377"/>
      <c r="G1062" s="377"/>
      <c r="H1062" s="413"/>
    </row>
    <row r="1063" spans="1:8">
      <c r="A1063" s="414" t="s">
        <v>1975</v>
      </c>
      <c r="B1063" s="359" t="s">
        <v>3521</v>
      </c>
      <c r="C1063" s="360" t="s">
        <v>1097</v>
      </c>
      <c r="D1063" s="368"/>
      <c r="E1063" s="407">
        <f t="shared" si="16"/>
        <v>0</v>
      </c>
      <c r="F1063" s="399"/>
      <c r="G1063" s="485"/>
      <c r="H1063" s="416"/>
    </row>
    <row r="1064" spans="1:8">
      <c r="A1064" s="414" t="s">
        <v>1975</v>
      </c>
      <c r="B1064" s="359" t="s">
        <v>3522</v>
      </c>
      <c r="C1064" s="360" t="s">
        <v>1098</v>
      </c>
      <c r="D1064" s="368"/>
      <c r="E1064" s="407">
        <f t="shared" si="16"/>
        <v>0</v>
      </c>
      <c r="F1064" s="399"/>
      <c r="G1064" s="485"/>
      <c r="H1064" s="416"/>
    </row>
    <row r="1065" spans="1:8">
      <c r="A1065" s="414" t="s">
        <v>1975</v>
      </c>
      <c r="B1065" s="359" t="s">
        <v>3523</v>
      </c>
      <c r="C1065" s="360" t="s">
        <v>1095</v>
      </c>
      <c r="D1065" s="368"/>
      <c r="E1065" s="407">
        <f t="shared" si="16"/>
        <v>0</v>
      </c>
      <c r="F1065" s="399"/>
      <c r="G1065" s="485"/>
      <c r="H1065" s="416"/>
    </row>
    <row r="1066" spans="1:8">
      <c r="A1066" s="412" t="s">
        <v>1973</v>
      </c>
      <c r="B1066" s="357" t="s">
        <v>1100</v>
      </c>
      <c r="C1066" s="357" t="s">
        <v>3524</v>
      </c>
      <c r="D1066" s="367"/>
      <c r="E1066" s="408"/>
      <c r="F1066" s="377"/>
      <c r="G1066" s="377"/>
      <c r="H1066" s="413"/>
    </row>
    <row r="1067" spans="1:8">
      <c r="A1067" s="414" t="s">
        <v>1975</v>
      </c>
      <c r="B1067" s="359" t="s">
        <v>3525</v>
      </c>
      <c r="C1067" s="360" t="s">
        <v>1099</v>
      </c>
      <c r="D1067" s="368"/>
      <c r="E1067" s="407">
        <f t="shared" si="16"/>
        <v>0</v>
      </c>
      <c r="F1067" s="399"/>
      <c r="G1067" s="485"/>
      <c r="H1067" s="416"/>
    </row>
    <row r="1068" spans="1:8">
      <c r="A1068" s="412" t="s">
        <v>1971</v>
      </c>
      <c r="B1068" s="357" t="s">
        <v>1101</v>
      </c>
      <c r="C1068" s="357" t="s">
        <v>1695</v>
      </c>
      <c r="D1068" s="367"/>
      <c r="E1068" s="408"/>
      <c r="F1068" s="377"/>
      <c r="G1068" s="377"/>
      <c r="H1068" s="413"/>
    </row>
    <row r="1069" spans="1:8">
      <c r="A1069" s="414">
        <v>5</v>
      </c>
      <c r="B1069" s="359" t="s">
        <v>3526</v>
      </c>
      <c r="C1069" s="360" t="s">
        <v>1102</v>
      </c>
      <c r="D1069" s="368"/>
      <c r="E1069" s="407">
        <f t="shared" si="16"/>
        <v>136000</v>
      </c>
      <c r="F1069" s="400">
        <f>153000-17000</f>
        <v>136000</v>
      </c>
      <c r="G1069" s="485"/>
      <c r="H1069" s="418">
        <v>153000</v>
      </c>
    </row>
    <row r="1070" spans="1:8">
      <c r="A1070" s="414">
        <v>5</v>
      </c>
      <c r="B1070" s="359" t="s">
        <v>3527</v>
      </c>
      <c r="C1070" s="360" t="s">
        <v>1103</v>
      </c>
      <c r="D1070" s="368"/>
      <c r="E1070" s="407">
        <f t="shared" si="16"/>
        <v>33000</v>
      </c>
      <c r="F1070" s="400">
        <f>37000-4000</f>
        <v>33000</v>
      </c>
      <c r="G1070" s="485"/>
      <c r="H1070" s="418">
        <v>37000</v>
      </c>
    </row>
    <row r="1071" spans="1:8" ht="25.5">
      <c r="A1071" s="412" t="s">
        <v>1971</v>
      </c>
      <c r="B1071" s="357" t="s">
        <v>1104</v>
      </c>
      <c r="C1071" s="357" t="s">
        <v>3528</v>
      </c>
      <c r="D1071" s="367"/>
      <c r="E1071" s="408"/>
      <c r="F1071" s="377"/>
      <c r="G1071" s="377"/>
      <c r="H1071" s="413"/>
    </row>
    <row r="1072" spans="1:8" ht="25.5">
      <c r="A1072" s="412" t="s">
        <v>1973</v>
      </c>
      <c r="B1072" s="357" t="s">
        <v>1105</v>
      </c>
      <c r="C1072" s="357" t="s">
        <v>1697</v>
      </c>
      <c r="D1072" s="367"/>
      <c r="E1072" s="408"/>
      <c r="F1072" s="377"/>
      <c r="G1072" s="377"/>
      <c r="H1072" s="413"/>
    </row>
    <row r="1073" spans="1:8" ht="24">
      <c r="A1073" s="414" t="s">
        <v>1975</v>
      </c>
      <c r="B1073" s="359" t="s">
        <v>3529</v>
      </c>
      <c r="C1073" s="360" t="s">
        <v>3530</v>
      </c>
      <c r="D1073" s="368"/>
      <c r="E1073" s="407">
        <f t="shared" si="16"/>
        <v>0</v>
      </c>
      <c r="F1073" s="399"/>
      <c r="G1073" s="485"/>
      <c r="H1073" s="416">
        <v>792883</v>
      </c>
    </row>
    <row r="1074" spans="1:8" ht="25.5">
      <c r="A1074" s="412" t="s">
        <v>1973</v>
      </c>
      <c r="B1074" s="357" t="s">
        <v>1107</v>
      </c>
      <c r="C1074" s="357" t="s">
        <v>1698</v>
      </c>
      <c r="D1074" s="367"/>
      <c r="E1074" s="408"/>
      <c r="F1074" s="377"/>
      <c r="G1074" s="377"/>
      <c r="H1074" s="413"/>
    </row>
    <row r="1075" spans="1:8" ht="24">
      <c r="A1075" s="414" t="s">
        <v>1975</v>
      </c>
      <c r="B1075" s="359" t="s">
        <v>3531</v>
      </c>
      <c r="C1075" s="360" t="s">
        <v>1106</v>
      </c>
      <c r="D1075" s="368"/>
      <c r="E1075" s="407">
        <f t="shared" si="16"/>
        <v>0</v>
      </c>
      <c r="F1075" s="399"/>
      <c r="G1075" s="485"/>
      <c r="H1075" s="416"/>
    </row>
    <row r="1076" spans="1:8" ht="25.5">
      <c r="A1076" s="412" t="s">
        <v>1973</v>
      </c>
      <c r="B1076" s="357" t="s">
        <v>1109</v>
      </c>
      <c r="C1076" s="357" t="s">
        <v>1699</v>
      </c>
      <c r="D1076" s="367"/>
      <c r="E1076" s="408"/>
      <c r="F1076" s="377"/>
      <c r="G1076" s="377"/>
      <c r="H1076" s="413"/>
    </row>
    <row r="1077" spans="1:8" ht="24">
      <c r="A1077" s="414" t="s">
        <v>1975</v>
      </c>
      <c r="B1077" s="359" t="s">
        <v>3532</v>
      </c>
      <c r="C1077" s="360" t="s">
        <v>1108</v>
      </c>
      <c r="D1077" s="368"/>
      <c r="E1077" s="407">
        <f t="shared" si="16"/>
        <v>0</v>
      </c>
      <c r="F1077" s="399"/>
      <c r="G1077" s="485"/>
      <c r="H1077" s="416">
        <f>145674+31109+11000</f>
        <v>187783</v>
      </c>
    </row>
    <row r="1078" spans="1:8" ht="25.5">
      <c r="A1078" s="412" t="s">
        <v>1973</v>
      </c>
      <c r="B1078" s="357" t="s">
        <v>1111</v>
      </c>
      <c r="C1078" s="357" t="s">
        <v>1700</v>
      </c>
      <c r="D1078" s="367"/>
      <c r="E1078" s="408"/>
      <c r="F1078" s="377"/>
      <c r="G1078" s="377"/>
      <c r="H1078" s="413"/>
    </row>
    <row r="1079" spans="1:8" ht="24">
      <c r="A1079" s="414" t="s">
        <v>1975</v>
      </c>
      <c r="B1079" s="359" t="s">
        <v>3533</v>
      </c>
      <c r="C1079" s="360" t="s">
        <v>1110</v>
      </c>
      <c r="D1079" s="368"/>
      <c r="E1079" s="407">
        <f t="shared" si="16"/>
        <v>0</v>
      </c>
      <c r="F1079" s="399"/>
      <c r="G1079" s="485"/>
      <c r="H1079" s="416"/>
    </row>
    <row r="1080" spans="1:8" ht="25.5">
      <c r="A1080" s="412" t="s">
        <v>1973</v>
      </c>
      <c r="B1080" s="357" t="s">
        <v>1112</v>
      </c>
      <c r="C1080" s="357" t="s">
        <v>1701</v>
      </c>
      <c r="D1080" s="367"/>
      <c r="E1080" s="408"/>
      <c r="F1080" s="377"/>
      <c r="G1080" s="377"/>
      <c r="H1080" s="413"/>
    </row>
    <row r="1081" spans="1:8" ht="24">
      <c r="A1081" s="414">
        <v>6</v>
      </c>
      <c r="B1081" s="359" t="s">
        <v>3534</v>
      </c>
      <c r="C1081" s="360" t="s">
        <v>1113</v>
      </c>
      <c r="D1081" s="368"/>
      <c r="E1081" s="407">
        <f t="shared" si="16"/>
        <v>0</v>
      </c>
      <c r="F1081" s="399"/>
      <c r="G1081" s="485"/>
      <c r="H1081" s="416"/>
    </row>
    <row r="1082" spans="1:8" ht="24">
      <c r="A1082" s="414">
        <v>6</v>
      </c>
      <c r="B1082" s="359" t="s">
        <v>3535</v>
      </c>
      <c r="C1082" s="360" t="s">
        <v>1114</v>
      </c>
      <c r="D1082" s="368"/>
      <c r="E1082" s="407">
        <f t="shared" si="16"/>
        <v>730000</v>
      </c>
      <c r="F1082" s="400">
        <f>500000+230000</f>
        <v>730000</v>
      </c>
      <c r="G1082" s="485"/>
      <c r="H1082" s="418">
        <f>560000+230000</f>
        <v>790000</v>
      </c>
    </row>
    <row r="1083" spans="1:8" ht="25.5">
      <c r="A1083" s="412" t="s">
        <v>1973</v>
      </c>
      <c r="B1083" s="357" t="s">
        <v>1116</v>
      </c>
      <c r="C1083" s="357" t="s">
        <v>1702</v>
      </c>
      <c r="D1083" s="367"/>
      <c r="E1083" s="408"/>
      <c r="F1083" s="377"/>
      <c r="G1083" s="377"/>
      <c r="H1083" s="413"/>
    </row>
    <row r="1084" spans="1:8" ht="24">
      <c r="A1084" s="414" t="s">
        <v>1975</v>
      </c>
      <c r="B1084" s="359" t="s">
        <v>3536</v>
      </c>
      <c r="C1084" s="360" t="s">
        <v>1115</v>
      </c>
      <c r="D1084" s="368"/>
      <c r="E1084" s="407">
        <f t="shared" si="16"/>
        <v>0</v>
      </c>
      <c r="F1084" s="399"/>
      <c r="G1084" s="485"/>
      <c r="H1084" s="416"/>
    </row>
    <row r="1085" spans="1:8">
      <c r="A1085" s="412" t="s">
        <v>1971</v>
      </c>
      <c r="B1085" s="357" t="s">
        <v>1118</v>
      </c>
      <c r="C1085" s="357" t="s">
        <v>1703</v>
      </c>
      <c r="D1085" s="367"/>
      <c r="E1085" s="408"/>
      <c r="F1085" s="377"/>
      <c r="G1085" s="377"/>
      <c r="H1085" s="413"/>
    </row>
    <row r="1086" spans="1:8">
      <c r="A1086" s="412" t="s">
        <v>1973</v>
      </c>
      <c r="B1086" s="357" t="s">
        <v>1120</v>
      </c>
      <c r="C1086" s="357" t="s">
        <v>1704</v>
      </c>
      <c r="D1086" s="367"/>
      <c r="E1086" s="408"/>
      <c r="F1086" s="377"/>
      <c r="G1086" s="377"/>
      <c r="H1086" s="413"/>
    </row>
    <row r="1087" spans="1:8">
      <c r="A1087" s="414" t="s">
        <v>1975</v>
      </c>
      <c r="B1087" s="359" t="s">
        <v>3537</v>
      </c>
      <c r="C1087" s="360" t="s">
        <v>1119</v>
      </c>
      <c r="D1087" s="368"/>
      <c r="E1087" s="407">
        <f t="shared" si="16"/>
        <v>2473362</v>
      </c>
      <c r="F1087" s="401">
        <f>1642049+831313</f>
        <v>2473362</v>
      </c>
      <c r="G1087" s="485"/>
      <c r="H1087" s="415">
        <v>1718985</v>
      </c>
    </row>
    <row r="1088" spans="1:8">
      <c r="A1088" s="412" t="s">
        <v>1973</v>
      </c>
      <c r="B1088" s="357" t="s">
        <v>1122</v>
      </c>
      <c r="C1088" s="357" t="s">
        <v>1705</v>
      </c>
      <c r="D1088" s="367"/>
      <c r="E1088" s="408"/>
      <c r="F1088" s="377"/>
      <c r="G1088" s="377"/>
      <c r="H1088" s="413"/>
    </row>
    <row r="1089" spans="1:8">
      <c r="A1089" s="414" t="s">
        <v>1975</v>
      </c>
      <c r="B1089" s="359" t="s">
        <v>3538</v>
      </c>
      <c r="C1089" s="360" t="s">
        <v>1121</v>
      </c>
      <c r="D1089" s="368"/>
      <c r="E1089" s="407">
        <f t="shared" si="16"/>
        <v>157874</v>
      </c>
      <c r="F1089" s="401">
        <f>104812+53062</f>
        <v>157874</v>
      </c>
      <c r="G1089" s="485"/>
      <c r="H1089" s="415">
        <v>119368</v>
      </c>
    </row>
    <row r="1090" spans="1:8">
      <c r="A1090" s="412" t="s">
        <v>1973</v>
      </c>
      <c r="B1090" s="357" t="s">
        <v>1124</v>
      </c>
      <c r="C1090" s="357" t="s">
        <v>1706</v>
      </c>
      <c r="D1090" s="367"/>
      <c r="E1090" s="408"/>
      <c r="F1090" s="377"/>
      <c r="G1090" s="377"/>
      <c r="H1090" s="413"/>
    </row>
    <row r="1091" spans="1:8">
      <c r="A1091" s="414" t="s">
        <v>1975</v>
      </c>
      <c r="B1091" s="359" t="s">
        <v>3539</v>
      </c>
      <c r="C1091" s="360" t="s">
        <v>1123</v>
      </c>
      <c r="D1091" s="368"/>
      <c r="E1091" s="407">
        <f t="shared" si="16"/>
        <v>2922442</v>
      </c>
      <c r="F1091" s="401">
        <v>2922442</v>
      </c>
      <c r="G1091" s="485"/>
      <c r="H1091" s="415">
        <v>2855312</v>
      </c>
    </row>
    <row r="1092" spans="1:8">
      <c r="A1092" s="412" t="s">
        <v>1973</v>
      </c>
      <c r="B1092" s="357" t="s">
        <v>1126</v>
      </c>
      <c r="C1092" s="357" t="s">
        <v>1707</v>
      </c>
      <c r="D1092" s="367"/>
      <c r="E1092" s="408"/>
      <c r="F1092" s="377"/>
      <c r="G1092" s="377"/>
      <c r="H1092" s="413"/>
    </row>
    <row r="1093" spans="1:8">
      <c r="A1093" s="414" t="s">
        <v>1975</v>
      </c>
      <c r="B1093" s="359" t="s">
        <v>3540</v>
      </c>
      <c r="C1093" s="360" t="s">
        <v>1125</v>
      </c>
      <c r="D1093" s="368"/>
      <c r="E1093" s="407">
        <f t="shared" si="16"/>
        <v>475746</v>
      </c>
      <c r="F1093" s="401">
        <v>475746</v>
      </c>
      <c r="G1093" s="485"/>
      <c r="H1093" s="415">
        <v>482011</v>
      </c>
    </row>
    <row r="1094" spans="1:8">
      <c r="A1094" s="412" t="s">
        <v>1973</v>
      </c>
      <c r="B1094" s="357" t="s">
        <v>1128</v>
      </c>
      <c r="C1094" s="357" t="s">
        <v>1708</v>
      </c>
      <c r="D1094" s="367"/>
      <c r="E1094" s="408"/>
      <c r="F1094" s="377"/>
      <c r="G1094" s="377"/>
      <c r="H1094" s="413"/>
    </row>
    <row r="1095" spans="1:8">
      <c r="A1095" s="414" t="s">
        <v>1975</v>
      </c>
      <c r="B1095" s="359" t="s">
        <v>3541</v>
      </c>
      <c r="C1095" s="360" t="s">
        <v>1127</v>
      </c>
      <c r="D1095" s="368"/>
      <c r="E1095" s="407">
        <f t="shared" si="16"/>
        <v>0</v>
      </c>
      <c r="F1095" s="401"/>
      <c r="G1095" s="485"/>
      <c r="H1095" s="415"/>
    </row>
    <row r="1096" spans="1:8">
      <c r="A1096" s="412" t="s">
        <v>1973</v>
      </c>
      <c r="B1096" s="357" t="s">
        <v>1130</v>
      </c>
      <c r="C1096" s="357" t="s">
        <v>1709</v>
      </c>
      <c r="D1096" s="367"/>
      <c r="E1096" s="408"/>
      <c r="F1096" s="377"/>
      <c r="G1096" s="377"/>
      <c r="H1096" s="413"/>
    </row>
    <row r="1097" spans="1:8">
      <c r="A1097" s="414" t="s">
        <v>1975</v>
      </c>
      <c r="B1097" s="359" t="s">
        <v>3542</v>
      </c>
      <c r="C1097" s="360" t="s">
        <v>1129</v>
      </c>
      <c r="D1097" s="368"/>
      <c r="E1097" s="407">
        <f t="shared" ref="E1097:E1157" si="17">F1097+G1097</f>
        <v>0</v>
      </c>
      <c r="F1097" s="399"/>
      <c r="G1097" s="485"/>
      <c r="H1097" s="416"/>
    </row>
    <row r="1098" spans="1:8">
      <c r="A1098" s="412" t="s">
        <v>1973</v>
      </c>
      <c r="B1098" s="357" t="s">
        <v>1132</v>
      </c>
      <c r="C1098" s="357" t="s">
        <v>1710</v>
      </c>
      <c r="D1098" s="367"/>
      <c r="E1098" s="408"/>
      <c r="F1098" s="377"/>
      <c r="G1098" s="377"/>
      <c r="H1098" s="413"/>
    </row>
    <row r="1099" spans="1:8">
      <c r="A1099" s="414" t="s">
        <v>1975</v>
      </c>
      <c r="B1099" s="359" t="s">
        <v>3543</v>
      </c>
      <c r="C1099" s="360" t="s">
        <v>1131</v>
      </c>
      <c r="D1099" s="368"/>
      <c r="E1099" s="407">
        <f t="shared" si="17"/>
        <v>0</v>
      </c>
      <c r="F1099" s="399"/>
      <c r="G1099" s="485"/>
      <c r="H1099" s="416"/>
    </row>
    <row r="1100" spans="1:8">
      <c r="A1100" s="412" t="s">
        <v>1973</v>
      </c>
      <c r="B1100" s="357" t="s">
        <v>1134</v>
      </c>
      <c r="C1100" s="357" t="s">
        <v>3544</v>
      </c>
      <c r="D1100" s="367"/>
      <c r="E1100" s="408"/>
      <c r="F1100" s="377"/>
      <c r="G1100" s="377"/>
      <c r="H1100" s="413"/>
    </row>
    <row r="1101" spans="1:8">
      <c r="A1101" s="414" t="s">
        <v>1975</v>
      </c>
      <c r="B1101" s="359" t="s">
        <v>3545</v>
      </c>
      <c r="C1101" s="360" t="s">
        <v>1133</v>
      </c>
      <c r="D1101" s="368"/>
      <c r="E1101" s="407">
        <f t="shared" si="17"/>
        <v>0</v>
      </c>
      <c r="F1101" s="399"/>
      <c r="G1101" s="485"/>
      <c r="H1101" s="416"/>
    </row>
    <row r="1102" spans="1:8" ht="25.5">
      <c r="A1102" s="412" t="s">
        <v>1973</v>
      </c>
      <c r="B1102" s="357" t="s">
        <v>1136</v>
      </c>
      <c r="C1102" s="357" t="s">
        <v>1712</v>
      </c>
      <c r="D1102" s="367"/>
      <c r="E1102" s="408"/>
      <c r="F1102" s="377"/>
      <c r="G1102" s="377"/>
      <c r="H1102" s="413"/>
    </row>
    <row r="1103" spans="1:8">
      <c r="A1103" s="414" t="s">
        <v>1975</v>
      </c>
      <c r="B1103" s="359" t="s">
        <v>3546</v>
      </c>
      <c r="C1103" s="360" t="s">
        <v>1135</v>
      </c>
      <c r="D1103" s="368"/>
      <c r="E1103" s="407">
        <f t="shared" si="17"/>
        <v>89000</v>
      </c>
      <c r="F1103" s="401">
        <f>100000-11000</f>
        <v>89000</v>
      </c>
      <c r="G1103" s="485"/>
      <c r="H1103" s="415">
        <v>200000</v>
      </c>
    </row>
    <row r="1104" spans="1:8">
      <c r="A1104" s="412" t="s">
        <v>1973</v>
      </c>
      <c r="B1104" s="357" t="s">
        <v>1137</v>
      </c>
      <c r="C1104" s="357" t="s">
        <v>1713</v>
      </c>
      <c r="D1104" s="367"/>
      <c r="E1104" s="408"/>
      <c r="F1104" s="377"/>
      <c r="G1104" s="377"/>
      <c r="H1104" s="413"/>
    </row>
    <row r="1105" spans="1:8">
      <c r="A1105" s="414" t="s">
        <v>1975</v>
      </c>
      <c r="B1105" s="359" t="s">
        <v>3547</v>
      </c>
      <c r="C1105" s="360" t="s">
        <v>1117</v>
      </c>
      <c r="D1105" s="368"/>
      <c r="E1105" s="407">
        <f t="shared" si="17"/>
        <v>0</v>
      </c>
      <c r="F1105" s="399"/>
      <c r="G1105" s="485"/>
      <c r="H1105" s="416"/>
    </row>
    <row r="1106" spans="1:8">
      <c r="A1106" s="426">
        <v>2</v>
      </c>
      <c r="B1106" s="357" t="s">
        <v>3548</v>
      </c>
      <c r="C1106" s="357" t="s">
        <v>3549</v>
      </c>
      <c r="D1106" s="367"/>
      <c r="E1106" s="408"/>
      <c r="F1106" s="377"/>
      <c r="G1106" s="377"/>
      <c r="H1106" s="413"/>
    </row>
    <row r="1107" spans="1:8">
      <c r="A1107" s="412" t="s">
        <v>1969</v>
      </c>
      <c r="B1107" s="357" t="s">
        <v>1138</v>
      </c>
      <c r="C1107" s="357" t="s">
        <v>3562</v>
      </c>
      <c r="D1107" s="367"/>
      <c r="E1107" s="408"/>
      <c r="F1107" s="377"/>
      <c r="G1107" s="377"/>
      <c r="H1107" s="413"/>
    </row>
    <row r="1108" spans="1:8">
      <c r="A1108" s="412" t="s">
        <v>1971</v>
      </c>
      <c r="B1108" s="357" t="s">
        <v>1140</v>
      </c>
      <c r="C1108" s="357" t="s">
        <v>1728</v>
      </c>
      <c r="D1108" s="367"/>
      <c r="E1108" s="408"/>
      <c r="F1108" s="377"/>
      <c r="G1108" s="377"/>
      <c r="H1108" s="413"/>
    </row>
    <row r="1109" spans="1:8">
      <c r="A1109" s="414" t="s">
        <v>1973</v>
      </c>
      <c r="B1109" s="359" t="s">
        <v>3563</v>
      </c>
      <c r="C1109" s="360" t="s">
        <v>1139</v>
      </c>
      <c r="D1109" s="368"/>
      <c r="E1109" s="407">
        <f t="shared" si="17"/>
        <v>0</v>
      </c>
      <c r="F1109" s="399"/>
      <c r="G1109" s="485"/>
      <c r="H1109" s="416"/>
    </row>
    <row r="1110" spans="1:8">
      <c r="A1110" s="412" t="s">
        <v>1971</v>
      </c>
      <c r="B1110" s="357" t="s">
        <v>1142</v>
      </c>
      <c r="C1110" s="357" t="s">
        <v>1729</v>
      </c>
      <c r="D1110" s="367"/>
      <c r="E1110" s="408"/>
      <c r="F1110" s="377"/>
      <c r="G1110" s="377"/>
      <c r="H1110" s="413"/>
    </row>
    <row r="1111" spans="1:8">
      <c r="A1111" s="414" t="s">
        <v>1973</v>
      </c>
      <c r="B1111" s="359" t="s">
        <v>3564</v>
      </c>
      <c r="C1111" s="360" t="s">
        <v>1141</v>
      </c>
      <c r="D1111" s="368"/>
      <c r="E1111" s="407">
        <f t="shared" si="17"/>
        <v>0</v>
      </c>
      <c r="F1111" s="399"/>
      <c r="G1111" s="485"/>
      <c r="H1111" s="416"/>
    </row>
    <row r="1112" spans="1:8">
      <c r="A1112" s="412" t="s">
        <v>1971</v>
      </c>
      <c r="B1112" s="357" t="s">
        <v>1144</v>
      </c>
      <c r="C1112" s="357" t="s">
        <v>1730</v>
      </c>
      <c r="D1112" s="367"/>
      <c r="E1112" s="408"/>
      <c r="F1112" s="377"/>
      <c r="G1112" s="377"/>
      <c r="H1112" s="413"/>
    </row>
    <row r="1113" spans="1:8">
      <c r="A1113" s="414">
        <v>5</v>
      </c>
      <c r="B1113" s="359" t="s">
        <v>3565</v>
      </c>
      <c r="C1113" s="360" t="s">
        <v>3566</v>
      </c>
      <c r="D1113" s="368"/>
      <c r="E1113" s="407">
        <f t="shared" si="17"/>
        <v>0</v>
      </c>
      <c r="F1113" s="399"/>
      <c r="G1113" s="485"/>
      <c r="H1113" s="421">
        <v>54000</v>
      </c>
    </row>
    <row r="1114" spans="1:8">
      <c r="A1114" s="414">
        <v>5</v>
      </c>
      <c r="B1114" s="359" t="s">
        <v>3567</v>
      </c>
      <c r="C1114" s="360" t="s">
        <v>1143</v>
      </c>
      <c r="D1114" s="368"/>
      <c r="E1114" s="407">
        <f t="shared" si="17"/>
        <v>0</v>
      </c>
      <c r="F1114" s="399"/>
      <c r="G1114" s="485"/>
      <c r="H1114" s="416">
        <v>111644</v>
      </c>
    </row>
    <row r="1115" spans="1:8">
      <c r="A1115" s="412" t="s">
        <v>1969</v>
      </c>
      <c r="B1115" s="357" t="s">
        <v>1731</v>
      </c>
      <c r="C1115" s="357" t="s">
        <v>1732</v>
      </c>
      <c r="D1115" s="367"/>
      <c r="E1115" s="408"/>
      <c r="F1115" s="377"/>
      <c r="G1115" s="377"/>
      <c r="H1115" s="413"/>
    </row>
    <row r="1116" spans="1:8">
      <c r="A1116" s="412" t="s">
        <v>1971</v>
      </c>
      <c r="B1116" s="357" t="s">
        <v>1146</v>
      </c>
      <c r="C1116" s="357" t="s">
        <v>1733</v>
      </c>
      <c r="D1116" s="367"/>
      <c r="E1116" s="408"/>
      <c r="F1116" s="377"/>
      <c r="G1116" s="377"/>
      <c r="H1116" s="413"/>
    </row>
    <row r="1117" spans="1:8">
      <c r="A1117" s="414" t="s">
        <v>1973</v>
      </c>
      <c r="B1117" s="359" t="s">
        <v>3568</v>
      </c>
      <c r="C1117" s="360" t="s">
        <v>1145</v>
      </c>
      <c r="D1117" s="368"/>
      <c r="E1117" s="407">
        <f t="shared" si="17"/>
        <v>0</v>
      </c>
      <c r="F1117" s="399"/>
      <c r="G1117" s="485"/>
      <c r="H1117" s="416"/>
    </row>
    <row r="1118" spans="1:8">
      <c r="A1118" s="412" t="s">
        <v>1971</v>
      </c>
      <c r="B1118" s="357" t="s">
        <v>1148</v>
      </c>
      <c r="C1118" s="357" t="s">
        <v>1734</v>
      </c>
      <c r="D1118" s="367"/>
      <c r="E1118" s="408"/>
      <c r="F1118" s="377"/>
      <c r="G1118" s="377"/>
      <c r="H1118" s="413"/>
    </row>
    <row r="1119" spans="1:8">
      <c r="A1119" s="414" t="s">
        <v>1973</v>
      </c>
      <c r="B1119" s="359" t="s">
        <v>3569</v>
      </c>
      <c r="C1119" s="360" t="s">
        <v>1147</v>
      </c>
      <c r="D1119" s="368"/>
      <c r="E1119" s="407">
        <f t="shared" si="17"/>
        <v>0</v>
      </c>
      <c r="F1119" s="399"/>
      <c r="G1119" s="485"/>
      <c r="H1119" s="416"/>
    </row>
    <row r="1120" spans="1:8">
      <c r="A1120" s="426">
        <v>2</v>
      </c>
      <c r="B1120" s="357" t="s">
        <v>3570</v>
      </c>
      <c r="C1120" s="357" t="s">
        <v>3571</v>
      </c>
      <c r="D1120" s="357"/>
      <c r="E1120" s="408"/>
      <c r="F1120" s="383"/>
      <c r="G1120" s="383"/>
      <c r="H1120" s="427"/>
    </row>
    <row r="1121" spans="1:8">
      <c r="A1121" s="412" t="s">
        <v>1969</v>
      </c>
      <c r="B1121" s="357" t="s">
        <v>1150</v>
      </c>
      <c r="C1121" s="357" t="s">
        <v>3574</v>
      </c>
      <c r="D1121" s="357"/>
      <c r="E1121" s="408"/>
      <c r="F1121" s="383"/>
      <c r="G1121" s="383"/>
      <c r="H1121" s="427"/>
    </row>
    <row r="1122" spans="1:8">
      <c r="A1122" s="414" t="s">
        <v>1971</v>
      </c>
      <c r="B1122" s="359" t="s">
        <v>3575</v>
      </c>
      <c r="C1122" s="360" t="s">
        <v>1149</v>
      </c>
      <c r="D1122" s="368"/>
      <c r="E1122" s="407">
        <f t="shared" si="17"/>
        <v>0</v>
      </c>
      <c r="F1122" s="399"/>
      <c r="G1122" s="485"/>
      <c r="H1122" s="416"/>
    </row>
    <row r="1123" spans="1:8">
      <c r="A1123" s="428" t="s">
        <v>1966</v>
      </c>
      <c r="B1123" s="357" t="s">
        <v>3576</v>
      </c>
      <c r="C1123" s="356" t="s">
        <v>3577</v>
      </c>
      <c r="D1123" s="358"/>
      <c r="E1123" s="408"/>
      <c r="F1123" s="378"/>
      <c r="G1123" s="378"/>
      <c r="H1123" s="429"/>
    </row>
    <row r="1124" spans="1:8">
      <c r="A1124" s="412" t="s">
        <v>1969</v>
      </c>
      <c r="B1124" s="357" t="s">
        <v>1151</v>
      </c>
      <c r="C1124" s="357" t="s">
        <v>1771</v>
      </c>
      <c r="D1124" s="367"/>
      <c r="E1124" s="408"/>
      <c r="F1124" s="377"/>
      <c r="G1124" s="377"/>
      <c r="H1124" s="413"/>
    </row>
    <row r="1125" spans="1:8">
      <c r="A1125" s="412" t="s">
        <v>1971</v>
      </c>
      <c r="B1125" s="357" t="s">
        <v>1153</v>
      </c>
      <c r="C1125" s="357" t="s">
        <v>1772</v>
      </c>
      <c r="D1125" s="367"/>
      <c r="E1125" s="408"/>
      <c r="F1125" s="377"/>
      <c r="G1125" s="377"/>
      <c r="H1125" s="413"/>
    </row>
    <row r="1126" spans="1:8">
      <c r="A1126" s="414" t="s">
        <v>1973</v>
      </c>
      <c r="B1126" s="359" t="s">
        <v>3599</v>
      </c>
      <c r="C1126" s="360" t="s">
        <v>1152</v>
      </c>
      <c r="D1126" s="368"/>
      <c r="E1126" s="407">
        <f t="shared" si="17"/>
        <v>0</v>
      </c>
      <c r="F1126" s="399"/>
      <c r="G1126" s="485"/>
      <c r="H1126" s="416"/>
    </row>
    <row r="1127" spans="1:8">
      <c r="A1127" s="412" t="s">
        <v>1971</v>
      </c>
      <c r="B1127" s="357" t="s">
        <v>1155</v>
      </c>
      <c r="C1127" s="357" t="s">
        <v>1773</v>
      </c>
      <c r="D1127" s="367"/>
      <c r="E1127" s="408"/>
      <c r="F1127" s="377"/>
      <c r="G1127" s="377"/>
      <c r="H1127" s="413"/>
    </row>
    <row r="1128" spans="1:8">
      <c r="A1128" s="412" t="s">
        <v>1973</v>
      </c>
      <c r="B1128" s="357" t="s">
        <v>1157</v>
      </c>
      <c r="C1128" s="357" t="s">
        <v>1774</v>
      </c>
      <c r="D1128" s="367"/>
      <c r="E1128" s="408"/>
      <c r="F1128" s="377"/>
      <c r="G1128" s="377"/>
      <c r="H1128" s="413"/>
    </row>
    <row r="1129" spans="1:8">
      <c r="A1129" s="414" t="s">
        <v>1975</v>
      </c>
      <c r="B1129" s="359" t="s">
        <v>3600</v>
      </c>
      <c r="C1129" s="360" t="s">
        <v>1156</v>
      </c>
      <c r="D1129" s="368"/>
      <c r="E1129" s="407">
        <f t="shared" si="17"/>
        <v>0</v>
      </c>
      <c r="F1129" s="399"/>
      <c r="G1129" s="485"/>
      <c r="H1129" s="416"/>
    </row>
    <row r="1130" spans="1:8">
      <c r="A1130" s="412" t="s">
        <v>1973</v>
      </c>
      <c r="B1130" s="357" t="s">
        <v>1159</v>
      </c>
      <c r="C1130" s="357" t="s">
        <v>1775</v>
      </c>
      <c r="D1130" s="367"/>
      <c r="E1130" s="408"/>
      <c r="F1130" s="377"/>
      <c r="G1130" s="377"/>
      <c r="H1130" s="413"/>
    </row>
    <row r="1131" spans="1:8">
      <c r="A1131" s="414" t="s">
        <v>1975</v>
      </c>
      <c r="B1131" s="359" t="s">
        <v>3601</v>
      </c>
      <c r="C1131" s="360" t="s">
        <v>1158</v>
      </c>
      <c r="D1131" s="368"/>
      <c r="E1131" s="407">
        <f t="shared" si="17"/>
        <v>0</v>
      </c>
      <c r="F1131" s="399"/>
      <c r="G1131" s="485"/>
      <c r="H1131" s="416"/>
    </row>
    <row r="1132" spans="1:8">
      <c r="A1132" s="412" t="s">
        <v>1973</v>
      </c>
      <c r="B1132" s="357" t="s">
        <v>1160</v>
      </c>
      <c r="C1132" s="357" t="s">
        <v>1776</v>
      </c>
      <c r="D1132" s="367"/>
      <c r="E1132" s="408"/>
      <c r="F1132" s="377"/>
      <c r="G1132" s="377"/>
      <c r="H1132" s="413"/>
    </row>
    <row r="1133" spans="1:8" ht="25.5">
      <c r="A1133" s="412" t="s">
        <v>1975</v>
      </c>
      <c r="B1133" s="357" t="s">
        <v>1161</v>
      </c>
      <c r="C1133" s="357" t="s">
        <v>1777</v>
      </c>
      <c r="D1133" s="367" t="s">
        <v>1253</v>
      </c>
      <c r="E1133" s="408"/>
      <c r="F1133" s="377"/>
      <c r="G1133" s="377"/>
      <c r="H1133" s="413"/>
    </row>
    <row r="1134" spans="1:8" ht="25.5">
      <c r="A1134" s="412" t="s">
        <v>1978</v>
      </c>
      <c r="B1134" s="357" t="s">
        <v>1163</v>
      </c>
      <c r="C1134" s="357" t="s">
        <v>1778</v>
      </c>
      <c r="D1134" s="367" t="s">
        <v>1253</v>
      </c>
      <c r="E1134" s="408"/>
      <c r="F1134" s="377"/>
      <c r="G1134" s="377"/>
      <c r="H1134" s="413"/>
    </row>
    <row r="1135" spans="1:8" ht="24">
      <c r="A1135" s="414" t="s">
        <v>2094</v>
      </c>
      <c r="B1135" s="359" t="s">
        <v>3602</v>
      </c>
      <c r="C1135" s="360" t="s">
        <v>1162</v>
      </c>
      <c r="D1135" s="368" t="s">
        <v>1253</v>
      </c>
      <c r="E1135" s="407">
        <f t="shared" si="17"/>
        <v>0</v>
      </c>
      <c r="F1135" s="399"/>
      <c r="G1135" s="485"/>
      <c r="H1135" s="416"/>
    </row>
    <row r="1136" spans="1:8" ht="25.5">
      <c r="A1136" s="412" t="s">
        <v>1978</v>
      </c>
      <c r="B1136" s="357" t="s">
        <v>1165</v>
      </c>
      <c r="C1136" s="357" t="s">
        <v>1779</v>
      </c>
      <c r="D1136" s="367" t="s">
        <v>1253</v>
      </c>
      <c r="E1136" s="408"/>
      <c r="F1136" s="377"/>
      <c r="G1136" s="377"/>
      <c r="H1136" s="413"/>
    </row>
    <row r="1137" spans="1:8" ht="24">
      <c r="A1137" s="414" t="s">
        <v>2094</v>
      </c>
      <c r="B1137" s="359" t="s">
        <v>3603</v>
      </c>
      <c r="C1137" s="360" t="s">
        <v>1164</v>
      </c>
      <c r="D1137" s="368" t="s">
        <v>1253</v>
      </c>
      <c r="E1137" s="407">
        <f t="shared" si="17"/>
        <v>0</v>
      </c>
      <c r="F1137" s="399"/>
      <c r="G1137" s="485"/>
      <c r="H1137" s="416">
        <v>49845</v>
      </c>
    </row>
    <row r="1138" spans="1:8">
      <c r="A1138" s="412" t="s">
        <v>1975</v>
      </c>
      <c r="B1138" s="357" t="s">
        <v>1166</v>
      </c>
      <c r="C1138" s="357" t="s">
        <v>1780</v>
      </c>
      <c r="D1138" s="367"/>
      <c r="E1138" s="408"/>
      <c r="F1138" s="377"/>
      <c r="G1138" s="377"/>
      <c r="H1138" s="413"/>
    </row>
    <row r="1139" spans="1:8" ht="25.5">
      <c r="A1139" s="412" t="s">
        <v>1978</v>
      </c>
      <c r="B1139" s="357" t="s">
        <v>1168</v>
      </c>
      <c r="C1139" s="357" t="s">
        <v>1781</v>
      </c>
      <c r="D1139" s="367"/>
      <c r="E1139" s="408"/>
      <c r="F1139" s="377"/>
      <c r="G1139" s="377"/>
      <c r="H1139" s="413"/>
    </row>
    <row r="1140" spans="1:8" ht="24">
      <c r="A1140" s="414" t="s">
        <v>2094</v>
      </c>
      <c r="B1140" s="359" t="s">
        <v>3604</v>
      </c>
      <c r="C1140" s="360" t="s">
        <v>1167</v>
      </c>
      <c r="D1140" s="368"/>
      <c r="E1140" s="407">
        <f t="shared" si="17"/>
        <v>0</v>
      </c>
      <c r="F1140" s="399"/>
      <c r="G1140" s="485"/>
      <c r="H1140" s="415">
        <v>12198</v>
      </c>
    </row>
    <row r="1141" spans="1:8" ht="25.5">
      <c r="A1141" s="412" t="s">
        <v>1978</v>
      </c>
      <c r="B1141" s="357" t="s">
        <v>1169</v>
      </c>
      <c r="C1141" s="357" t="s">
        <v>1782</v>
      </c>
      <c r="D1141" s="367"/>
      <c r="E1141" s="408"/>
      <c r="F1141" s="377"/>
      <c r="G1141" s="377"/>
      <c r="H1141" s="413"/>
    </row>
    <row r="1142" spans="1:8" ht="25.5">
      <c r="A1142" s="412" t="s">
        <v>2094</v>
      </c>
      <c r="B1142" s="357" t="s">
        <v>1171</v>
      </c>
      <c r="C1142" s="357" t="s">
        <v>1783</v>
      </c>
      <c r="D1142" s="367"/>
      <c r="E1142" s="408"/>
      <c r="F1142" s="377"/>
      <c r="G1142" s="377"/>
      <c r="H1142" s="413"/>
    </row>
    <row r="1143" spans="1:8" ht="24">
      <c r="A1143" s="414" t="s">
        <v>3605</v>
      </c>
      <c r="B1143" s="359" t="s">
        <v>3606</v>
      </c>
      <c r="C1143" s="360" t="s">
        <v>1170</v>
      </c>
      <c r="D1143" s="368"/>
      <c r="E1143" s="407">
        <f t="shared" si="17"/>
        <v>0</v>
      </c>
      <c r="F1143" s="399"/>
      <c r="G1143" s="485"/>
      <c r="H1143" s="415">
        <v>22254</v>
      </c>
    </row>
    <row r="1144" spans="1:8" ht="25.5">
      <c r="A1144" s="412" t="s">
        <v>2094</v>
      </c>
      <c r="B1144" s="357" t="s">
        <v>1173</v>
      </c>
      <c r="C1144" s="357" t="s">
        <v>1784</v>
      </c>
      <c r="D1144" s="367"/>
      <c r="E1144" s="408"/>
      <c r="F1144" s="377"/>
      <c r="G1144" s="377"/>
      <c r="H1144" s="413"/>
    </row>
    <row r="1145" spans="1:8" ht="24">
      <c r="A1145" s="414" t="s">
        <v>3605</v>
      </c>
      <c r="B1145" s="359" t="s">
        <v>3607</v>
      </c>
      <c r="C1145" s="360" t="s">
        <v>1172</v>
      </c>
      <c r="D1145" s="368"/>
      <c r="E1145" s="407">
        <f t="shared" si="17"/>
        <v>0</v>
      </c>
      <c r="F1145" s="399"/>
      <c r="G1145" s="485"/>
      <c r="H1145" s="416">
        <v>298</v>
      </c>
    </row>
    <row r="1146" spans="1:8" ht="25.5">
      <c r="A1146" s="412" t="s">
        <v>2094</v>
      </c>
      <c r="B1146" s="357" t="s">
        <v>1175</v>
      </c>
      <c r="C1146" s="357" t="s">
        <v>1785</v>
      </c>
      <c r="D1146" s="367"/>
      <c r="E1146" s="408"/>
      <c r="F1146" s="377"/>
      <c r="G1146" s="377"/>
      <c r="H1146" s="413"/>
    </row>
    <row r="1147" spans="1:8">
      <c r="A1147" s="414" t="s">
        <v>3605</v>
      </c>
      <c r="B1147" s="359" t="s">
        <v>3608</v>
      </c>
      <c r="C1147" s="360" t="s">
        <v>1174</v>
      </c>
      <c r="D1147" s="368"/>
      <c r="E1147" s="407">
        <f t="shared" si="17"/>
        <v>0</v>
      </c>
      <c r="F1147" s="399"/>
      <c r="G1147" s="485"/>
      <c r="H1147" s="415">
        <f>23561+583339</f>
        <v>606900</v>
      </c>
    </row>
    <row r="1148" spans="1:8" ht="25.5">
      <c r="A1148" s="412" t="s">
        <v>1978</v>
      </c>
      <c r="B1148" s="357" t="s">
        <v>1177</v>
      </c>
      <c r="C1148" s="357" t="s">
        <v>1786</v>
      </c>
      <c r="D1148" s="367"/>
      <c r="E1148" s="408"/>
      <c r="F1148" s="377"/>
      <c r="G1148" s="377"/>
      <c r="H1148" s="413"/>
    </row>
    <row r="1149" spans="1:8" ht="24">
      <c r="A1149" s="414" t="s">
        <v>2094</v>
      </c>
      <c r="B1149" s="359" t="s">
        <v>3609</v>
      </c>
      <c r="C1149" s="360" t="s">
        <v>1176</v>
      </c>
      <c r="D1149" s="368"/>
      <c r="E1149" s="407">
        <f t="shared" si="17"/>
        <v>0</v>
      </c>
      <c r="F1149" s="399"/>
      <c r="G1149" s="485"/>
      <c r="H1149" s="416">
        <v>274</v>
      </c>
    </row>
    <row r="1150" spans="1:8" ht="25.5">
      <c r="A1150" s="412" t="s">
        <v>1978</v>
      </c>
      <c r="B1150" s="357" t="s">
        <v>1179</v>
      </c>
      <c r="C1150" s="357" t="s">
        <v>1787</v>
      </c>
      <c r="D1150" s="367"/>
      <c r="E1150" s="408"/>
      <c r="F1150" s="377"/>
      <c r="G1150" s="377"/>
      <c r="H1150" s="413"/>
    </row>
    <row r="1151" spans="1:8" ht="24">
      <c r="A1151" s="414" t="s">
        <v>2094</v>
      </c>
      <c r="B1151" s="359" t="s">
        <v>3610</v>
      </c>
      <c r="C1151" s="360" t="s">
        <v>1178</v>
      </c>
      <c r="D1151" s="368"/>
      <c r="E1151" s="407">
        <f t="shared" si="17"/>
        <v>0</v>
      </c>
      <c r="F1151" s="399"/>
      <c r="G1151" s="485"/>
      <c r="H1151" s="416">
        <v>164</v>
      </c>
    </row>
    <row r="1152" spans="1:8" ht="25.5">
      <c r="A1152" s="412" t="s">
        <v>1978</v>
      </c>
      <c r="B1152" s="357" t="s">
        <v>1181</v>
      </c>
      <c r="C1152" s="357" t="s">
        <v>1788</v>
      </c>
      <c r="D1152" s="367"/>
      <c r="E1152" s="408"/>
      <c r="F1152" s="377"/>
      <c r="G1152" s="377"/>
      <c r="H1152" s="413"/>
    </row>
    <row r="1153" spans="1:8" ht="24">
      <c r="A1153" s="414" t="s">
        <v>2094</v>
      </c>
      <c r="B1153" s="359" t="s">
        <v>3611</v>
      </c>
      <c r="C1153" s="360" t="s">
        <v>1180</v>
      </c>
      <c r="D1153" s="368"/>
      <c r="E1153" s="407">
        <f t="shared" si="17"/>
        <v>0</v>
      </c>
      <c r="F1153" s="399"/>
      <c r="G1153" s="485"/>
      <c r="H1153" s="416"/>
    </row>
    <row r="1154" spans="1:8" ht="25.5">
      <c r="A1154" s="412" t="s">
        <v>1978</v>
      </c>
      <c r="B1154" s="357" t="s">
        <v>1183</v>
      </c>
      <c r="C1154" s="357" t="s">
        <v>1789</v>
      </c>
      <c r="D1154" s="367"/>
      <c r="E1154" s="408"/>
      <c r="F1154" s="377"/>
      <c r="G1154" s="377"/>
      <c r="H1154" s="413"/>
    </row>
    <row r="1155" spans="1:8" ht="24">
      <c r="A1155" s="414" t="s">
        <v>2094</v>
      </c>
      <c r="B1155" s="359" t="s">
        <v>3612</v>
      </c>
      <c r="C1155" s="360" t="s">
        <v>1182</v>
      </c>
      <c r="D1155" s="368"/>
      <c r="E1155" s="407">
        <f t="shared" si="17"/>
        <v>0</v>
      </c>
      <c r="F1155" s="399"/>
      <c r="G1155" s="485"/>
      <c r="H1155" s="415">
        <f>565000+304000+230000-42000+443000</f>
        <v>1500000</v>
      </c>
    </row>
    <row r="1156" spans="1:8">
      <c r="A1156" s="412" t="s">
        <v>1978</v>
      </c>
      <c r="B1156" s="357" t="s">
        <v>1185</v>
      </c>
      <c r="C1156" s="357" t="s">
        <v>1790</v>
      </c>
      <c r="D1156" s="367"/>
      <c r="E1156" s="408"/>
      <c r="F1156" s="377"/>
      <c r="G1156" s="377"/>
      <c r="H1156" s="413"/>
    </row>
    <row r="1157" spans="1:8">
      <c r="A1157" s="414" t="s">
        <v>2094</v>
      </c>
      <c r="B1157" s="359" t="s">
        <v>3613</v>
      </c>
      <c r="C1157" s="360" t="s">
        <v>1184</v>
      </c>
      <c r="D1157" s="368"/>
      <c r="E1157" s="407">
        <f t="shared" si="17"/>
        <v>0</v>
      </c>
      <c r="F1157" s="399"/>
      <c r="G1157" s="485"/>
      <c r="H1157" s="415">
        <v>106705</v>
      </c>
    </row>
    <row r="1158" spans="1:8">
      <c r="A1158" s="412" t="s">
        <v>1973</v>
      </c>
      <c r="B1158" s="357" t="s">
        <v>1186</v>
      </c>
      <c r="C1158" s="357" t="s">
        <v>1791</v>
      </c>
      <c r="D1158" s="367"/>
      <c r="E1158" s="408"/>
      <c r="F1158" s="377"/>
      <c r="G1158" s="377"/>
      <c r="H1158" s="413"/>
    </row>
    <row r="1159" spans="1:8">
      <c r="A1159" s="412" t="s">
        <v>1975</v>
      </c>
      <c r="B1159" s="357" t="s">
        <v>1188</v>
      </c>
      <c r="C1159" s="357" t="s">
        <v>1792</v>
      </c>
      <c r="D1159" s="367"/>
      <c r="E1159" s="408"/>
      <c r="F1159" s="377"/>
      <c r="G1159" s="377"/>
      <c r="H1159" s="413"/>
    </row>
    <row r="1160" spans="1:8">
      <c r="A1160" s="414" t="s">
        <v>1978</v>
      </c>
      <c r="B1160" s="359" t="s">
        <v>3614</v>
      </c>
      <c r="C1160" s="360" t="s">
        <v>1187</v>
      </c>
      <c r="D1160" s="368"/>
      <c r="E1160" s="407">
        <f t="shared" ref="E1160:E1196" si="18">F1160+G1160</f>
        <v>0</v>
      </c>
      <c r="F1160" s="399"/>
      <c r="G1160" s="485"/>
      <c r="H1160" s="416"/>
    </row>
    <row r="1161" spans="1:8" ht="25.5">
      <c r="A1161" s="412" t="s">
        <v>1975</v>
      </c>
      <c r="B1161" s="357" t="s">
        <v>1190</v>
      </c>
      <c r="C1161" s="357" t="s">
        <v>1793</v>
      </c>
      <c r="D1161" s="367" t="s">
        <v>1253</v>
      </c>
      <c r="E1161" s="408"/>
      <c r="F1161" s="377"/>
      <c r="G1161" s="377"/>
      <c r="H1161" s="413"/>
    </row>
    <row r="1162" spans="1:8" ht="24">
      <c r="A1162" s="414" t="s">
        <v>1978</v>
      </c>
      <c r="B1162" s="359" t="s">
        <v>3615</v>
      </c>
      <c r="C1162" s="360" t="s">
        <v>1189</v>
      </c>
      <c r="D1162" s="368" t="s">
        <v>1253</v>
      </c>
      <c r="E1162" s="407">
        <f t="shared" si="18"/>
        <v>0</v>
      </c>
      <c r="F1162" s="399"/>
      <c r="G1162" s="485"/>
      <c r="H1162" s="416"/>
    </row>
    <row r="1163" spans="1:8">
      <c r="A1163" s="412" t="s">
        <v>1975</v>
      </c>
      <c r="B1163" s="357" t="s">
        <v>1191</v>
      </c>
      <c r="C1163" s="357" t="s">
        <v>1794</v>
      </c>
      <c r="D1163" s="367"/>
      <c r="E1163" s="408"/>
      <c r="F1163" s="377"/>
      <c r="G1163" s="377"/>
      <c r="H1163" s="413"/>
    </row>
    <row r="1164" spans="1:8" ht="25.5">
      <c r="A1164" s="412" t="s">
        <v>1978</v>
      </c>
      <c r="B1164" s="357" t="s">
        <v>1193</v>
      </c>
      <c r="C1164" s="357" t="s">
        <v>1795</v>
      </c>
      <c r="D1164" s="367"/>
      <c r="E1164" s="408"/>
      <c r="F1164" s="377"/>
      <c r="G1164" s="377"/>
      <c r="H1164" s="413"/>
    </row>
    <row r="1165" spans="1:8" ht="24">
      <c r="A1165" s="414" t="s">
        <v>2094</v>
      </c>
      <c r="B1165" s="359" t="s">
        <v>3616</v>
      </c>
      <c r="C1165" s="360" t="s">
        <v>1192</v>
      </c>
      <c r="D1165" s="368"/>
      <c r="E1165" s="407">
        <f t="shared" si="18"/>
        <v>0</v>
      </c>
      <c r="F1165" s="399"/>
      <c r="G1165" s="485"/>
      <c r="H1165" s="416">
        <v>208</v>
      </c>
    </row>
    <row r="1166" spans="1:8" ht="25.5">
      <c r="A1166" s="412" t="s">
        <v>1978</v>
      </c>
      <c r="B1166" s="357" t="s">
        <v>1195</v>
      </c>
      <c r="C1166" s="357" t="s">
        <v>1796</v>
      </c>
      <c r="D1166" s="367"/>
      <c r="E1166" s="408"/>
      <c r="F1166" s="377"/>
      <c r="G1166" s="377"/>
      <c r="H1166" s="413"/>
    </row>
    <row r="1167" spans="1:8">
      <c r="A1167" s="414" t="s">
        <v>2094</v>
      </c>
      <c r="B1167" s="359" t="s">
        <v>3617</v>
      </c>
      <c r="C1167" s="360" t="s">
        <v>1194</v>
      </c>
      <c r="D1167" s="368"/>
      <c r="E1167" s="407">
        <f t="shared" si="18"/>
        <v>0</v>
      </c>
      <c r="F1167" s="399"/>
      <c r="G1167" s="485"/>
      <c r="H1167" s="416"/>
    </row>
    <row r="1168" spans="1:8" ht="25.5">
      <c r="A1168" s="412" t="s">
        <v>1978</v>
      </c>
      <c r="B1168" s="357" t="s">
        <v>1197</v>
      </c>
      <c r="C1168" s="357" t="s">
        <v>1797</v>
      </c>
      <c r="D1168" s="367"/>
      <c r="E1168" s="408"/>
      <c r="F1168" s="377"/>
      <c r="G1168" s="377"/>
      <c r="H1168" s="413"/>
    </row>
    <row r="1169" spans="1:8" ht="24">
      <c r="A1169" s="414" t="s">
        <v>2094</v>
      </c>
      <c r="B1169" s="359" t="s">
        <v>3618</v>
      </c>
      <c r="C1169" s="360" t="s">
        <v>1196</v>
      </c>
      <c r="D1169" s="368"/>
      <c r="E1169" s="407">
        <f t="shared" si="18"/>
        <v>0</v>
      </c>
      <c r="F1169" s="399"/>
      <c r="G1169" s="485"/>
      <c r="H1169" s="416"/>
    </row>
    <row r="1170" spans="1:8" ht="25.5">
      <c r="A1170" s="412" t="s">
        <v>1978</v>
      </c>
      <c r="B1170" s="357" t="s">
        <v>1199</v>
      </c>
      <c r="C1170" s="357" t="s">
        <v>1798</v>
      </c>
      <c r="D1170" s="367"/>
      <c r="E1170" s="408"/>
      <c r="F1170" s="377"/>
      <c r="G1170" s="377"/>
      <c r="H1170" s="413"/>
    </row>
    <row r="1171" spans="1:8" ht="24">
      <c r="A1171" s="414" t="s">
        <v>2094</v>
      </c>
      <c r="B1171" s="359" t="s">
        <v>3619</v>
      </c>
      <c r="C1171" s="360" t="s">
        <v>1198</v>
      </c>
      <c r="D1171" s="368"/>
      <c r="E1171" s="407">
        <f t="shared" si="18"/>
        <v>0</v>
      </c>
      <c r="F1171" s="399"/>
      <c r="G1171" s="485"/>
      <c r="H1171" s="416"/>
    </row>
    <row r="1172" spans="1:8" ht="25.5">
      <c r="A1172" s="412" t="s">
        <v>1978</v>
      </c>
      <c r="B1172" s="357" t="s">
        <v>1201</v>
      </c>
      <c r="C1172" s="357" t="s">
        <v>1799</v>
      </c>
      <c r="D1172" s="367"/>
      <c r="E1172" s="408"/>
      <c r="F1172" s="377"/>
      <c r="G1172" s="377"/>
      <c r="H1172" s="413"/>
    </row>
    <row r="1173" spans="1:8" ht="24">
      <c r="A1173" s="414" t="s">
        <v>2094</v>
      </c>
      <c r="B1173" s="359" t="s">
        <v>3620</v>
      </c>
      <c r="C1173" s="360" t="s">
        <v>1200</v>
      </c>
      <c r="D1173" s="368"/>
      <c r="E1173" s="407">
        <f t="shared" si="18"/>
        <v>0</v>
      </c>
      <c r="F1173" s="399"/>
      <c r="G1173" s="485"/>
      <c r="H1173" s="416"/>
    </row>
    <row r="1174" spans="1:8" ht="25.5">
      <c r="A1174" s="412" t="s">
        <v>1978</v>
      </c>
      <c r="B1174" s="357" t="s">
        <v>1203</v>
      </c>
      <c r="C1174" s="357" t="s">
        <v>1800</v>
      </c>
      <c r="D1174" s="367"/>
      <c r="E1174" s="408"/>
      <c r="F1174" s="377"/>
      <c r="G1174" s="377"/>
      <c r="H1174" s="413"/>
    </row>
    <row r="1175" spans="1:8" ht="24">
      <c r="A1175" s="414" t="s">
        <v>2094</v>
      </c>
      <c r="B1175" s="359" t="s">
        <v>3621</v>
      </c>
      <c r="C1175" s="360" t="s">
        <v>1202</v>
      </c>
      <c r="D1175" s="368"/>
      <c r="E1175" s="407">
        <f t="shared" si="18"/>
        <v>0</v>
      </c>
      <c r="F1175" s="399"/>
      <c r="G1175" s="485"/>
      <c r="H1175" s="416">
        <v>126</v>
      </c>
    </row>
    <row r="1176" spans="1:8">
      <c r="A1176" s="412" t="s">
        <v>1978</v>
      </c>
      <c r="B1176" s="357" t="s">
        <v>1205</v>
      </c>
      <c r="C1176" s="357" t="s">
        <v>1801</v>
      </c>
      <c r="D1176" s="367"/>
      <c r="E1176" s="408"/>
      <c r="F1176" s="377"/>
      <c r="G1176" s="377"/>
      <c r="H1176" s="413"/>
    </row>
    <row r="1177" spans="1:8">
      <c r="A1177" s="414" t="s">
        <v>2094</v>
      </c>
      <c r="B1177" s="359" t="s">
        <v>3622</v>
      </c>
      <c r="C1177" s="360" t="s">
        <v>1204</v>
      </c>
      <c r="D1177" s="368"/>
      <c r="E1177" s="407">
        <f t="shared" si="18"/>
        <v>0</v>
      </c>
      <c r="F1177" s="399"/>
      <c r="G1177" s="485"/>
      <c r="H1177" s="415">
        <v>11657</v>
      </c>
    </row>
    <row r="1178" spans="1:8">
      <c r="A1178" s="412" t="s">
        <v>1973</v>
      </c>
      <c r="B1178" s="357" t="s">
        <v>1206</v>
      </c>
      <c r="C1178" s="357" t="s">
        <v>1802</v>
      </c>
      <c r="D1178" s="367"/>
      <c r="E1178" s="408"/>
      <c r="F1178" s="377"/>
      <c r="G1178" s="377"/>
      <c r="H1178" s="413"/>
    </row>
    <row r="1179" spans="1:8">
      <c r="A1179" s="414" t="s">
        <v>1975</v>
      </c>
      <c r="B1179" s="359" t="s">
        <v>3623</v>
      </c>
      <c r="C1179" s="360" t="s">
        <v>1154</v>
      </c>
      <c r="D1179" s="368"/>
      <c r="E1179" s="407">
        <f t="shared" si="18"/>
        <v>0</v>
      </c>
      <c r="F1179" s="399"/>
      <c r="G1179" s="485"/>
      <c r="H1179" s="415">
        <v>2000</v>
      </c>
    </row>
    <row r="1180" spans="1:8">
      <c r="A1180" s="426" t="s">
        <v>1966</v>
      </c>
      <c r="B1180" s="357" t="s">
        <v>3624</v>
      </c>
      <c r="C1180" s="357" t="s">
        <v>3625</v>
      </c>
      <c r="D1180" s="367"/>
      <c r="E1180" s="408"/>
      <c r="F1180" s="377"/>
      <c r="G1180" s="377"/>
      <c r="H1180" s="413"/>
    </row>
    <row r="1181" spans="1:8">
      <c r="A1181" s="412" t="s">
        <v>1969</v>
      </c>
      <c r="B1181" s="357" t="s">
        <v>1207</v>
      </c>
      <c r="C1181" s="357" t="s">
        <v>1808</v>
      </c>
      <c r="D1181" s="367"/>
      <c r="E1181" s="408"/>
      <c r="F1181" s="377"/>
      <c r="G1181" s="377"/>
      <c r="H1181" s="413"/>
    </row>
    <row r="1182" spans="1:8">
      <c r="A1182" s="412" t="s">
        <v>1971</v>
      </c>
      <c r="B1182" s="357" t="s">
        <v>1209</v>
      </c>
      <c r="C1182" s="357" t="s">
        <v>1809</v>
      </c>
      <c r="D1182" s="367"/>
      <c r="E1182" s="408"/>
      <c r="F1182" s="377"/>
      <c r="G1182" s="377"/>
      <c r="H1182" s="413"/>
    </row>
    <row r="1183" spans="1:8">
      <c r="A1183" s="414" t="s">
        <v>1973</v>
      </c>
      <c r="B1183" s="359" t="s">
        <v>3626</v>
      </c>
      <c r="C1183" s="360" t="s">
        <v>1208</v>
      </c>
      <c r="D1183" s="368"/>
      <c r="E1183" s="407">
        <f t="shared" si="18"/>
        <v>21886352</v>
      </c>
      <c r="F1183" s="401">
        <f>20944151+548519+25284+37389+230105+81320+19584</f>
        <v>21886352</v>
      </c>
      <c r="G1183" s="485"/>
      <c r="H1183" s="415">
        <f>21455675+178305+77189+19670</f>
        <v>21730839</v>
      </c>
    </row>
    <row r="1184" spans="1:8" ht="25.5">
      <c r="A1184" s="412" t="s">
        <v>1971</v>
      </c>
      <c r="B1184" s="357" t="s">
        <v>1211</v>
      </c>
      <c r="C1184" s="357" t="s">
        <v>1810</v>
      </c>
      <c r="D1184" s="367"/>
      <c r="E1184" s="408"/>
      <c r="F1184" s="377"/>
      <c r="G1184" s="377"/>
      <c r="H1184" s="413"/>
    </row>
    <row r="1185" spans="1:9" ht="24">
      <c r="A1185" s="414" t="s">
        <v>1973</v>
      </c>
      <c r="B1185" s="359" t="s">
        <v>3627</v>
      </c>
      <c r="C1185" s="360" t="s">
        <v>1210</v>
      </c>
      <c r="D1185" s="368"/>
      <c r="E1185" s="407">
        <f t="shared" si="18"/>
        <v>365914</v>
      </c>
      <c r="F1185" s="401">
        <v>365914</v>
      </c>
      <c r="G1185" s="485"/>
      <c r="H1185" s="418">
        <v>365914</v>
      </c>
    </row>
    <row r="1186" spans="1:9" ht="25.5">
      <c r="A1186" s="412" t="s">
        <v>1971</v>
      </c>
      <c r="B1186" s="357" t="s">
        <v>1213</v>
      </c>
      <c r="C1186" s="357" t="s">
        <v>1811</v>
      </c>
      <c r="D1186" s="367"/>
      <c r="E1186" s="408"/>
      <c r="F1186" s="377"/>
      <c r="G1186" s="377"/>
      <c r="H1186" s="413"/>
    </row>
    <row r="1187" spans="1:9">
      <c r="A1187" s="414" t="s">
        <v>1973</v>
      </c>
      <c r="B1187" s="359" t="s">
        <v>3628</v>
      </c>
      <c r="C1187" s="360" t="s">
        <v>1212</v>
      </c>
      <c r="D1187" s="368"/>
      <c r="E1187" s="407">
        <f t="shared" si="18"/>
        <v>355000</v>
      </c>
      <c r="F1187" s="399">
        <f>400000-45000</f>
        <v>355000</v>
      </c>
      <c r="G1187" s="485"/>
      <c r="H1187" s="415">
        <v>403000</v>
      </c>
    </row>
    <row r="1188" spans="1:9">
      <c r="A1188" s="412" t="s">
        <v>1971</v>
      </c>
      <c r="B1188" s="357" t="s">
        <v>1215</v>
      </c>
      <c r="C1188" s="357" t="s">
        <v>1812</v>
      </c>
      <c r="D1188" s="367"/>
      <c r="E1188" s="408"/>
      <c r="F1188" s="377"/>
      <c r="G1188" s="377"/>
      <c r="H1188" s="413"/>
    </row>
    <row r="1189" spans="1:9">
      <c r="A1189" s="414" t="s">
        <v>1973</v>
      </c>
      <c r="B1189" s="359" t="s">
        <v>3629</v>
      </c>
      <c r="C1189" s="360" t="s">
        <v>1214</v>
      </c>
      <c r="D1189" s="368"/>
      <c r="E1189" s="407">
        <f t="shared" si="18"/>
        <v>0</v>
      </c>
      <c r="F1189" s="399"/>
      <c r="G1189" s="485"/>
      <c r="H1189" s="416"/>
    </row>
    <row r="1190" spans="1:9">
      <c r="A1190" s="412" t="s">
        <v>1969</v>
      </c>
      <c r="B1190" s="357" t="s">
        <v>1216</v>
      </c>
      <c r="C1190" s="357" t="s">
        <v>1813</v>
      </c>
      <c r="D1190" s="367"/>
      <c r="E1190" s="408"/>
      <c r="F1190" s="377"/>
      <c r="G1190" s="377"/>
      <c r="H1190" s="413"/>
    </row>
    <row r="1191" spans="1:9">
      <c r="A1191" s="412" t="s">
        <v>1971</v>
      </c>
      <c r="B1191" s="357" t="s">
        <v>1218</v>
      </c>
      <c r="C1191" s="357" t="s">
        <v>1814</v>
      </c>
      <c r="D1191" s="367"/>
      <c r="E1191" s="408"/>
      <c r="F1191" s="377"/>
      <c r="G1191" s="377"/>
      <c r="H1191" s="413"/>
    </row>
    <row r="1192" spans="1:9">
      <c r="A1192" s="414" t="s">
        <v>1973</v>
      </c>
      <c r="B1192" s="359" t="s">
        <v>3630</v>
      </c>
      <c r="C1192" s="360" t="s">
        <v>1217</v>
      </c>
      <c r="D1192" s="368"/>
      <c r="E1192" s="407">
        <f t="shared" si="18"/>
        <v>444000</v>
      </c>
      <c r="F1192" s="399">
        <f>500000-56000</f>
        <v>444000</v>
      </c>
      <c r="G1192" s="485"/>
      <c r="H1192" s="415">
        <v>522000</v>
      </c>
    </row>
    <row r="1193" spans="1:9">
      <c r="A1193" s="412" t="s">
        <v>1971</v>
      </c>
      <c r="B1193" s="357" t="s">
        <v>1220</v>
      </c>
      <c r="C1193" s="357" t="s">
        <v>1815</v>
      </c>
      <c r="D1193" s="367"/>
      <c r="E1193" s="408"/>
      <c r="F1193" s="377"/>
      <c r="G1193" s="377"/>
      <c r="H1193" s="413"/>
    </row>
    <row r="1194" spans="1:9">
      <c r="A1194" s="414" t="s">
        <v>1973</v>
      </c>
      <c r="B1194" s="359" t="s">
        <v>3631</v>
      </c>
      <c r="C1194" s="360" t="s">
        <v>1219</v>
      </c>
      <c r="D1194" s="368"/>
      <c r="E1194" s="407">
        <f t="shared" si="18"/>
        <v>0</v>
      </c>
      <c r="F1194" s="399"/>
      <c r="G1194" s="485"/>
      <c r="H1194" s="416"/>
    </row>
    <row r="1195" spans="1:9" ht="25.5">
      <c r="A1195" s="412" t="s">
        <v>1969</v>
      </c>
      <c r="B1195" s="357" t="s">
        <v>1222</v>
      </c>
      <c r="C1195" s="357" t="s">
        <v>1816</v>
      </c>
      <c r="D1195" s="367"/>
      <c r="E1195" s="408"/>
      <c r="F1195" s="377"/>
      <c r="G1195" s="377"/>
      <c r="H1195" s="413"/>
    </row>
    <row r="1196" spans="1:9" ht="24.75" thickBot="1">
      <c r="A1196" s="469" t="s">
        <v>1971</v>
      </c>
      <c r="B1196" s="436" t="s">
        <v>3632</v>
      </c>
      <c r="C1196" s="437" t="s">
        <v>1221</v>
      </c>
      <c r="D1196" s="470"/>
      <c r="E1196" s="471">
        <f t="shared" si="18"/>
        <v>0</v>
      </c>
      <c r="F1196" s="472"/>
      <c r="G1196" s="487"/>
      <c r="H1196" s="473"/>
    </row>
    <row r="1197" spans="1:9" s="388" customFormat="1" ht="13.5" thickBot="1">
      <c r="A1197" s="474"/>
      <c r="B1197" s="475"/>
      <c r="C1197" s="476" t="s">
        <v>3633</v>
      </c>
      <c r="D1197" s="477"/>
      <c r="E1197" s="478">
        <f t="shared" ref="E1197:G1197" si="19">SUM(E7:E1196)</f>
        <v>937072795</v>
      </c>
      <c r="F1197" s="479">
        <f t="shared" si="19"/>
        <v>920852886</v>
      </c>
      <c r="G1197" s="479">
        <f t="shared" si="19"/>
        <v>16219909</v>
      </c>
      <c r="H1197" s="480">
        <f t="shared" ref="H1197" si="20">SUM(H7:H1196)</f>
        <v>989651104</v>
      </c>
      <c r="I1197" s="387"/>
    </row>
  </sheetData>
  <conditionalFormatting sqref="B669:B671">
    <cfRule type="duplicateValues" dxfId="183" priority="176"/>
  </conditionalFormatting>
  <conditionalFormatting sqref="B673:B675">
    <cfRule type="duplicateValues" dxfId="182" priority="177"/>
  </conditionalFormatting>
  <conditionalFormatting sqref="B684:B685">
    <cfRule type="duplicateValues" dxfId="181" priority="178"/>
  </conditionalFormatting>
  <conditionalFormatting sqref="B687:B689">
    <cfRule type="duplicateValues" dxfId="180" priority="179"/>
  </conditionalFormatting>
  <conditionalFormatting sqref="B683">
    <cfRule type="duplicateValues" dxfId="179" priority="180"/>
  </conditionalFormatting>
  <conditionalFormatting sqref="B698:B699">
    <cfRule type="duplicateValues" dxfId="178" priority="181"/>
  </conditionalFormatting>
  <conditionalFormatting sqref="B701:B703">
    <cfRule type="duplicateValues" dxfId="177" priority="182"/>
  </conditionalFormatting>
  <conditionalFormatting sqref="B697">
    <cfRule type="duplicateValues" dxfId="176" priority="183"/>
  </conditionalFormatting>
  <conditionalFormatting sqref="B676:B679 B690:B693 B704:B707 B681 B695">
    <cfRule type="duplicateValues" dxfId="175" priority="184"/>
  </conditionalFormatting>
  <conditionalFormatting sqref="B704:B707 B681 B690:B693 B695">
    <cfRule type="duplicateValues" dxfId="174" priority="185"/>
  </conditionalFormatting>
  <conditionalFormatting sqref="C676:C679">
    <cfRule type="duplicateValues" dxfId="173" priority="172"/>
  </conditionalFormatting>
  <conditionalFormatting sqref="C668">
    <cfRule type="duplicateValues" dxfId="172" priority="170"/>
  </conditionalFormatting>
  <conditionalFormatting sqref="C669">
    <cfRule type="duplicateValues" dxfId="171" priority="171"/>
  </conditionalFormatting>
  <conditionalFormatting sqref="C670">
    <cfRule type="duplicateValues" dxfId="170" priority="169"/>
  </conditionalFormatting>
  <conditionalFormatting sqref="C671">
    <cfRule type="duplicateValues" dxfId="169" priority="168"/>
  </conditionalFormatting>
  <conditionalFormatting sqref="C673">
    <cfRule type="duplicateValues" dxfId="168" priority="167"/>
  </conditionalFormatting>
  <conditionalFormatting sqref="C674">
    <cfRule type="duplicateValues" dxfId="167" priority="166"/>
  </conditionalFormatting>
  <conditionalFormatting sqref="C675">
    <cfRule type="duplicateValues" dxfId="166" priority="165"/>
  </conditionalFormatting>
  <conditionalFormatting sqref="C682">
    <cfRule type="duplicateValues" dxfId="165" priority="146"/>
  </conditionalFormatting>
  <conditionalFormatting sqref="C684">
    <cfRule type="duplicateValues" dxfId="164" priority="164"/>
  </conditionalFormatting>
  <conditionalFormatting sqref="C685">
    <cfRule type="duplicateValues" dxfId="163" priority="163"/>
  </conditionalFormatting>
  <conditionalFormatting sqref="C687">
    <cfRule type="duplicateValues" dxfId="162" priority="162"/>
  </conditionalFormatting>
  <conditionalFormatting sqref="C688">
    <cfRule type="duplicateValues" dxfId="161" priority="161"/>
  </conditionalFormatting>
  <conditionalFormatting sqref="C689">
    <cfRule type="duplicateValues" dxfId="160" priority="160"/>
  </conditionalFormatting>
  <conditionalFormatting sqref="C683">
    <cfRule type="duplicateValues" dxfId="159" priority="159"/>
  </conditionalFormatting>
  <conditionalFormatting sqref="C690:C693 C681">
    <cfRule type="duplicateValues" dxfId="158" priority="173"/>
  </conditionalFormatting>
  <conditionalFormatting sqref="C698">
    <cfRule type="duplicateValues" dxfId="157" priority="155"/>
  </conditionalFormatting>
  <conditionalFormatting sqref="C699">
    <cfRule type="duplicateValues" dxfId="156" priority="154"/>
  </conditionalFormatting>
  <conditionalFormatting sqref="C701">
    <cfRule type="duplicateValues" dxfId="155" priority="153"/>
  </conditionalFormatting>
  <conditionalFormatting sqref="C702">
    <cfRule type="duplicateValues" dxfId="154" priority="152"/>
  </conditionalFormatting>
  <conditionalFormatting sqref="C703">
    <cfRule type="duplicateValues" dxfId="153" priority="151"/>
  </conditionalFormatting>
  <conditionalFormatting sqref="C697">
    <cfRule type="duplicateValues" dxfId="152" priority="150"/>
  </conditionalFormatting>
  <conditionalFormatting sqref="C704:C707 C695">
    <cfRule type="duplicateValues" dxfId="151" priority="174"/>
  </conditionalFormatting>
  <conditionalFormatting sqref="C704:C707 C681 C690:C693 C695">
    <cfRule type="duplicateValues" dxfId="150" priority="175"/>
  </conditionalFormatting>
  <conditionalFormatting sqref="C672">
    <cfRule type="duplicateValues" dxfId="149" priority="148"/>
  </conditionalFormatting>
  <conditionalFormatting sqref="C680">
    <cfRule type="duplicateValues" dxfId="148" priority="147"/>
  </conditionalFormatting>
  <conditionalFormatting sqref="C686">
    <cfRule type="duplicateValues" dxfId="147" priority="145"/>
  </conditionalFormatting>
  <conditionalFormatting sqref="C694">
    <cfRule type="duplicateValues" dxfId="146" priority="144"/>
  </conditionalFormatting>
  <conditionalFormatting sqref="C696">
    <cfRule type="duplicateValues" dxfId="145" priority="143"/>
  </conditionalFormatting>
  <conditionalFormatting sqref="C700">
    <cfRule type="duplicateValues" dxfId="144" priority="142"/>
  </conditionalFormatting>
  <conditionalFormatting sqref="B743:B746">
    <cfRule type="duplicateValues" dxfId="143" priority="138"/>
  </conditionalFormatting>
  <conditionalFormatting sqref="B737:B738">
    <cfRule type="duplicateValues" dxfId="142" priority="139"/>
  </conditionalFormatting>
  <conditionalFormatting sqref="B740:B742">
    <cfRule type="duplicateValues" dxfId="141" priority="140"/>
  </conditionalFormatting>
  <conditionalFormatting sqref="B736">
    <cfRule type="duplicateValues" dxfId="140" priority="141"/>
  </conditionalFormatting>
  <conditionalFormatting sqref="C743:C746">
    <cfRule type="duplicateValues" dxfId="139" priority="137"/>
  </conditionalFormatting>
  <conditionalFormatting sqref="C737">
    <cfRule type="duplicateValues" dxfId="138" priority="136"/>
  </conditionalFormatting>
  <conditionalFormatting sqref="C738">
    <cfRule type="duplicateValues" dxfId="137" priority="135"/>
  </conditionalFormatting>
  <conditionalFormatting sqref="C740">
    <cfRule type="duplicateValues" dxfId="136" priority="134"/>
  </conditionalFormatting>
  <conditionalFormatting sqref="C741">
    <cfRule type="duplicateValues" dxfId="135" priority="133"/>
  </conditionalFormatting>
  <conditionalFormatting sqref="C742">
    <cfRule type="duplicateValues" dxfId="134" priority="132"/>
  </conditionalFormatting>
  <conditionalFormatting sqref="C736">
    <cfRule type="duplicateValues" dxfId="133" priority="131"/>
  </conditionalFormatting>
  <conditionalFormatting sqref="C735">
    <cfRule type="duplicateValues" dxfId="132" priority="130"/>
  </conditionalFormatting>
  <conditionalFormatting sqref="C739">
    <cfRule type="duplicateValues" dxfId="131" priority="129"/>
  </conditionalFormatting>
  <conditionalFormatting sqref="B757:B760">
    <cfRule type="duplicateValues" dxfId="130" priority="125"/>
  </conditionalFormatting>
  <conditionalFormatting sqref="B751:B752">
    <cfRule type="duplicateValues" dxfId="129" priority="126"/>
  </conditionalFormatting>
  <conditionalFormatting sqref="B754:B756">
    <cfRule type="duplicateValues" dxfId="128" priority="127"/>
  </conditionalFormatting>
  <conditionalFormatting sqref="B750">
    <cfRule type="duplicateValues" dxfId="127" priority="128"/>
  </conditionalFormatting>
  <conditionalFormatting sqref="C757:C760">
    <cfRule type="duplicateValues" dxfId="126" priority="124"/>
  </conditionalFormatting>
  <conditionalFormatting sqref="C751">
    <cfRule type="duplicateValues" dxfId="125" priority="123"/>
  </conditionalFormatting>
  <conditionalFormatting sqref="C752">
    <cfRule type="duplicateValues" dxfId="124" priority="122"/>
  </conditionalFormatting>
  <conditionalFormatting sqref="C754">
    <cfRule type="duplicateValues" dxfId="123" priority="121"/>
  </conditionalFormatting>
  <conditionalFormatting sqref="C755">
    <cfRule type="duplicateValues" dxfId="122" priority="120"/>
  </conditionalFormatting>
  <conditionalFormatting sqref="C756">
    <cfRule type="duplicateValues" dxfId="121" priority="119"/>
  </conditionalFormatting>
  <conditionalFormatting sqref="C750">
    <cfRule type="duplicateValues" dxfId="120" priority="118"/>
  </conditionalFormatting>
  <conditionalFormatting sqref="C749">
    <cfRule type="duplicateValues" dxfId="119" priority="117"/>
  </conditionalFormatting>
  <conditionalFormatting sqref="C753">
    <cfRule type="duplicateValues" dxfId="118" priority="116"/>
  </conditionalFormatting>
  <conditionalFormatting sqref="C776:C782">
    <cfRule type="duplicateValues" dxfId="117" priority="115"/>
  </conditionalFormatting>
  <conditionalFormatting sqref="B797:B800">
    <cfRule type="duplicateValues" dxfId="116" priority="107"/>
  </conditionalFormatting>
  <conditionalFormatting sqref="B791:B792">
    <cfRule type="duplicateValues" dxfId="115" priority="108"/>
  </conditionalFormatting>
  <conditionalFormatting sqref="B794:B796">
    <cfRule type="duplicateValues" dxfId="114" priority="109"/>
  </conditionalFormatting>
  <conditionalFormatting sqref="B790">
    <cfRule type="duplicateValues" dxfId="113" priority="110"/>
  </conditionalFormatting>
  <conditionalFormatting sqref="B805:B806">
    <cfRule type="duplicateValues" dxfId="112" priority="111"/>
  </conditionalFormatting>
  <conditionalFormatting sqref="B808:B810">
    <cfRule type="duplicateValues" dxfId="111" priority="112"/>
  </conditionalFormatting>
  <conditionalFormatting sqref="B804">
    <cfRule type="duplicateValues" dxfId="110" priority="113"/>
  </conditionalFormatting>
  <conditionalFormatting sqref="B811:B814 B802">
    <cfRule type="duplicateValues" dxfId="109" priority="114"/>
  </conditionalFormatting>
  <conditionalFormatting sqref="C797:C800">
    <cfRule type="duplicateValues" dxfId="108" priority="105"/>
  </conditionalFormatting>
  <conditionalFormatting sqref="C791">
    <cfRule type="duplicateValues" dxfId="107" priority="104"/>
  </conditionalFormatting>
  <conditionalFormatting sqref="C792">
    <cfRule type="duplicateValues" dxfId="106" priority="103"/>
  </conditionalFormatting>
  <conditionalFormatting sqref="C794">
    <cfRule type="duplicateValues" dxfId="105" priority="102"/>
  </conditionalFormatting>
  <conditionalFormatting sqref="C795">
    <cfRule type="duplicateValues" dxfId="104" priority="101"/>
  </conditionalFormatting>
  <conditionalFormatting sqref="C796">
    <cfRule type="duplicateValues" dxfId="103" priority="100"/>
  </conditionalFormatting>
  <conditionalFormatting sqref="C790">
    <cfRule type="duplicateValues" dxfId="102" priority="99"/>
  </conditionalFormatting>
  <conditionalFormatting sqref="C805">
    <cfRule type="duplicateValues" dxfId="101" priority="98"/>
  </conditionalFormatting>
  <conditionalFormatting sqref="C806">
    <cfRule type="duplicateValues" dxfId="100" priority="97"/>
  </conditionalFormatting>
  <conditionalFormatting sqref="C808">
    <cfRule type="duplicateValues" dxfId="99" priority="96"/>
  </conditionalFormatting>
  <conditionalFormatting sqref="C809">
    <cfRule type="duplicateValues" dxfId="98" priority="95"/>
  </conditionalFormatting>
  <conditionalFormatting sqref="C810">
    <cfRule type="duplicateValues" dxfId="97" priority="94"/>
  </conditionalFormatting>
  <conditionalFormatting sqref="C804">
    <cfRule type="duplicateValues" dxfId="96" priority="93"/>
  </conditionalFormatting>
  <conditionalFormatting sqref="C811:C814 C802">
    <cfRule type="duplicateValues" dxfId="95" priority="106"/>
  </conditionalFormatting>
  <conditionalFormatting sqref="B787">
    <cfRule type="duplicateValues" dxfId="94" priority="92"/>
  </conditionalFormatting>
  <conditionalFormatting sqref="C787">
    <cfRule type="duplicateValues" dxfId="93" priority="91"/>
  </conditionalFormatting>
  <conditionalFormatting sqref="B789">
    <cfRule type="duplicateValues" dxfId="92" priority="90"/>
  </conditionalFormatting>
  <conditionalFormatting sqref="C789">
    <cfRule type="duplicateValues" dxfId="91" priority="89"/>
  </conditionalFormatting>
  <conditionalFormatting sqref="B793">
    <cfRule type="duplicateValues" dxfId="90" priority="88"/>
  </conditionalFormatting>
  <conditionalFormatting sqref="C793">
    <cfRule type="duplicateValues" dxfId="89" priority="87"/>
  </conditionalFormatting>
  <conditionalFormatting sqref="B801">
    <cfRule type="duplicateValues" dxfId="88" priority="86"/>
  </conditionalFormatting>
  <conditionalFormatting sqref="C801">
    <cfRule type="duplicateValues" dxfId="87" priority="85"/>
  </conditionalFormatting>
  <conditionalFormatting sqref="B803">
    <cfRule type="duplicateValues" dxfId="86" priority="84"/>
  </conditionalFormatting>
  <conditionalFormatting sqref="C803">
    <cfRule type="duplicateValues" dxfId="85" priority="83"/>
  </conditionalFormatting>
  <conditionalFormatting sqref="B807">
    <cfRule type="duplicateValues" dxfId="84" priority="82"/>
  </conditionalFormatting>
  <conditionalFormatting sqref="C807">
    <cfRule type="duplicateValues" dxfId="83" priority="81"/>
  </conditionalFormatting>
  <conditionalFormatting sqref="B816">
    <cfRule type="duplicateValues" dxfId="82" priority="80"/>
  </conditionalFormatting>
  <conditionalFormatting sqref="C816">
    <cfRule type="duplicateValues" dxfId="81" priority="79"/>
  </conditionalFormatting>
  <conditionalFormatting sqref="B826:B829">
    <cfRule type="duplicateValues" dxfId="80" priority="71"/>
  </conditionalFormatting>
  <conditionalFormatting sqref="B820:B821">
    <cfRule type="duplicateValues" dxfId="79" priority="72"/>
  </conditionalFormatting>
  <conditionalFormatting sqref="B823:B825">
    <cfRule type="duplicateValues" dxfId="78" priority="73"/>
  </conditionalFormatting>
  <conditionalFormatting sqref="B819">
    <cfRule type="duplicateValues" dxfId="77" priority="74"/>
  </conditionalFormatting>
  <conditionalFormatting sqref="B834:B835">
    <cfRule type="duplicateValues" dxfId="76" priority="75"/>
  </conditionalFormatting>
  <conditionalFormatting sqref="B837:B839">
    <cfRule type="duplicateValues" dxfId="75" priority="76"/>
  </conditionalFormatting>
  <conditionalFormatting sqref="B833">
    <cfRule type="duplicateValues" dxfId="74" priority="77"/>
  </conditionalFormatting>
  <conditionalFormatting sqref="B840:B843 B831">
    <cfRule type="duplicateValues" dxfId="73" priority="78"/>
  </conditionalFormatting>
  <conditionalFormatting sqref="C826:C829">
    <cfRule type="duplicateValues" dxfId="72" priority="69"/>
  </conditionalFormatting>
  <conditionalFormatting sqref="C820">
    <cfRule type="duplicateValues" dxfId="71" priority="68"/>
  </conditionalFormatting>
  <conditionalFormatting sqref="C821">
    <cfRule type="duplicateValues" dxfId="70" priority="67"/>
  </conditionalFormatting>
  <conditionalFormatting sqref="C823">
    <cfRule type="duplicateValues" dxfId="69" priority="66"/>
  </conditionalFormatting>
  <conditionalFormatting sqref="C824">
    <cfRule type="duplicateValues" dxfId="68" priority="65"/>
  </conditionalFormatting>
  <conditionalFormatting sqref="C825">
    <cfRule type="duplicateValues" dxfId="67" priority="64"/>
  </conditionalFormatting>
  <conditionalFormatting sqref="C819">
    <cfRule type="duplicateValues" dxfId="66" priority="63"/>
  </conditionalFormatting>
  <conditionalFormatting sqref="C834">
    <cfRule type="duplicateValues" dxfId="65" priority="62"/>
  </conditionalFormatting>
  <conditionalFormatting sqref="C835">
    <cfRule type="duplicateValues" dxfId="64" priority="61"/>
  </conditionalFormatting>
  <conditionalFormatting sqref="C837">
    <cfRule type="duplicateValues" dxfId="63" priority="60"/>
  </conditionalFormatting>
  <conditionalFormatting sqref="C838">
    <cfRule type="duplicateValues" dxfId="62" priority="59"/>
  </conditionalFormatting>
  <conditionalFormatting sqref="C839">
    <cfRule type="duplicateValues" dxfId="61" priority="58"/>
  </conditionalFormatting>
  <conditionalFormatting sqref="C833">
    <cfRule type="duplicateValues" dxfId="60" priority="57"/>
  </conditionalFormatting>
  <conditionalFormatting sqref="C830">
    <cfRule type="duplicateValues" dxfId="59" priority="51"/>
  </conditionalFormatting>
  <conditionalFormatting sqref="C840:C843 C831">
    <cfRule type="duplicateValues" dxfId="58" priority="70"/>
  </conditionalFormatting>
  <conditionalFormatting sqref="B818">
    <cfRule type="duplicateValues" dxfId="57" priority="56"/>
  </conditionalFormatting>
  <conditionalFormatting sqref="C818">
    <cfRule type="duplicateValues" dxfId="56" priority="55"/>
  </conditionalFormatting>
  <conditionalFormatting sqref="B822">
    <cfRule type="duplicateValues" dxfId="55" priority="54"/>
  </conditionalFormatting>
  <conditionalFormatting sqref="C822">
    <cfRule type="duplicateValues" dxfId="54" priority="53"/>
  </conditionalFormatting>
  <conditionalFormatting sqref="B830">
    <cfRule type="duplicateValues" dxfId="53" priority="52"/>
  </conditionalFormatting>
  <conditionalFormatting sqref="B832">
    <cfRule type="duplicateValues" dxfId="52" priority="50"/>
  </conditionalFormatting>
  <conditionalFormatting sqref="C832">
    <cfRule type="duplicateValues" dxfId="51" priority="49"/>
  </conditionalFormatting>
  <conditionalFormatting sqref="B836">
    <cfRule type="duplicateValues" dxfId="50" priority="48"/>
  </conditionalFormatting>
  <conditionalFormatting sqref="C836">
    <cfRule type="duplicateValues" dxfId="49" priority="47"/>
  </conditionalFormatting>
  <conditionalFormatting sqref="B850:B856">
    <cfRule type="duplicateValues" dxfId="48" priority="46"/>
  </conditionalFormatting>
  <conditionalFormatting sqref="C850:C856">
    <cfRule type="duplicateValues" dxfId="47" priority="45"/>
  </conditionalFormatting>
  <conditionalFormatting sqref="B859:B865">
    <cfRule type="duplicateValues" dxfId="46" priority="44"/>
  </conditionalFormatting>
  <conditionalFormatting sqref="C859:C865">
    <cfRule type="duplicateValues" dxfId="45" priority="43"/>
  </conditionalFormatting>
  <conditionalFormatting sqref="B879:B882">
    <cfRule type="duplicateValues" dxfId="44" priority="39"/>
  </conditionalFormatting>
  <conditionalFormatting sqref="B873:B874">
    <cfRule type="duplicateValues" dxfId="43" priority="40"/>
  </conditionalFormatting>
  <conditionalFormatting sqref="B876:B878">
    <cfRule type="duplicateValues" dxfId="42" priority="41"/>
  </conditionalFormatting>
  <conditionalFormatting sqref="B872">
    <cfRule type="duplicateValues" dxfId="41" priority="42"/>
  </conditionalFormatting>
  <conditionalFormatting sqref="C879:C882">
    <cfRule type="duplicateValues" dxfId="40" priority="38"/>
  </conditionalFormatting>
  <conditionalFormatting sqref="C873">
    <cfRule type="duplicateValues" dxfId="39" priority="37"/>
  </conditionalFormatting>
  <conditionalFormatting sqref="C874">
    <cfRule type="duplicateValues" dxfId="38" priority="36"/>
  </conditionalFormatting>
  <conditionalFormatting sqref="C876">
    <cfRule type="duplicateValues" dxfId="37" priority="35"/>
  </conditionalFormatting>
  <conditionalFormatting sqref="C877">
    <cfRule type="duplicateValues" dxfId="36" priority="34"/>
  </conditionalFormatting>
  <conditionalFormatting sqref="C878">
    <cfRule type="duplicateValues" dxfId="35" priority="33"/>
  </conditionalFormatting>
  <conditionalFormatting sqref="C872">
    <cfRule type="duplicateValues" dxfId="34" priority="32"/>
  </conditionalFormatting>
  <conditionalFormatting sqref="B871">
    <cfRule type="duplicateValues" dxfId="33" priority="31"/>
  </conditionalFormatting>
  <conditionalFormatting sqref="C871">
    <cfRule type="duplicateValues" dxfId="32" priority="30"/>
  </conditionalFormatting>
  <conditionalFormatting sqref="B875">
    <cfRule type="duplicateValues" dxfId="31" priority="29"/>
  </conditionalFormatting>
  <conditionalFormatting sqref="C875">
    <cfRule type="duplicateValues" dxfId="30" priority="28"/>
  </conditionalFormatting>
  <conditionalFormatting sqref="B893:B896">
    <cfRule type="duplicateValues" dxfId="29" priority="24"/>
  </conditionalFormatting>
  <conditionalFormatting sqref="B887:B888">
    <cfRule type="duplicateValues" dxfId="28" priority="25"/>
  </conditionalFormatting>
  <conditionalFormatting sqref="B890:B892">
    <cfRule type="duplicateValues" dxfId="27" priority="26"/>
  </conditionalFormatting>
  <conditionalFormatting sqref="B886">
    <cfRule type="duplicateValues" dxfId="26" priority="27"/>
  </conditionalFormatting>
  <conditionalFormatting sqref="C893:C896">
    <cfRule type="duplicateValues" dxfId="25" priority="23"/>
  </conditionalFormatting>
  <conditionalFormatting sqref="C887">
    <cfRule type="duplicateValues" dxfId="24" priority="22"/>
  </conditionalFormatting>
  <conditionalFormatting sqref="C888">
    <cfRule type="duplicateValues" dxfId="23" priority="21"/>
  </conditionalFormatting>
  <conditionalFormatting sqref="C890">
    <cfRule type="duplicateValues" dxfId="22" priority="20"/>
  </conditionalFormatting>
  <conditionalFormatting sqref="C891">
    <cfRule type="duplicateValues" dxfId="21" priority="19"/>
  </conditionalFormatting>
  <conditionalFormatting sqref="C892">
    <cfRule type="duplicateValues" dxfId="20" priority="18"/>
  </conditionalFormatting>
  <conditionalFormatting sqref="C886">
    <cfRule type="duplicateValues" dxfId="19" priority="17"/>
  </conditionalFormatting>
  <conditionalFormatting sqref="B885">
    <cfRule type="duplicateValues" dxfId="18" priority="16"/>
  </conditionalFormatting>
  <conditionalFormatting sqref="C885">
    <cfRule type="duplicateValues" dxfId="17" priority="15"/>
  </conditionalFormatting>
  <conditionalFormatting sqref="B889">
    <cfRule type="duplicateValues" dxfId="16" priority="14"/>
  </conditionalFormatting>
  <conditionalFormatting sqref="C889">
    <cfRule type="duplicateValues" dxfId="15" priority="13"/>
  </conditionalFormatting>
  <conditionalFormatting sqref="B1124:B1196 B2:B282 B284:B1105 B1107:B1119 B1198:B1048576">
    <cfRule type="duplicateValues" dxfId="14" priority="7"/>
  </conditionalFormatting>
  <conditionalFormatting sqref="B283">
    <cfRule type="duplicateValues" dxfId="13" priority="6"/>
  </conditionalFormatting>
  <conditionalFormatting sqref="C1106">
    <cfRule type="duplicateValues" dxfId="12" priority="4"/>
  </conditionalFormatting>
  <conditionalFormatting sqref="B1106">
    <cfRule type="duplicateValues" dxfId="11" priority="5"/>
  </conditionalFormatting>
  <conditionalFormatting sqref="B1120">
    <cfRule type="duplicateValues" dxfId="10" priority="3"/>
  </conditionalFormatting>
  <conditionalFormatting sqref="C1120">
    <cfRule type="duplicateValues" dxfId="9" priority="2"/>
  </conditionalFormatting>
  <conditionalFormatting sqref="B1197">
    <cfRule type="duplicateValues" dxfId="8" priority="1"/>
  </conditionalFormatting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7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/>
  <cols>
    <col min="1" max="1" width="5" style="253" customWidth="1"/>
    <col min="2" max="2" width="34.42578125" style="253" customWidth="1"/>
    <col min="3" max="3" width="48.28515625" customWidth="1"/>
    <col min="4" max="4" width="8.140625" customWidth="1"/>
    <col min="5" max="5" width="18.7109375" style="250" bestFit="1" customWidth="1"/>
    <col min="6" max="7" width="18.7109375" style="250" customWidth="1"/>
    <col min="8" max="8" width="17.28515625" style="250" customWidth="1"/>
  </cols>
  <sheetData>
    <row r="1" spans="1:9" ht="54" customHeight="1" thickBot="1">
      <c r="A1" s="249" t="s">
        <v>120</v>
      </c>
      <c r="B1" s="354" t="s">
        <v>2236</v>
      </c>
      <c r="C1" s="354" t="s">
        <v>121</v>
      </c>
      <c r="D1" s="354" t="s">
        <v>1939</v>
      </c>
      <c r="E1" s="391" t="s">
        <v>3635</v>
      </c>
      <c r="F1" s="355" t="s">
        <v>3636</v>
      </c>
      <c r="G1" s="355" t="s">
        <v>3637</v>
      </c>
      <c r="H1" s="391" t="s">
        <v>3641</v>
      </c>
    </row>
    <row r="2" spans="1:9">
      <c r="A2" s="450" t="s">
        <v>1966</v>
      </c>
      <c r="B2" s="451" t="s">
        <v>1967</v>
      </c>
      <c r="C2" s="452" t="s">
        <v>1968</v>
      </c>
      <c r="D2" s="453"/>
      <c r="E2" s="454"/>
      <c r="F2" s="454"/>
      <c r="G2" s="454"/>
      <c r="H2" s="455"/>
    </row>
    <row r="3" spans="1:9">
      <c r="A3" s="456" t="s">
        <v>1969</v>
      </c>
      <c r="B3" s="357" t="s">
        <v>1236</v>
      </c>
      <c r="C3" s="356" t="s">
        <v>1970</v>
      </c>
      <c r="D3" s="358"/>
      <c r="E3" s="366"/>
      <c r="F3" s="366"/>
      <c r="G3" s="366"/>
      <c r="H3" s="457"/>
    </row>
    <row r="4" spans="1:9" ht="25.5">
      <c r="A4" s="456" t="s">
        <v>1971</v>
      </c>
      <c r="B4" s="357" t="s">
        <v>1238</v>
      </c>
      <c r="C4" s="356" t="s">
        <v>1972</v>
      </c>
      <c r="D4" s="358"/>
      <c r="E4" s="366"/>
      <c r="F4" s="366"/>
      <c r="G4" s="366"/>
      <c r="H4" s="457"/>
    </row>
    <row r="5" spans="1:9" ht="25.5">
      <c r="A5" s="456" t="s">
        <v>1973</v>
      </c>
      <c r="B5" s="357" t="s">
        <v>122</v>
      </c>
      <c r="C5" s="356" t="s">
        <v>1974</v>
      </c>
      <c r="D5" s="358"/>
      <c r="E5" s="366"/>
      <c r="F5" s="366"/>
      <c r="G5" s="366"/>
      <c r="H5" s="457"/>
      <c r="I5" s="234"/>
    </row>
    <row r="6" spans="1:9">
      <c r="A6" s="456" t="s">
        <v>1975</v>
      </c>
      <c r="B6" s="357" t="s">
        <v>123</v>
      </c>
      <c r="C6" s="356" t="s">
        <v>1241</v>
      </c>
      <c r="D6" s="358"/>
      <c r="E6" s="366"/>
      <c r="F6" s="366"/>
      <c r="G6" s="366"/>
      <c r="H6" s="457"/>
      <c r="I6" s="234"/>
    </row>
    <row r="7" spans="1:9">
      <c r="A7" s="444">
        <v>7</v>
      </c>
      <c r="B7" s="359" t="s">
        <v>1976</v>
      </c>
      <c r="C7" s="360" t="s">
        <v>1824</v>
      </c>
      <c r="D7" s="361"/>
      <c r="E7" s="432">
        <f>+F7+G7</f>
        <v>732034147</v>
      </c>
      <c r="F7" s="402">
        <f>730416129+1177638+440380-G7</f>
        <v>730283751</v>
      </c>
      <c r="G7" s="481">
        <v>1750396</v>
      </c>
      <c r="H7" s="392">
        <f>642020639+49376007+1796754+440380+61687+285492+130736+9267826+4999332+154218+4088444+518354+60000+585000+3130685+25233+1159359+4484055+2855617</f>
        <v>725439818</v>
      </c>
      <c r="I7" s="234"/>
    </row>
    <row r="8" spans="1:9" ht="25.5">
      <c r="A8" s="456" t="s">
        <v>1975</v>
      </c>
      <c r="B8" s="357" t="s">
        <v>125</v>
      </c>
      <c r="C8" s="356" t="s">
        <v>1242</v>
      </c>
      <c r="D8" s="358"/>
      <c r="E8" s="433"/>
      <c r="F8" s="366"/>
      <c r="G8" s="366"/>
      <c r="H8" s="458"/>
      <c r="I8" s="234"/>
    </row>
    <row r="9" spans="1:9">
      <c r="A9" s="444">
        <v>7</v>
      </c>
      <c r="B9" s="359" t="s">
        <v>1977</v>
      </c>
      <c r="C9" s="360" t="s">
        <v>124</v>
      </c>
      <c r="D9" s="361"/>
      <c r="E9" s="432">
        <f t="shared" ref="E9:E71" si="0">+F9+G9</f>
        <v>37357427</v>
      </c>
      <c r="F9" s="402">
        <f>18188646+14469513+3134380+1102634+462254-G9</f>
        <v>22887914</v>
      </c>
      <c r="G9" s="481">
        <v>14469513</v>
      </c>
      <c r="H9" s="392">
        <f>15116119+1611930+9952898+1746860+459272+884376+200000+110990+57011+56789+27819+1232405+2562315+92981-914017+11432216</f>
        <v>44629964</v>
      </c>
      <c r="I9" s="234"/>
    </row>
    <row r="10" spans="1:9">
      <c r="A10" s="456" t="s">
        <v>1975</v>
      </c>
      <c r="B10" s="357" t="s">
        <v>126</v>
      </c>
      <c r="C10" s="356" t="s">
        <v>1243</v>
      </c>
      <c r="D10" s="358"/>
      <c r="E10" s="433"/>
      <c r="F10" s="366"/>
      <c r="G10" s="366"/>
      <c r="H10" s="458"/>
      <c r="I10" s="234"/>
    </row>
    <row r="11" spans="1:9">
      <c r="A11" s="456" t="s">
        <v>1978</v>
      </c>
      <c r="B11" s="357" t="s">
        <v>128</v>
      </c>
      <c r="C11" s="356" t="s">
        <v>1979</v>
      </c>
      <c r="D11" s="358"/>
      <c r="E11" s="433"/>
      <c r="F11" s="366"/>
      <c r="G11" s="366"/>
      <c r="H11" s="458"/>
      <c r="I11" s="234"/>
    </row>
    <row r="12" spans="1:9">
      <c r="A12" s="444">
        <v>8</v>
      </c>
      <c r="B12" s="359" t="s">
        <v>1980</v>
      </c>
      <c r="C12" s="360" t="s">
        <v>127</v>
      </c>
      <c r="D12" s="361"/>
      <c r="E12" s="432">
        <f t="shared" si="0"/>
        <v>16390504</v>
      </c>
      <c r="F12" s="402">
        <v>16390504</v>
      </c>
      <c r="G12" s="481"/>
      <c r="H12" s="392">
        <v>16390504</v>
      </c>
      <c r="I12" s="234"/>
    </row>
    <row r="13" spans="1:9">
      <c r="A13" s="456" t="s">
        <v>1978</v>
      </c>
      <c r="B13" s="357" t="s">
        <v>130</v>
      </c>
      <c r="C13" s="356" t="s">
        <v>1245</v>
      </c>
      <c r="D13" s="358"/>
      <c r="E13" s="433"/>
      <c r="F13" s="366"/>
      <c r="G13" s="366"/>
      <c r="H13" s="458"/>
      <c r="I13" s="234"/>
    </row>
    <row r="14" spans="1:9">
      <c r="A14" s="444">
        <v>8</v>
      </c>
      <c r="B14" s="359" t="s">
        <v>1981</v>
      </c>
      <c r="C14" s="360" t="s">
        <v>129</v>
      </c>
      <c r="D14" s="361"/>
      <c r="E14" s="432">
        <f t="shared" si="0"/>
        <v>41357896</v>
      </c>
      <c r="F14" s="402">
        <f>12010221+29347675</f>
        <v>41357896</v>
      </c>
      <c r="G14" s="481"/>
      <c r="H14" s="392">
        <f>12010221+30828608</f>
        <v>42838829</v>
      </c>
      <c r="I14" s="234"/>
    </row>
    <row r="15" spans="1:9" ht="25.5">
      <c r="A15" s="456" t="s">
        <v>1975</v>
      </c>
      <c r="B15" s="357" t="s">
        <v>132</v>
      </c>
      <c r="C15" s="356" t="s">
        <v>1246</v>
      </c>
      <c r="D15" s="358"/>
      <c r="E15" s="433"/>
      <c r="F15" s="366"/>
      <c r="G15" s="366"/>
      <c r="H15" s="458"/>
      <c r="I15" s="234"/>
    </row>
    <row r="16" spans="1:9" ht="24">
      <c r="A16" s="444">
        <v>7</v>
      </c>
      <c r="B16" s="359" t="s">
        <v>1982</v>
      </c>
      <c r="C16" s="360" t="s">
        <v>131</v>
      </c>
      <c r="D16" s="361"/>
      <c r="E16" s="432">
        <f t="shared" si="0"/>
        <v>0</v>
      </c>
      <c r="F16" s="402"/>
      <c r="G16" s="481"/>
      <c r="H16" s="459"/>
      <c r="I16" s="234"/>
    </row>
    <row r="17" spans="1:9" ht="25.5">
      <c r="A17" s="456" t="s">
        <v>1973</v>
      </c>
      <c r="B17" s="357" t="s">
        <v>133</v>
      </c>
      <c r="C17" s="356" t="s">
        <v>1983</v>
      </c>
      <c r="D17" s="358"/>
      <c r="E17" s="433"/>
      <c r="F17" s="366"/>
      <c r="G17" s="366"/>
      <c r="H17" s="458"/>
      <c r="I17" s="234"/>
    </row>
    <row r="18" spans="1:9">
      <c r="A18" s="444">
        <v>6</v>
      </c>
      <c r="B18" s="359" t="s">
        <v>1984</v>
      </c>
      <c r="C18" s="360" t="s">
        <v>134</v>
      </c>
      <c r="D18" s="361"/>
      <c r="E18" s="432">
        <f t="shared" si="0"/>
        <v>0</v>
      </c>
      <c r="F18" s="402"/>
      <c r="G18" s="481"/>
      <c r="H18" s="392">
        <f>942517</f>
        <v>942517</v>
      </c>
      <c r="I18" s="234"/>
    </row>
    <row r="19" spans="1:9">
      <c r="A19" s="456" t="s">
        <v>1971</v>
      </c>
      <c r="B19" s="357" t="s">
        <v>135</v>
      </c>
      <c r="C19" s="356" t="s">
        <v>1985</v>
      </c>
      <c r="D19" s="358"/>
      <c r="E19" s="433"/>
      <c r="F19" s="366"/>
      <c r="G19" s="366"/>
      <c r="H19" s="458"/>
      <c r="I19" s="234"/>
    </row>
    <row r="20" spans="1:9">
      <c r="A20" s="456" t="s">
        <v>1973</v>
      </c>
      <c r="B20" s="357" t="s">
        <v>136</v>
      </c>
      <c r="C20" s="356" t="s">
        <v>1986</v>
      </c>
      <c r="D20" s="358"/>
      <c r="E20" s="433"/>
      <c r="F20" s="366"/>
      <c r="G20" s="366"/>
      <c r="H20" s="458"/>
      <c r="I20" s="234"/>
    </row>
    <row r="21" spans="1:9" ht="25.5">
      <c r="A21" s="456" t="s">
        <v>1975</v>
      </c>
      <c r="B21" s="357" t="s">
        <v>137</v>
      </c>
      <c r="C21" s="356" t="s">
        <v>1987</v>
      </c>
      <c r="D21" s="358"/>
      <c r="E21" s="433"/>
      <c r="F21" s="366"/>
      <c r="G21" s="366"/>
      <c r="H21" s="458"/>
      <c r="I21" s="234"/>
    </row>
    <row r="22" spans="1:9">
      <c r="A22" s="444">
        <v>7</v>
      </c>
      <c r="B22" s="359" t="s">
        <v>1988</v>
      </c>
      <c r="C22" s="360" t="s">
        <v>138</v>
      </c>
      <c r="D22" s="361"/>
      <c r="E22" s="432">
        <f t="shared" si="0"/>
        <v>18173989</v>
      </c>
      <c r="F22" s="402">
        <f>17939958+234031</f>
        <v>18173989</v>
      </c>
      <c r="G22" s="481"/>
      <c r="H22" s="392">
        <v>15498572</v>
      </c>
      <c r="I22" s="234"/>
    </row>
    <row r="23" spans="1:9">
      <c r="A23" s="444">
        <v>7</v>
      </c>
      <c r="B23" s="359" t="s">
        <v>1989</v>
      </c>
      <c r="C23" s="360" t="s">
        <v>139</v>
      </c>
      <c r="D23" s="361"/>
      <c r="E23" s="432">
        <f t="shared" si="0"/>
        <v>0</v>
      </c>
      <c r="F23" s="402"/>
      <c r="G23" s="481"/>
      <c r="H23" s="392"/>
      <c r="I23" s="234"/>
    </row>
    <row r="24" spans="1:9" ht="24">
      <c r="A24" s="444">
        <v>7</v>
      </c>
      <c r="B24" s="359" t="s">
        <v>1990</v>
      </c>
      <c r="C24" s="360" t="s">
        <v>140</v>
      </c>
      <c r="D24" s="361"/>
      <c r="E24" s="432">
        <f t="shared" si="0"/>
        <v>44000</v>
      </c>
      <c r="F24" s="402">
        <v>44000</v>
      </c>
      <c r="G24" s="481"/>
      <c r="H24" s="392"/>
      <c r="I24" s="234"/>
    </row>
    <row r="25" spans="1:9" ht="24">
      <c r="A25" s="444">
        <v>7</v>
      </c>
      <c r="B25" s="359" t="s">
        <v>1991</v>
      </c>
      <c r="C25" s="360" t="s">
        <v>141</v>
      </c>
      <c r="D25" s="361"/>
      <c r="E25" s="432">
        <f t="shared" si="0"/>
        <v>0</v>
      </c>
      <c r="F25" s="402"/>
      <c r="G25" s="481"/>
      <c r="H25" s="392"/>
      <c r="I25" s="234"/>
    </row>
    <row r="26" spans="1:9" ht="24">
      <c r="A26" s="444">
        <v>7</v>
      </c>
      <c r="B26" s="359" t="s">
        <v>1992</v>
      </c>
      <c r="C26" s="360" t="s">
        <v>142</v>
      </c>
      <c r="D26" s="361"/>
      <c r="E26" s="432">
        <f t="shared" si="0"/>
        <v>3548150</v>
      </c>
      <c r="F26" s="402">
        <f>3548150</f>
        <v>3548150</v>
      </c>
      <c r="G26" s="481"/>
      <c r="H26" s="392">
        <f>30000+1000000+460000+1012521+50000+37164+49371+1067925+270000+30000+9700+19200</f>
        <v>4035881</v>
      </c>
      <c r="I26" s="234"/>
    </row>
    <row r="27" spans="1:9" ht="24">
      <c r="A27" s="444">
        <v>7</v>
      </c>
      <c r="B27" s="359" t="s">
        <v>1993</v>
      </c>
      <c r="C27" s="360" t="s">
        <v>143</v>
      </c>
      <c r="D27" s="361"/>
      <c r="E27" s="432">
        <f t="shared" si="0"/>
        <v>0</v>
      </c>
      <c r="F27" s="402"/>
      <c r="G27" s="481"/>
      <c r="H27" s="392">
        <f>50000+140109</f>
        <v>190109</v>
      </c>
      <c r="I27" s="234"/>
    </row>
    <row r="28" spans="1:9" ht="38.25">
      <c r="A28" s="456" t="s">
        <v>1975</v>
      </c>
      <c r="B28" s="357" t="s">
        <v>144</v>
      </c>
      <c r="C28" s="356" t="s">
        <v>1994</v>
      </c>
      <c r="D28" s="358"/>
      <c r="E28" s="433"/>
      <c r="F28" s="366"/>
      <c r="G28" s="366"/>
      <c r="H28" s="458"/>
      <c r="I28" s="234"/>
    </row>
    <row r="29" spans="1:9" ht="24">
      <c r="A29" s="444">
        <v>7</v>
      </c>
      <c r="B29" s="359" t="s">
        <v>1995</v>
      </c>
      <c r="C29" s="360" t="s">
        <v>1964</v>
      </c>
      <c r="D29" s="361"/>
      <c r="E29" s="432">
        <f t="shared" si="0"/>
        <v>0</v>
      </c>
      <c r="F29" s="402"/>
      <c r="G29" s="481"/>
      <c r="H29" s="459"/>
      <c r="I29" s="234"/>
    </row>
    <row r="30" spans="1:9" ht="38.25">
      <c r="A30" s="456" t="s">
        <v>1975</v>
      </c>
      <c r="B30" s="357" t="s">
        <v>145</v>
      </c>
      <c r="C30" s="356" t="s">
        <v>1996</v>
      </c>
      <c r="D30" s="358"/>
      <c r="E30" s="433"/>
      <c r="F30" s="366"/>
      <c r="G30" s="366"/>
      <c r="H30" s="458"/>
      <c r="I30" s="234"/>
    </row>
    <row r="31" spans="1:9" ht="36">
      <c r="A31" s="444">
        <v>7</v>
      </c>
      <c r="B31" s="359" t="s">
        <v>1997</v>
      </c>
      <c r="C31" s="360" t="s">
        <v>1965</v>
      </c>
      <c r="D31" s="361"/>
      <c r="E31" s="432">
        <f t="shared" si="0"/>
        <v>0</v>
      </c>
      <c r="F31" s="402"/>
      <c r="G31" s="481"/>
      <c r="H31" s="459"/>
      <c r="I31" s="234"/>
    </row>
    <row r="32" spans="1:9" ht="25.5">
      <c r="A32" s="456" t="s">
        <v>1975</v>
      </c>
      <c r="B32" s="357" t="s">
        <v>147</v>
      </c>
      <c r="C32" s="356" t="s">
        <v>1998</v>
      </c>
      <c r="D32" s="358"/>
      <c r="E32" s="433"/>
      <c r="F32" s="366"/>
      <c r="G32" s="366"/>
      <c r="H32" s="458"/>
      <c r="I32" s="234"/>
    </row>
    <row r="33" spans="1:9">
      <c r="A33" s="444">
        <v>7</v>
      </c>
      <c r="B33" s="359" t="s">
        <v>1999</v>
      </c>
      <c r="C33" s="360" t="s">
        <v>146</v>
      </c>
      <c r="D33" s="361"/>
      <c r="E33" s="432">
        <f t="shared" si="0"/>
        <v>838000</v>
      </c>
      <c r="F33" s="402">
        <f>38000+96000+704000</f>
        <v>838000</v>
      </c>
      <c r="G33" s="481"/>
      <c r="H33" s="392">
        <f>91000+194578+704000+73000</f>
        <v>1062578</v>
      </c>
      <c r="I33" s="234"/>
    </row>
    <row r="34" spans="1:9" ht="25.5">
      <c r="A34" s="456" t="s">
        <v>1973</v>
      </c>
      <c r="B34" s="357" t="s">
        <v>148</v>
      </c>
      <c r="C34" s="356" t="s">
        <v>2000</v>
      </c>
      <c r="D34" s="358"/>
      <c r="E34" s="433"/>
      <c r="F34" s="366"/>
      <c r="G34" s="366"/>
      <c r="H34" s="458"/>
      <c r="I34" s="234"/>
    </row>
    <row r="35" spans="1:9" ht="25.5">
      <c r="A35" s="456" t="s">
        <v>1975</v>
      </c>
      <c r="B35" s="357" t="s">
        <v>150</v>
      </c>
      <c r="C35" s="356" t="s">
        <v>2001</v>
      </c>
      <c r="D35" s="358" t="s">
        <v>1253</v>
      </c>
      <c r="E35" s="433"/>
      <c r="F35" s="366"/>
      <c r="G35" s="366"/>
      <c r="H35" s="458"/>
      <c r="I35" s="234"/>
    </row>
    <row r="36" spans="1:9" ht="24">
      <c r="A36" s="444" t="s">
        <v>1978</v>
      </c>
      <c r="B36" s="359" t="s">
        <v>2002</v>
      </c>
      <c r="C36" s="360" t="s">
        <v>149</v>
      </c>
      <c r="D36" s="361" t="s">
        <v>1253</v>
      </c>
      <c r="E36" s="432">
        <f t="shared" si="0"/>
        <v>0</v>
      </c>
      <c r="F36" s="402"/>
      <c r="G36" s="481"/>
      <c r="H36" s="459"/>
      <c r="I36" s="234"/>
    </row>
    <row r="37" spans="1:9" ht="25.5">
      <c r="A37" s="456" t="s">
        <v>1975</v>
      </c>
      <c r="B37" s="357" t="s">
        <v>152</v>
      </c>
      <c r="C37" s="356" t="s">
        <v>2003</v>
      </c>
      <c r="D37" s="358" t="s">
        <v>1253</v>
      </c>
      <c r="E37" s="433"/>
      <c r="F37" s="366"/>
      <c r="G37" s="366"/>
      <c r="H37" s="458"/>
      <c r="I37" s="234"/>
    </row>
    <row r="38" spans="1:9" ht="24">
      <c r="A38" s="444">
        <v>7</v>
      </c>
      <c r="B38" s="359" t="s">
        <v>2004</v>
      </c>
      <c r="C38" s="360" t="s">
        <v>151</v>
      </c>
      <c r="D38" s="361" t="s">
        <v>1253</v>
      </c>
      <c r="E38" s="432">
        <f t="shared" si="0"/>
        <v>0</v>
      </c>
      <c r="F38" s="402"/>
      <c r="G38" s="481"/>
      <c r="H38" s="459"/>
      <c r="I38" s="234"/>
    </row>
    <row r="39" spans="1:9" ht="25.5">
      <c r="A39" s="456" t="s">
        <v>1973</v>
      </c>
      <c r="B39" s="357" t="s">
        <v>153</v>
      </c>
      <c r="C39" s="356" t="s">
        <v>2005</v>
      </c>
      <c r="D39" s="358"/>
      <c r="E39" s="433"/>
      <c r="F39" s="366"/>
      <c r="G39" s="366"/>
      <c r="H39" s="458"/>
      <c r="I39" s="234"/>
    </row>
    <row r="40" spans="1:9" ht="25.5">
      <c r="A40" s="456" t="s">
        <v>1975</v>
      </c>
      <c r="B40" s="357" t="s">
        <v>155</v>
      </c>
      <c r="C40" s="356" t="s">
        <v>1257</v>
      </c>
      <c r="D40" s="358"/>
      <c r="E40" s="433"/>
      <c r="F40" s="366"/>
      <c r="G40" s="366"/>
      <c r="H40" s="458"/>
      <c r="I40" s="234"/>
    </row>
    <row r="41" spans="1:9">
      <c r="A41" s="444">
        <v>7</v>
      </c>
      <c r="B41" s="362" t="s">
        <v>2006</v>
      </c>
      <c r="C41" s="360" t="s">
        <v>154</v>
      </c>
      <c r="D41" s="361"/>
      <c r="E41" s="432">
        <f t="shared" si="0"/>
        <v>243000</v>
      </c>
      <c r="F41" s="402">
        <f>243000</f>
        <v>243000</v>
      </c>
      <c r="G41" s="481"/>
      <c r="H41" s="393">
        <f>232000+86000+27000+90000+10000+87000+363822+36509+174070+1290</f>
        <v>1107691</v>
      </c>
      <c r="I41" s="234"/>
    </row>
    <row r="42" spans="1:9" ht="25.5">
      <c r="A42" s="456" t="s">
        <v>1975</v>
      </c>
      <c r="B42" s="357" t="s">
        <v>156</v>
      </c>
      <c r="C42" s="356" t="s">
        <v>1258</v>
      </c>
      <c r="D42" s="358"/>
      <c r="E42" s="433"/>
      <c r="F42" s="366"/>
      <c r="G42" s="366"/>
      <c r="H42" s="458"/>
      <c r="I42" s="234"/>
    </row>
    <row r="43" spans="1:9">
      <c r="A43" s="444">
        <v>7</v>
      </c>
      <c r="B43" s="359" t="s">
        <v>2007</v>
      </c>
      <c r="C43" s="360" t="s">
        <v>157</v>
      </c>
      <c r="D43" s="361"/>
      <c r="E43" s="432">
        <f t="shared" si="0"/>
        <v>0</v>
      </c>
      <c r="F43" s="402"/>
      <c r="G43" s="481"/>
      <c r="H43" s="459"/>
      <c r="I43" s="234"/>
    </row>
    <row r="44" spans="1:9">
      <c r="A44" s="444">
        <v>7</v>
      </c>
      <c r="B44" s="359" t="s">
        <v>2008</v>
      </c>
      <c r="C44" s="360" t="s">
        <v>158</v>
      </c>
      <c r="D44" s="361"/>
      <c r="E44" s="432">
        <f t="shared" si="0"/>
        <v>997000</v>
      </c>
      <c r="F44" s="403">
        <f>32000+15000+950000</f>
        <v>997000</v>
      </c>
      <c r="G44" s="481"/>
      <c r="H44" s="394">
        <f>795000+15000+147000+37500+15000+27761</f>
        <v>1037261</v>
      </c>
      <c r="I44" s="234"/>
    </row>
    <row r="45" spans="1:9" ht="24">
      <c r="A45" s="444">
        <v>7</v>
      </c>
      <c r="B45" s="359" t="s">
        <v>2009</v>
      </c>
      <c r="C45" s="360" t="s">
        <v>159</v>
      </c>
      <c r="D45" s="361"/>
      <c r="E45" s="432">
        <f t="shared" si="0"/>
        <v>0</v>
      </c>
      <c r="F45" s="402"/>
      <c r="G45" s="481"/>
      <c r="H45" s="459"/>
      <c r="I45" s="234"/>
    </row>
    <row r="46" spans="1:9">
      <c r="A46" s="444">
        <v>7</v>
      </c>
      <c r="B46" s="359" t="s">
        <v>2010</v>
      </c>
      <c r="C46" s="360" t="s">
        <v>160</v>
      </c>
      <c r="D46" s="361"/>
      <c r="E46" s="432">
        <f t="shared" si="0"/>
        <v>0</v>
      </c>
      <c r="F46" s="402"/>
      <c r="G46" s="481"/>
      <c r="H46" s="459"/>
      <c r="I46" s="234"/>
    </row>
    <row r="47" spans="1:9" ht="24">
      <c r="A47" s="444">
        <v>7</v>
      </c>
      <c r="B47" s="359" t="s">
        <v>2011</v>
      </c>
      <c r="C47" s="360" t="s">
        <v>161</v>
      </c>
      <c r="D47" s="361"/>
      <c r="E47" s="432">
        <f t="shared" si="0"/>
        <v>0</v>
      </c>
      <c r="F47" s="402"/>
      <c r="G47" s="481"/>
      <c r="H47" s="392">
        <f>28000+15425</f>
        <v>43425</v>
      </c>
      <c r="I47" s="234"/>
    </row>
    <row r="48" spans="1:9" ht="24">
      <c r="A48" s="444">
        <v>7</v>
      </c>
      <c r="B48" s="359" t="s">
        <v>2012</v>
      </c>
      <c r="C48" s="360" t="s">
        <v>162</v>
      </c>
      <c r="D48" s="361"/>
      <c r="E48" s="432">
        <f t="shared" si="0"/>
        <v>500000</v>
      </c>
      <c r="F48" s="402">
        <v>500000</v>
      </c>
      <c r="G48" s="481"/>
      <c r="H48" s="462">
        <v>500000</v>
      </c>
      <c r="I48" s="234"/>
    </row>
    <row r="49" spans="1:9" ht="25.5">
      <c r="A49" s="456" t="s">
        <v>1975</v>
      </c>
      <c r="B49" s="357" t="s">
        <v>164</v>
      </c>
      <c r="C49" s="356" t="s">
        <v>1259</v>
      </c>
      <c r="D49" s="358"/>
      <c r="E49" s="433"/>
      <c r="F49" s="366"/>
      <c r="G49" s="366"/>
      <c r="H49" s="458"/>
      <c r="I49" s="234"/>
    </row>
    <row r="50" spans="1:9" ht="24">
      <c r="A50" s="444" t="s">
        <v>1978</v>
      </c>
      <c r="B50" s="359" t="s">
        <v>2013</v>
      </c>
      <c r="C50" s="360" t="s">
        <v>163</v>
      </c>
      <c r="D50" s="361"/>
      <c r="E50" s="432">
        <f t="shared" si="0"/>
        <v>55000</v>
      </c>
      <c r="F50" s="402">
        <v>55000</v>
      </c>
      <c r="G50" s="481"/>
      <c r="H50" s="392">
        <v>72086</v>
      </c>
      <c r="I50" s="234"/>
    </row>
    <row r="51" spans="1:9" ht="25.5">
      <c r="A51" s="456" t="s">
        <v>1975</v>
      </c>
      <c r="B51" s="357" t="s">
        <v>166</v>
      </c>
      <c r="C51" s="356" t="s">
        <v>1260</v>
      </c>
      <c r="D51" s="358"/>
      <c r="E51" s="433"/>
      <c r="F51" s="366"/>
      <c r="G51" s="366"/>
      <c r="H51" s="458"/>
      <c r="I51" s="234"/>
    </row>
    <row r="52" spans="1:9">
      <c r="A52" s="444">
        <v>7</v>
      </c>
      <c r="B52" s="359" t="s">
        <v>2014</v>
      </c>
      <c r="C52" s="360" t="s">
        <v>165</v>
      </c>
      <c r="D52" s="361"/>
      <c r="E52" s="432">
        <f t="shared" si="0"/>
        <v>51000</v>
      </c>
      <c r="F52" s="402">
        <f>46000+5000</f>
        <v>51000</v>
      </c>
      <c r="G52" s="481"/>
      <c r="H52" s="459"/>
      <c r="I52" s="234"/>
    </row>
    <row r="53" spans="1:9" ht="51">
      <c r="A53" s="456" t="s">
        <v>1975</v>
      </c>
      <c r="B53" s="357" t="s">
        <v>168</v>
      </c>
      <c r="C53" s="356" t="s">
        <v>2015</v>
      </c>
      <c r="D53" s="358"/>
      <c r="E53" s="433"/>
      <c r="F53" s="366"/>
      <c r="G53" s="366"/>
      <c r="H53" s="458"/>
      <c r="I53" s="234"/>
    </row>
    <row r="54" spans="1:9" ht="48">
      <c r="A54" s="444">
        <v>7</v>
      </c>
      <c r="B54" s="359" t="s">
        <v>2016</v>
      </c>
      <c r="C54" s="360" t="s">
        <v>167</v>
      </c>
      <c r="D54" s="361"/>
      <c r="E54" s="432">
        <f t="shared" si="0"/>
        <v>0</v>
      </c>
      <c r="F54" s="402"/>
      <c r="G54" s="481"/>
      <c r="H54" s="459"/>
      <c r="I54" s="234"/>
    </row>
    <row r="55" spans="1:9">
      <c r="A55" s="456" t="s">
        <v>1971</v>
      </c>
      <c r="B55" s="357" t="s">
        <v>169</v>
      </c>
      <c r="C55" s="356" t="s">
        <v>2017</v>
      </c>
      <c r="D55" s="358"/>
      <c r="E55" s="433"/>
      <c r="F55" s="366"/>
      <c r="G55" s="366"/>
      <c r="H55" s="458"/>
      <c r="I55" s="234"/>
    </row>
    <row r="56" spans="1:9" ht="25.5">
      <c r="A56" s="456" t="s">
        <v>1973</v>
      </c>
      <c r="B56" s="357" t="s">
        <v>171</v>
      </c>
      <c r="C56" s="356" t="s">
        <v>2018</v>
      </c>
      <c r="D56" s="358"/>
      <c r="E56" s="433"/>
      <c r="F56" s="366"/>
      <c r="G56" s="366"/>
      <c r="H56" s="458"/>
      <c r="I56" s="234"/>
    </row>
    <row r="57" spans="1:9">
      <c r="A57" s="444">
        <v>6</v>
      </c>
      <c r="B57" s="359" t="s">
        <v>2019</v>
      </c>
      <c r="C57" s="360" t="s">
        <v>170</v>
      </c>
      <c r="D57" s="361"/>
      <c r="E57" s="432">
        <f t="shared" si="0"/>
        <v>0</v>
      </c>
      <c r="F57" s="402"/>
      <c r="G57" s="481"/>
      <c r="H57" s="459"/>
      <c r="I57" s="234"/>
    </row>
    <row r="58" spans="1:9" ht="25.5">
      <c r="A58" s="456" t="s">
        <v>1973</v>
      </c>
      <c r="B58" s="357" t="s">
        <v>173</v>
      </c>
      <c r="C58" s="356" t="s">
        <v>2020</v>
      </c>
      <c r="D58" s="358"/>
      <c r="E58" s="433"/>
      <c r="F58" s="366"/>
      <c r="G58" s="366"/>
      <c r="H58" s="458"/>
      <c r="I58" s="234"/>
    </row>
    <row r="59" spans="1:9" ht="24">
      <c r="A59" s="444">
        <v>6</v>
      </c>
      <c r="B59" s="359" t="s">
        <v>2021</v>
      </c>
      <c r="C59" s="360" t="s">
        <v>172</v>
      </c>
      <c r="D59" s="361"/>
      <c r="E59" s="432">
        <f t="shared" si="0"/>
        <v>0</v>
      </c>
      <c r="F59" s="402"/>
      <c r="G59" s="481"/>
      <c r="H59" s="459"/>
      <c r="I59" s="234"/>
    </row>
    <row r="60" spans="1:9" ht="25.5">
      <c r="A60" s="456" t="s">
        <v>1973</v>
      </c>
      <c r="B60" s="357" t="s">
        <v>174</v>
      </c>
      <c r="C60" s="356" t="s">
        <v>2022</v>
      </c>
      <c r="D60" s="358"/>
      <c r="E60" s="433"/>
      <c r="F60" s="366"/>
      <c r="G60" s="366"/>
      <c r="H60" s="458"/>
      <c r="I60" s="234"/>
    </row>
    <row r="61" spans="1:9">
      <c r="A61" s="444">
        <v>6</v>
      </c>
      <c r="B61" s="359" t="s">
        <v>2023</v>
      </c>
      <c r="C61" s="360" t="s">
        <v>175</v>
      </c>
      <c r="D61" s="361"/>
      <c r="E61" s="432">
        <f t="shared" si="0"/>
        <v>0</v>
      </c>
      <c r="F61" s="402"/>
      <c r="G61" s="481"/>
      <c r="H61" s="459"/>
      <c r="I61" s="234"/>
    </row>
    <row r="62" spans="1:9">
      <c r="A62" s="444">
        <v>6</v>
      </c>
      <c r="B62" s="359" t="s">
        <v>2024</v>
      </c>
      <c r="C62" s="360" t="s">
        <v>176</v>
      </c>
      <c r="D62" s="361"/>
      <c r="E62" s="432">
        <f t="shared" si="0"/>
        <v>0</v>
      </c>
      <c r="F62" s="402"/>
      <c r="G62" s="481"/>
      <c r="H62" s="459"/>
      <c r="I62" s="234"/>
    </row>
    <row r="63" spans="1:9">
      <c r="A63" s="456" t="s">
        <v>1973</v>
      </c>
      <c r="B63" s="357" t="s">
        <v>178</v>
      </c>
      <c r="C63" s="356" t="s">
        <v>2025</v>
      </c>
      <c r="D63" s="358"/>
      <c r="E63" s="433"/>
      <c r="F63" s="366"/>
      <c r="G63" s="366"/>
      <c r="H63" s="458"/>
      <c r="I63" s="234"/>
    </row>
    <row r="64" spans="1:9">
      <c r="A64" s="444" t="s">
        <v>1975</v>
      </c>
      <c r="B64" s="359" t="s">
        <v>2026</v>
      </c>
      <c r="C64" s="360" t="s">
        <v>177</v>
      </c>
      <c r="D64" s="361"/>
      <c r="E64" s="432">
        <f t="shared" si="0"/>
        <v>0</v>
      </c>
      <c r="F64" s="402"/>
      <c r="G64" s="481"/>
      <c r="H64" s="459"/>
      <c r="I64" s="234"/>
    </row>
    <row r="65" spans="1:9">
      <c r="A65" s="456" t="s">
        <v>1971</v>
      </c>
      <c r="B65" s="357" t="s">
        <v>180</v>
      </c>
      <c r="C65" s="356" t="s">
        <v>2027</v>
      </c>
      <c r="D65" s="358"/>
      <c r="E65" s="433"/>
      <c r="F65" s="366"/>
      <c r="G65" s="366"/>
      <c r="H65" s="458"/>
      <c r="I65" s="234"/>
    </row>
    <row r="66" spans="1:9">
      <c r="A66" s="444" t="s">
        <v>1973</v>
      </c>
      <c r="B66" s="359" t="s">
        <v>2028</v>
      </c>
      <c r="C66" s="360" t="s">
        <v>179</v>
      </c>
      <c r="D66" s="361"/>
      <c r="E66" s="432">
        <f t="shared" si="0"/>
        <v>33000</v>
      </c>
      <c r="F66" s="402">
        <f>8000+25000</f>
        <v>33000</v>
      </c>
      <c r="G66" s="481"/>
      <c r="H66" s="392">
        <f>3000+20000+83196+128000+16000+40000+93000</f>
        <v>383196</v>
      </c>
      <c r="I66" s="234"/>
    </row>
    <row r="67" spans="1:9" ht="25.5">
      <c r="A67" s="456" t="s">
        <v>1969</v>
      </c>
      <c r="B67" s="357" t="s">
        <v>181</v>
      </c>
      <c r="C67" s="356" t="s">
        <v>2029</v>
      </c>
      <c r="D67" s="358"/>
      <c r="E67" s="433"/>
      <c r="F67" s="366"/>
      <c r="G67" s="366"/>
      <c r="H67" s="458"/>
      <c r="I67" s="234"/>
    </row>
    <row r="68" spans="1:9" ht="38.25">
      <c r="A68" s="456" t="s">
        <v>1971</v>
      </c>
      <c r="B68" s="357" t="s">
        <v>183</v>
      </c>
      <c r="C68" s="356" t="s">
        <v>2030</v>
      </c>
      <c r="D68" s="358"/>
      <c r="E68" s="433"/>
      <c r="F68" s="366"/>
      <c r="G68" s="366"/>
      <c r="H68" s="458"/>
      <c r="I68" s="234"/>
    </row>
    <row r="69" spans="1:9" ht="36">
      <c r="A69" s="444" t="s">
        <v>1973</v>
      </c>
      <c r="B69" s="359" t="s">
        <v>2031</v>
      </c>
      <c r="C69" s="360" t="s">
        <v>182</v>
      </c>
      <c r="D69" s="361"/>
      <c r="E69" s="432">
        <f t="shared" si="0"/>
        <v>0</v>
      </c>
      <c r="F69" s="402"/>
      <c r="G69" s="481"/>
      <c r="H69" s="459"/>
      <c r="I69" s="234"/>
    </row>
    <row r="70" spans="1:9" ht="25.5">
      <c r="A70" s="456" t="s">
        <v>1971</v>
      </c>
      <c r="B70" s="357" t="s">
        <v>185</v>
      </c>
      <c r="C70" s="356" t="s">
        <v>2032</v>
      </c>
      <c r="D70" s="358"/>
      <c r="E70" s="433"/>
      <c r="F70" s="366"/>
      <c r="G70" s="366"/>
      <c r="H70" s="458"/>
      <c r="I70" s="234"/>
    </row>
    <row r="71" spans="1:9" ht="24">
      <c r="A71" s="444" t="s">
        <v>1973</v>
      </c>
      <c r="B71" s="359" t="s">
        <v>2033</v>
      </c>
      <c r="C71" s="360" t="s">
        <v>184</v>
      </c>
      <c r="D71" s="361"/>
      <c r="E71" s="432">
        <f t="shared" si="0"/>
        <v>0</v>
      </c>
      <c r="F71" s="402"/>
      <c r="G71" s="481"/>
      <c r="H71" s="459"/>
      <c r="I71" s="234"/>
    </row>
    <row r="72" spans="1:9" ht="25.5">
      <c r="A72" s="456" t="s">
        <v>1969</v>
      </c>
      <c r="B72" s="357" t="s">
        <v>186</v>
      </c>
      <c r="C72" s="356" t="s">
        <v>2034</v>
      </c>
      <c r="D72" s="358"/>
      <c r="E72" s="433"/>
      <c r="F72" s="366"/>
      <c r="G72" s="366"/>
      <c r="H72" s="458"/>
      <c r="I72" s="234"/>
    </row>
    <row r="73" spans="1:9" ht="38.25">
      <c r="A73" s="456" t="s">
        <v>1971</v>
      </c>
      <c r="B73" s="357" t="s">
        <v>188</v>
      </c>
      <c r="C73" s="356" t="s">
        <v>1272</v>
      </c>
      <c r="D73" s="358"/>
      <c r="E73" s="433"/>
      <c r="F73" s="366"/>
      <c r="G73" s="366"/>
      <c r="H73" s="458"/>
      <c r="I73" s="234"/>
    </row>
    <row r="74" spans="1:9" ht="36">
      <c r="A74" s="444" t="s">
        <v>1973</v>
      </c>
      <c r="B74" s="359" t="s">
        <v>2035</v>
      </c>
      <c r="C74" s="360" t="s">
        <v>187</v>
      </c>
      <c r="D74" s="361"/>
      <c r="E74" s="432">
        <f t="shared" ref="E74:E135" si="1">+F74+G74</f>
        <v>0</v>
      </c>
      <c r="F74" s="402"/>
      <c r="G74" s="481"/>
      <c r="H74" s="395">
        <f>914017+95538</f>
        <v>1009555</v>
      </c>
      <c r="I74" s="234"/>
    </row>
    <row r="75" spans="1:9" ht="38.25">
      <c r="A75" s="456" t="s">
        <v>1971</v>
      </c>
      <c r="B75" s="357" t="s">
        <v>190</v>
      </c>
      <c r="C75" s="356" t="s">
        <v>1273</v>
      </c>
      <c r="D75" s="358"/>
      <c r="E75" s="433"/>
      <c r="F75" s="366"/>
      <c r="G75" s="366"/>
      <c r="H75" s="458"/>
      <c r="I75" s="234"/>
    </row>
    <row r="76" spans="1:9" ht="36">
      <c r="A76" s="444" t="s">
        <v>1973</v>
      </c>
      <c r="B76" s="359" t="s">
        <v>2036</v>
      </c>
      <c r="C76" s="360" t="s">
        <v>189</v>
      </c>
      <c r="D76" s="361"/>
      <c r="E76" s="432">
        <f t="shared" si="1"/>
        <v>0</v>
      </c>
      <c r="F76" s="402"/>
      <c r="G76" s="481"/>
      <c r="H76" s="459"/>
      <c r="I76" s="234"/>
    </row>
    <row r="77" spans="1:9" ht="38.25">
      <c r="A77" s="456" t="s">
        <v>1971</v>
      </c>
      <c r="B77" s="357" t="s">
        <v>192</v>
      </c>
      <c r="C77" s="356" t="s">
        <v>1274</v>
      </c>
      <c r="D77" s="358"/>
      <c r="E77" s="433"/>
      <c r="F77" s="366"/>
      <c r="G77" s="366"/>
      <c r="H77" s="458"/>
      <c r="I77" s="234"/>
    </row>
    <row r="78" spans="1:9" ht="24">
      <c r="A78" s="444" t="s">
        <v>1973</v>
      </c>
      <c r="B78" s="359" t="s">
        <v>2037</v>
      </c>
      <c r="C78" s="360" t="s">
        <v>191</v>
      </c>
      <c r="D78" s="361"/>
      <c r="E78" s="432">
        <f t="shared" si="1"/>
        <v>3699000</v>
      </c>
      <c r="F78" s="402">
        <f>1250000+2000000+341000+55000+27000+26000</f>
        <v>3699000</v>
      </c>
      <c r="G78" s="481"/>
      <c r="H78" s="392">
        <f>57000+67000+29000+2752437+947677+2679744+235860+44000+15000+6079+21123+5000+145000</f>
        <v>7004920</v>
      </c>
      <c r="I78" s="234"/>
    </row>
    <row r="79" spans="1:9" ht="25.5">
      <c r="A79" s="456" t="s">
        <v>1971</v>
      </c>
      <c r="B79" s="357" t="s">
        <v>194</v>
      </c>
      <c r="C79" s="356" t="s">
        <v>1275</v>
      </c>
      <c r="D79" s="358"/>
      <c r="E79" s="433"/>
      <c r="F79" s="366"/>
      <c r="G79" s="366"/>
      <c r="H79" s="458"/>
      <c r="I79" s="234"/>
    </row>
    <row r="80" spans="1:9" ht="24">
      <c r="A80" s="444" t="s">
        <v>1973</v>
      </c>
      <c r="B80" s="359" t="s">
        <v>2038</v>
      </c>
      <c r="C80" s="360" t="s">
        <v>193</v>
      </c>
      <c r="D80" s="361"/>
      <c r="E80" s="432">
        <f t="shared" si="1"/>
        <v>0</v>
      </c>
      <c r="F80" s="402"/>
      <c r="G80" s="481"/>
      <c r="H80" s="459"/>
      <c r="I80" s="234"/>
    </row>
    <row r="81" spans="1:9" ht="25.5">
      <c r="A81" s="456" t="s">
        <v>1971</v>
      </c>
      <c r="B81" s="357" t="s">
        <v>196</v>
      </c>
      <c r="C81" s="356" t="s">
        <v>1276</v>
      </c>
      <c r="D81" s="358"/>
      <c r="E81" s="433"/>
      <c r="F81" s="366"/>
      <c r="G81" s="366"/>
      <c r="H81" s="458"/>
      <c r="I81" s="234"/>
    </row>
    <row r="82" spans="1:9" ht="24">
      <c r="A82" s="444" t="s">
        <v>1973</v>
      </c>
      <c r="B82" s="359" t="s">
        <v>2039</v>
      </c>
      <c r="C82" s="360" t="s">
        <v>195</v>
      </c>
      <c r="D82" s="361"/>
      <c r="E82" s="432">
        <f t="shared" si="1"/>
        <v>324984</v>
      </c>
      <c r="F82" s="402">
        <f>44000+5000+26000+249984</f>
        <v>324984</v>
      </c>
      <c r="G82" s="481"/>
      <c r="H82" s="392">
        <f>12000+20000+25000+7000+20000+25000+251084+32365609</f>
        <v>32725693</v>
      </c>
      <c r="I82" s="234"/>
    </row>
    <row r="83" spans="1:9" ht="25.5">
      <c r="A83" s="456" t="s">
        <v>1969</v>
      </c>
      <c r="B83" s="357" t="s">
        <v>1277</v>
      </c>
      <c r="C83" s="356" t="s">
        <v>2040</v>
      </c>
      <c r="D83" s="358"/>
      <c r="E83" s="433"/>
      <c r="F83" s="366"/>
      <c r="G83" s="366"/>
      <c r="H83" s="458"/>
      <c r="I83" s="234"/>
    </row>
    <row r="84" spans="1:9" ht="25.5">
      <c r="A84" s="456" t="s">
        <v>1971</v>
      </c>
      <c r="B84" s="357" t="s">
        <v>197</v>
      </c>
      <c r="C84" s="356" t="s">
        <v>2041</v>
      </c>
      <c r="D84" s="358"/>
      <c r="E84" s="433"/>
      <c r="F84" s="366"/>
      <c r="G84" s="366"/>
      <c r="H84" s="458"/>
      <c r="I84" s="234"/>
    </row>
    <row r="85" spans="1:9" ht="38.25">
      <c r="A85" s="456" t="s">
        <v>1973</v>
      </c>
      <c r="B85" s="357" t="s">
        <v>198</v>
      </c>
      <c r="C85" s="356" t="s">
        <v>2042</v>
      </c>
      <c r="D85" s="358" t="s">
        <v>1253</v>
      </c>
      <c r="E85" s="433"/>
      <c r="F85" s="366"/>
      <c r="G85" s="366"/>
      <c r="H85" s="458"/>
      <c r="I85" s="234"/>
    </row>
    <row r="86" spans="1:9">
      <c r="A86" s="456" t="s">
        <v>1975</v>
      </c>
      <c r="B86" s="357" t="s">
        <v>200</v>
      </c>
      <c r="C86" s="356" t="s">
        <v>1281</v>
      </c>
      <c r="D86" s="358" t="s">
        <v>1253</v>
      </c>
      <c r="E86" s="433"/>
      <c r="F86" s="366"/>
      <c r="G86" s="366"/>
      <c r="H86" s="458"/>
      <c r="I86" s="234"/>
    </row>
    <row r="87" spans="1:9">
      <c r="A87" s="444">
        <v>7</v>
      </c>
      <c r="B87" s="359" t="s">
        <v>2043</v>
      </c>
      <c r="C87" s="360" t="s">
        <v>201</v>
      </c>
      <c r="D87" s="361" t="s">
        <v>1253</v>
      </c>
      <c r="E87" s="432">
        <f t="shared" si="1"/>
        <v>15567007</v>
      </c>
      <c r="F87" s="402">
        <v>15567007</v>
      </c>
      <c r="G87" s="481"/>
      <c r="H87" s="393">
        <v>14759952</v>
      </c>
      <c r="I87" s="234"/>
    </row>
    <row r="88" spans="1:9" ht="24">
      <c r="A88" s="444">
        <v>7</v>
      </c>
      <c r="B88" s="359" t="s">
        <v>2044</v>
      </c>
      <c r="C88" s="360" t="s">
        <v>2045</v>
      </c>
      <c r="D88" s="361" t="s">
        <v>1253</v>
      </c>
      <c r="E88" s="432">
        <f t="shared" si="1"/>
        <v>0</v>
      </c>
      <c r="F88" s="402"/>
      <c r="G88" s="481"/>
      <c r="H88" s="459"/>
      <c r="I88" s="234"/>
    </row>
    <row r="89" spans="1:9">
      <c r="A89" s="456" t="s">
        <v>1975</v>
      </c>
      <c r="B89" s="357" t="s">
        <v>202</v>
      </c>
      <c r="C89" s="356" t="s">
        <v>1282</v>
      </c>
      <c r="D89" s="358" t="s">
        <v>1253</v>
      </c>
      <c r="E89" s="433"/>
      <c r="F89" s="366"/>
      <c r="G89" s="366"/>
      <c r="H89" s="458"/>
      <c r="I89" s="234"/>
    </row>
    <row r="90" spans="1:9">
      <c r="A90" s="444">
        <v>7</v>
      </c>
      <c r="B90" s="359" t="s">
        <v>2046</v>
      </c>
      <c r="C90" s="360" t="s">
        <v>203</v>
      </c>
      <c r="D90" s="361" t="s">
        <v>1253</v>
      </c>
      <c r="E90" s="432">
        <f t="shared" si="1"/>
        <v>4232373</v>
      </c>
      <c r="F90" s="402">
        <v>4232373</v>
      </c>
      <c r="G90" s="481"/>
      <c r="H90" s="392">
        <v>2709000</v>
      </c>
      <c r="I90" s="234"/>
    </row>
    <row r="91" spans="1:9" ht="24">
      <c r="A91" s="444">
        <v>7</v>
      </c>
      <c r="B91" s="359" t="s">
        <v>2047</v>
      </c>
      <c r="C91" s="360" t="s">
        <v>2048</v>
      </c>
      <c r="D91" s="361" t="s">
        <v>1253</v>
      </c>
      <c r="E91" s="432">
        <f t="shared" si="1"/>
        <v>1367000</v>
      </c>
      <c r="F91" s="403">
        <v>1367000</v>
      </c>
      <c r="G91" s="481"/>
      <c r="H91" s="392">
        <v>1367000</v>
      </c>
      <c r="I91" s="234"/>
    </row>
    <row r="92" spans="1:9" ht="25.5">
      <c r="A92" s="456" t="s">
        <v>1975</v>
      </c>
      <c r="B92" s="357" t="s">
        <v>204</v>
      </c>
      <c r="C92" s="356" t="s">
        <v>1283</v>
      </c>
      <c r="D92" s="358" t="s">
        <v>1253</v>
      </c>
      <c r="E92" s="433"/>
      <c r="F92" s="366"/>
      <c r="G92" s="366"/>
      <c r="H92" s="458"/>
      <c r="I92" s="234"/>
    </row>
    <row r="93" spans="1:9" ht="24">
      <c r="A93" s="444" t="s">
        <v>1978</v>
      </c>
      <c r="B93" s="359" t="s">
        <v>2049</v>
      </c>
      <c r="C93" s="360" t="s">
        <v>2050</v>
      </c>
      <c r="D93" s="361" t="s">
        <v>1253</v>
      </c>
      <c r="E93" s="432">
        <f t="shared" si="1"/>
        <v>0</v>
      </c>
      <c r="F93" s="402"/>
      <c r="G93" s="481"/>
      <c r="H93" s="459"/>
      <c r="I93" s="234"/>
    </row>
    <row r="94" spans="1:9" ht="25.5">
      <c r="A94" s="456" t="s">
        <v>1975</v>
      </c>
      <c r="B94" s="357" t="s">
        <v>205</v>
      </c>
      <c r="C94" s="356" t="s">
        <v>1284</v>
      </c>
      <c r="D94" s="358" t="s">
        <v>1253</v>
      </c>
      <c r="E94" s="433"/>
      <c r="F94" s="366"/>
      <c r="G94" s="366"/>
      <c r="H94" s="458"/>
      <c r="I94" s="234"/>
    </row>
    <row r="95" spans="1:9" ht="24">
      <c r="A95" s="444" t="s">
        <v>1978</v>
      </c>
      <c r="B95" s="359" t="s">
        <v>2051</v>
      </c>
      <c r="C95" s="360" t="s">
        <v>2052</v>
      </c>
      <c r="D95" s="361" t="s">
        <v>1253</v>
      </c>
      <c r="E95" s="432">
        <f t="shared" si="1"/>
        <v>0</v>
      </c>
      <c r="F95" s="402"/>
      <c r="G95" s="481"/>
      <c r="H95" s="459"/>
      <c r="I95" s="234"/>
    </row>
    <row r="96" spans="1:9">
      <c r="A96" s="456" t="s">
        <v>1975</v>
      </c>
      <c r="B96" s="357" t="s">
        <v>206</v>
      </c>
      <c r="C96" s="356" t="s">
        <v>1285</v>
      </c>
      <c r="D96" s="358" t="s">
        <v>1253</v>
      </c>
      <c r="E96" s="433"/>
      <c r="F96" s="366"/>
      <c r="G96" s="366"/>
      <c r="H96" s="458"/>
      <c r="I96" s="234"/>
    </row>
    <row r="97" spans="1:9">
      <c r="A97" s="444" t="s">
        <v>1978</v>
      </c>
      <c r="B97" s="359" t="s">
        <v>2053</v>
      </c>
      <c r="C97" s="360" t="s">
        <v>2054</v>
      </c>
      <c r="D97" s="361" t="s">
        <v>1253</v>
      </c>
      <c r="E97" s="432">
        <f t="shared" si="1"/>
        <v>910138</v>
      </c>
      <c r="F97" s="402">
        <v>910138</v>
      </c>
      <c r="G97" s="481"/>
      <c r="H97" s="392">
        <v>1061241</v>
      </c>
      <c r="I97" s="234"/>
    </row>
    <row r="98" spans="1:9" ht="25.5">
      <c r="A98" s="456" t="s">
        <v>1975</v>
      </c>
      <c r="B98" s="357" t="s">
        <v>207</v>
      </c>
      <c r="C98" s="356" t="s">
        <v>1286</v>
      </c>
      <c r="D98" s="358" t="s">
        <v>1253</v>
      </c>
      <c r="E98" s="433"/>
      <c r="F98" s="366"/>
      <c r="G98" s="366"/>
      <c r="H98" s="458"/>
      <c r="I98" s="234"/>
    </row>
    <row r="99" spans="1:9" ht="24">
      <c r="A99" s="444" t="s">
        <v>1978</v>
      </c>
      <c r="B99" s="359" t="s">
        <v>2055</v>
      </c>
      <c r="C99" s="360" t="s">
        <v>2056</v>
      </c>
      <c r="D99" s="361" t="s">
        <v>1253</v>
      </c>
      <c r="E99" s="432">
        <f t="shared" si="1"/>
        <v>0</v>
      </c>
      <c r="F99" s="402"/>
      <c r="G99" s="481"/>
      <c r="H99" s="459"/>
      <c r="I99" s="234"/>
    </row>
    <row r="100" spans="1:9" ht="25.5">
      <c r="A100" s="456" t="s">
        <v>1975</v>
      </c>
      <c r="B100" s="357" t="s">
        <v>208</v>
      </c>
      <c r="C100" s="356" t="s">
        <v>1287</v>
      </c>
      <c r="D100" s="358" t="s">
        <v>1253</v>
      </c>
      <c r="E100" s="433"/>
      <c r="F100" s="366"/>
      <c r="G100" s="366"/>
      <c r="H100" s="458"/>
      <c r="I100" s="234"/>
    </row>
    <row r="101" spans="1:9" ht="24">
      <c r="A101" s="444" t="s">
        <v>1978</v>
      </c>
      <c r="B101" s="359" t="s">
        <v>2057</v>
      </c>
      <c r="C101" s="360" t="s">
        <v>2058</v>
      </c>
      <c r="D101" s="361" t="s">
        <v>1253</v>
      </c>
      <c r="E101" s="432">
        <f t="shared" si="1"/>
        <v>0</v>
      </c>
      <c r="F101" s="402"/>
      <c r="G101" s="481"/>
      <c r="H101" s="459"/>
      <c r="I101" s="234"/>
    </row>
    <row r="102" spans="1:9">
      <c r="A102" s="456" t="s">
        <v>1975</v>
      </c>
      <c r="B102" s="357" t="s">
        <v>209</v>
      </c>
      <c r="C102" s="356" t="s">
        <v>1288</v>
      </c>
      <c r="D102" s="358" t="s">
        <v>1253</v>
      </c>
      <c r="E102" s="433"/>
      <c r="F102" s="366"/>
      <c r="G102" s="366"/>
      <c r="H102" s="458"/>
      <c r="I102" s="234"/>
    </row>
    <row r="103" spans="1:9">
      <c r="A103" s="444" t="s">
        <v>1978</v>
      </c>
      <c r="B103" s="359" t="s">
        <v>2059</v>
      </c>
      <c r="C103" s="360" t="s">
        <v>2060</v>
      </c>
      <c r="D103" s="361" t="s">
        <v>1253</v>
      </c>
      <c r="E103" s="432">
        <f t="shared" si="1"/>
        <v>0</v>
      </c>
      <c r="F103" s="402"/>
      <c r="G103" s="481"/>
      <c r="H103" s="459"/>
      <c r="I103" s="234"/>
    </row>
    <row r="104" spans="1:9" ht="25.5">
      <c r="A104" s="456" t="s">
        <v>1975</v>
      </c>
      <c r="B104" s="357" t="s">
        <v>210</v>
      </c>
      <c r="C104" s="356" t="s">
        <v>1289</v>
      </c>
      <c r="D104" s="358" t="s">
        <v>1253</v>
      </c>
      <c r="E104" s="433"/>
      <c r="F104" s="366"/>
      <c r="G104" s="366"/>
      <c r="H104" s="458"/>
      <c r="I104" s="234"/>
    </row>
    <row r="105" spans="1:9" ht="24">
      <c r="A105" s="444" t="s">
        <v>1978</v>
      </c>
      <c r="B105" s="359" t="s">
        <v>2061</v>
      </c>
      <c r="C105" s="360" t="s">
        <v>2062</v>
      </c>
      <c r="D105" s="361" t="s">
        <v>1253</v>
      </c>
      <c r="E105" s="432">
        <f t="shared" si="1"/>
        <v>0</v>
      </c>
      <c r="F105" s="402"/>
      <c r="G105" s="481"/>
      <c r="H105" s="459"/>
      <c r="I105" s="234"/>
    </row>
    <row r="106" spans="1:9">
      <c r="A106" s="456" t="s">
        <v>1975</v>
      </c>
      <c r="B106" s="357" t="s">
        <v>211</v>
      </c>
      <c r="C106" s="356" t="s">
        <v>1290</v>
      </c>
      <c r="D106" s="358" t="s">
        <v>1253</v>
      </c>
      <c r="E106" s="433"/>
      <c r="F106" s="366"/>
      <c r="G106" s="366"/>
      <c r="H106" s="458"/>
      <c r="I106" s="234"/>
    </row>
    <row r="107" spans="1:9" ht="24">
      <c r="A107" s="444" t="s">
        <v>1978</v>
      </c>
      <c r="B107" s="359" t="s">
        <v>2063</v>
      </c>
      <c r="C107" s="360" t="s">
        <v>2064</v>
      </c>
      <c r="D107" s="361" t="s">
        <v>1253</v>
      </c>
      <c r="E107" s="432">
        <f t="shared" si="1"/>
        <v>0</v>
      </c>
      <c r="F107" s="402"/>
      <c r="G107" s="481"/>
      <c r="H107" s="459"/>
      <c r="I107" s="234"/>
    </row>
    <row r="108" spans="1:9">
      <c r="A108" s="456" t="s">
        <v>1975</v>
      </c>
      <c r="B108" s="357" t="s">
        <v>212</v>
      </c>
      <c r="C108" s="356" t="s">
        <v>1291</v>
      </c>
      <c r="D108" s="358" t="s">
        <v>1253</v>
      </c>
      <c r="E108" s="433"/>
      <c r="F108" s="366"/>
      <c r="G108" s="366"/>
      <c r="H108" s="458"/>
      <c r="I108" s="234"/>
    </row>
    <row r="109" spans="1:9" ht="24">
      <c r="A109" s="444" t="s">
        <v>1978</v>
      </c>
      <c r="B109" s="359" t="s">
        <v>2065</v>
      </c>
      <c r="C109" s="360" t="s">
        <v>2066</v>
      </c>
      <c r="D109" s="361" t="s">
        <v>1253</v>
      </c>
      <c r="E109" s="432">
        <f t="shared" si="1"/>
        <v>0</v>
      </c>
      <c r="F109" s="402"/>
      <c r="G109" s="481"/>
      <c r="H109" s="459"/>
      <c r="I109" s="234"/>
    </row>
    <row r="110" spans="1:9" ht="25.5">
      <c r="A110" s="456" t="s">
        <v>1975</v>
      </c>
      <c r="B110" s="357" t="s">
        <v>213</v>
      </c>
      <c r="C110" s="356" t="s">
        <v>1292</v>
      </c>
      <c r="D110" s="358" t="s">
        <v>1253</v>
      </c>
      <c r="E110" s="433"/>
      <c r="F110" s="366"/>
      <c r="G110" s="366"/>
      <c r="H110" s="458"/>
      <c r="I110" s="234"/>
    </row>
    <row r="111" spans="1:9" ht="24">
      <c r="A111" s="444" t="s">
        <v>1978</v>
      </c>
      <c r="B111" s="359" t="s">
        <v>2067</v>
      </c>
      <c r="C111" s="360" t="s">
        <v>2068</v>
      </c>
      <c r="D111" s="361" t="s">
        <v>1253</v>
      </c>
      <c r="E111" s="432">
        <f t="shared" si="1"/>
        <v>0</v>
      </c>
      <c r="F111" s="402"/>
      <c r="G111" s="481"/>
      <c r="H111" s="459"/>
      <c r="I111" s="234"/>
    </row>
    <row r="112" spans="1:9" ht="25.5">
      <c r="A112" s="456" t="s">
        <v>1975</v>
      </c>
      <c r="B112" s="357" t="s">
        <v>214</v>
      </c>
      <c r="C112" s="356" t="s">
        <v>1293</v>
      </c>
      <c r="D112" s="358" t="s">
        <v>1253</v>
      </c>
      <c r="E112" s="433"/>
      <c r="F112" s="366"/>
      <c r="G112" s="366"/>
      <c r="H112" s="458"/>
      <c r="I112" s="234"/>
    </row>
    <row r="113" spans="1:9" ht="24">
      <c r="A113" s="444" t="s">
        <v>1978</v>
      </c>
      <c r="B113" s="359" t="s">
        <v>2069</v>
      </c>
      <c r="C113" s="360" t="s">
        <v>2070</v>
      </c>
      <c r="D113" s="361" t="s">
        <v>1253</v>
      </c>
      <c r="E113" s="432">
        <f t="shared" si="1"/>
        <v>0</v>
      </c>
      <c r="F113" s="402"/>
      <c r="G113" s="481"/>
      <c r="H113" s="459"/>
      <c r="I113" s="234"/>
    </row>
    <row r="114" spans="1:9" ht="25.5">
      <c r="A114" s="456" t="s">
        <v>1975</v>
      </c>
      <c r="B114" s="357" t="s">
        <v>215</v>
      </c>
      <c r="C114" s="356" t="s">
        <v>1294</v>
      </c>
      <c r="D114" s="358" t="s">
        <v>1253</v>
      </c>
      <c r="E114" s="433"/>
      <c r="F114" s="366"/>
      <c r="G114" s="366"/>
      <c r="H114" s="458"/>
      <c r="I114" s="234"/>
    </row>
    <row r="115" spans="1:9" ht="24">
      <c r="A115" s="444" t="s">
        <v>1978</v>
      </c>
      <c r="B115" s="359" t="s">
        <v>2071</v>
      </c>
      <c r="C115" s="360" t="s">
        <v>2072</v>
      </c>
      <c r="D115" s="361" t="s">
        <v>1253</v>
      </c>
      <c r="E115" s="432">
        <f t="shared" si="1"/>
        <v>0</v>
      </c>
      <c r="F115" s="402"/>
      <c r="G115" s="481"/>
      <c r="H115" s="459"/>
      <c r="I115" s="234"/>
    </row>
    <row r="116" spans="1:9" ht="25.5">
      <c r="A116" s="456" t="s">
        <v>1975</v>
      </c>
      <c r="B116" s="357" t="s">
        <v>216</v>
      </c>
      <c r="C116" s="356" t="s">
        <v>1295</v>
      </c>
      <c r="D116" s="358" t="s">
        <v>1253</v>
      </c>
      <c r="E116" s="433"/>
      <c r="F116" s="366"/>
      <c r="G116" s="366"/>
      <c r="H116" s="458"/>
      <c r="I116" s="234"/>
    </row>
    <row r="117" spans="1:9">
      <c r="A117" s="444">
        <v>7</v>
      </c>
      <c r="B117" s="359" t="s">
        <v>2073</v>
      </c>
      <c r="C117" s="360" t="s">
        <v>2074</v>
      </c>
      <c r="D117" s="361" t="s">
        <v>1253</v>
      </c>
      <c r="E117" s="432">
        <f t="shared" si="1"/>
        <v>0</v>
      </c>
      <c r="F117" s="402"/>
      <c r="G117" s="481"/>
      <c r="H117" s="459"/>
      <c r="I117" s="234"/>
    </row>
    <row r="118" spans="1:9" ht="24">
      <c r="A118" s="444">
        <v>7</v>
      </c>
      <c r="B118" s="359" t="s">
        <v>2075</v>
      </c>
      <c r="C118" s="360" t="s">
        <v>2076</v>
      </c>
      <c r="D118" s="361" t="s">
        <v>1253</v>
      </c>
      <c r="E118" s="432">
        <f t="shared" si="1"/>
        <v>0</v>
      </c>
      <c r="F118" s="402"/>
      <c r="G118" s="481"/>
      <c r="H118" s="459"/>
      <c r="I118" s="234"/>
    </row>
    <row r="119" spans="1:9" ht="25.5">
      <c r="A119" s="456" t="s">
        <v>1973</v>
      </c>
      <c r="B119" s="357" t="s">
        <v>218</v>
      </c>
      <c r="C119" s="356" t="s">
        <v>2077</v>
      </c>
      <c r="D119" s="358"/>
      <c r="E119" s="433"/>
      <c r="F119" s="366"/>
      <c r="G119" s="366"/>
      <c r="H119" s="458"/>
      <c r="I119" s="234"/>
    </row>
    <row r="120" spans="1:9" ht="24">
      <c r="A120" s="444" t="s">
        <v>1975</v>
      </c>
      <c r="B120" s="359" t="s">
        <v>2078</v>
      </c>
      <c r="C120" s="360" t="s">
        <v>217</v>
      </c>
      <c r="D120" s="361"/>
      <c r="E120" s="432">
        <f t="shared" si="1"/>
        <v>35000</v>
      </c>
      <c r="F120" s="402">
        <v>35000</v>
      </c>
      <c r="G120" s="481"/>
      <c r="H120" s="392">
        <v>35000</v>
      </c>
      <c r="I120" s="234"/>
    </row>
    <row r="121" spans="1:9" ht="38.25">
      <c r="A121" s="456" t="s">
        <v>1973</v>
      </c>
      <c r="B121" s="357" t="s">
        <v>219</v>
      </c>
      <c r="C121" s="356" t="s">
        <v>1297</v>
      </c>
      <c r="D121" s="358"/>
      <c r="E121" s="433"/>
      <c r="F121" s="366"/>
      <c r="G121" s="366"/>
      <c r="H121" s="458"/>
      <c r="I121" s="234"/>
    </row>
    <row r="122" spans="1:9">
      <c r="A122" s="456" t="s">
        <v>1975</v>
      </c>
      <c r="B122" s="357" t="s">
        <v>220</v>
      </c>
      <c r="C122" s="356" t="s">
        <v>1299</v>
      </c>
      <c r="D122" s="358"/>
      <c r="E122" s="433"/>
      <c r="F122" s="366"/>
      <c r="G122" s="366"/>
      <c r="H122" s="458"/>
      <c r="I122" s="234"/>
    </row>
    <row r="123" spans="1:9" ht="24">
      <c r="A123" s="444">
        <v>7</v>
      </c>
      <c r="B123" s="359" t="s">
        <v>2079</v>
      </c>
      <c r="C123" s="360" t="s">
        <v>221</v>
      </c>
      <c r="D123" s="361"/>
      <c r="E123" s="432">
        <f t="shared" si="1"/>
        <v>2681665</v>
      </c>
      <c r="F123" s="402">
        <v>2681665</v>
      </c>
      <c r="G123" s="481"/>
      <c r="H123" s="392">
        <v>2681665</v>
      </c>
      <c r="I123" s="234"/>
    </row>
    <row r="124" spans="1:9">
      <c r="A124" s="456" t="s">
        <v>1975</v>
      </c>
      <c r="B124" s="357" t="s">
        <v>223</v>
      </c>
      <c r="C124" s="356" t="s">
        <v>1300</v>
      </c>
      <c r="D124" s="358"/>
      <c r="E124" s="433"/>
      <c r="F124" s="366"/>
      <c r="G124" s="366"/>
      <c r="H124" s="458"/>
      <c r="I124" s="234"/>
    </row>
    <row r="125" spans="1:9" ht="24">
      <c r="A125" s="444">
        <v>7</v>
      </c>
      <c r="B125" s="359" t="s">
        <v>2080</v>
      </c>
      <c r="C125" s="360" t="s">
        <v>224</v>
      </c>
      <c r="D125" s="361"/>
      <c r="E125" s="432">
        <f t="shared" si="1"/>
        <v>1039893</v>
      </c>
      <c r="F125" s="402">
        <v>1039893</v>
      </c>
      <c r="G125" s="481"/>
      <c r="H125" s="392">
        <v>1039893</v>
      </c>
      <c r="I125" s="234"/>
    </row>
    <row r="126" spans="1:9" ht="25.5">
      <c r="A126" s="456" t="s">
        <v>1975</v>
      </c>
      <c r="B126" s="357" t="s">
        <v>225</v>
      </c>
      <c r="C126" s="356" t="s">
        <v>1301</v>
      </c>
      <c r="D126" s="358"/>
      <c r="E126" s="433"/>
      <c r="F126" s="366"/>
      <c r="G126" s="366"/>
      <c r="H126" s="458"/>
      <c r="I126" s="234"/>
    </row>
    <row r="127" spans="1:9" ht="24">
      <c r="A127" s="444" t="s">
        <v>1978</v>
      </c>
      <c r="B127" s="359" t="s">
        <v>2081</v>
      </c>
      <c r="C127" s="360" t="s">
        <v>2082</v>
      </c>
      <c r="D127" s="361"/>
      <c r="E127" s="432">
        <f t="shared" si="1"/>
        <v>0</v>
      </c>
      <c r="F127" s="402"/>
      <c r="G127" s="481"/>
      <c r="H127" s="459"/>
      <c r="I127" s="234"/>
    </row>
    <row r="128" spans="1:9" ht="25.5">
      <c r="A128" s="456" t="s">
        <v>1975</v>
      </c>
      <c r="B128" s="357" t="s">
        <v>226</v>
      </c>
      <c r="C128" s="356" t="s">
        <v>1303</v>
      </c>
      <c r="D128" s="358"/>
      <c r="E128" s="433"/>
      <c r="F128" s="366"/>
      <c r="G128" s="366"/>
      <c r="H128" s="458"/>
      <c r="I128" s="234"/>
    </row>
    <row r="129" spans="1:9" ht="24">
      <c r="A129" s="444" t="s">
        <v>1978</v>
      </c>
      <c r="B129" s="359" t="s">
        <v>2083</v>
      </c>
      <c r="C129" s="360" t="s">
        <v>2084</v>
      </c>
      <c r="D129" s="361"/>
      <c r="E129" s="432">
        <f t="shared" si="1"/>
        <v>0</v>
      </c>
      <c r="F129" s="402"/>
      <c r="G129" s="481"/>
      <c r="H129" s="459"/>
      <c r="I129" s="234"/>
    </row>
    <row r="130" spans="1:9">
      <c r="A130" s="456" t="s">
        <v>1975</v>
      </c>
      <c r="B130" s="357" t="s">
        <v>227</v>
      </c>
      <c r="C130" s="356" t="s">
        <v>1304</v>
      </c>
      <c r="D130" s="358"/>
      <c r="E130" s="433"/>
      <c r="F130" s="366"/>
      <c r="G130" s="366"/>
      <c r="H130" s="458"/>
      <c r="I130" s="234"/>
    </row>
    <row r="131" spans="1:9">
      <c r="A131" s="444" t="s">
        <v>1978</v>
      </c>
      <c r="B131" s="359" t="s">
        <v>2085</v>
      </c>
      <c r="C131" s="360" t="s">
        <v>2086</v>
      </c>
      <c r="D131" s="361"/>
      <c r="E131" s="432">
        <f t="shared" si="1"/>
        <v>1110217</v>
      </c>
      <c r="F131" s="402">
        <v>1110217</v>
      </c>
      <c r="G131" s="481"/>
      <c r="H131" s="392">
        <v>1110217</v>
      </c>
      <c r="I131" s="234"/>
    </row>
    <row r="132" spans="1:9" ht="25.5">
      <c r="A132" s="456" t="s">
        <v>1975</v>
      </c>
      <c r="B132" s="357" t="s">
        <v>229</v>
      </c>
      <c r="C132" s="356" t="s">
        <v>1305</v>
      </c>
      <c r="D132" s="358"/>
      <c r="E132" s="433"/>
      <c r="F132" s="366"/>
      <c r="G132" s="366"/>
      <c r="H132" s="458"/>
      <c r="I132" s="234"/>
    </row>
    <row r="133" spans="1:9" ht="24">
      <c r="A133" s="444" t="s">
        <v>1978</v>
      </c>
      <c r="B133" s="359" t="s">
        <v>2087</v>
      </c>
      <c r="C133" s="360" t="s">
        <v>228</v>
      </c>
      <c r="D133" s="361"/>
      <c r="E133" s="432">
        <f t="shared" si="1"/>
        <v>203475</v>
      </c>
      <c r="F133" s="402">
        <v>203475</v>
      </c>
      <c r="G133" s="481"/>
      <c r="H133" s="392">
        <v>203475</v>
      </c>
      <c r="I133" s="234"/>
    </row>
    <row r="134" spans="1:9" ht="25.5">
      <c r="A134" s="456" t="s">
        <v>1975</v>
      </c>
      <c r="B134" s="357" t="s">
        <v>231</v>
      </c>
      <c r="C134" s="356" t="s">
        <v>1306</v>
      </c>
      <c r="D134" s="358"/>
      <c r="E134" s="433"/>
      <c r="F134" s="366"/>
      <c r="G134" s="366"/>
      <c r="H134" s="458"/>
      <c r="I134" s="234"/>
    </row>
    <row r="135" spans="1:9" ht="24">
      <c r="A135" s="444" t="s">
        <v>1978</v>
      </c>
      <c r="B135" s="359" t="s">
        <v>2088</v>
      </c>
      <c r="C135" s="360" t="s">
        <v>230</v>
      </c>
      <c r="D135" s="361"/>
      <c r="E135" s="432">
        <f t="shared" si="1"/>
        <v>718944</v>
      </c>
      <c r="F135" s="402">
        <v>718944</v>
      </c>
      <c r="G135" s="481"/>
      <c r="H135" s="392">
        <v>718944</v>
      </c>
      <c r="I135" s="234"/>
    </row>
    <row r="136" spans="1:9">
      <c r="A136" s="456" t="s">
        <v>1975</v>
      </c>
      <c r="B136" s="357" t="s">
        <v>233</v>
      </c>
      <c r="C136" s="356" t="s">
        <v>1307</v>
      </c>
      <c r="D136" s="358"/>
      <c r="E136" s="433"/>
      <c r="F136" s="366"/>
      <c r="G136" s="366"/>
      <c r="H136" s="458"/>
      <c r="I136" s="234"/>
    </row>
    <row r="137" spans="1:9">
      <c r="A137" s="444" t="s">
        <v>1978</v>
      </c>
      <c r="B137" s="359" t="s">
        <v>2089</v>
      </c>
      <c r="C137" s="360" t="s">
        <v>232</v>
      </c>
      <c r="D137" s="361"/>
      <c r="E137" s="432">
        <f t="shared" ref="E137:E198" si="2">+F137+G137</f>
        <v>3366</v>
      </c>
      <c r="F137" s="402">
        <v>3366</v>
      </c>
      <c r="G137" s="481"/>
      <c r="H137" s="392">
        <v>3366</v>
      </c>
      <c r="I137" s="234"/>
    </row>
    <row r="138" spans="1:9" ht="25.5">
      <c r="A138" s="456" t="s">
        <v>1975</v>
      </c>
      <c r="B138" s="357" t="s">
        <v>235</v>
      </c>
      <c r="C138" s="356" t="s">
        <v>1308</v>
      </c>
      <c r="D138" s="358"/>
      <c r="E138" s="433"/>
      <c r="F138" s="366"/>
      <c r="G138" s="366"/>
      <c r="H138" s="458"/>
      <c r="I138" s="234"/>
    </row>
    <row r="139" spans="1:9" ht="24">
      <c r="A139" s="444" t="s">
        <v>1978</v>
      </c>
      <c r="B139" s="359" t="s">
        <v>2090</v>
      </c>
      <c r="C139" s="360" t="s">
        <v>234</v>
      </c>
      <c r="D139" s="361"/>
      <c r="E139" s="432">
        <f t="shared" si="2"/>
        <v>0</v>
      </c>
      <c r="F139" s="402"/>
      <c r="G139" s="481"/>
      <c r="H139" s="459"/>
      <c r="I139" s="234"/>
    </row>
    <row r="140" spans="1:9" ht="25.5">
      <c r="A140" s="456" t="s">
        <v>1975</v>
      </c>
      <c r="B140" s="357" t="s">
        <v>237</v>
      </c>
      <c r="C140" s="356" t="s">
        <v>1309</v>
      </c>
      <c r="D140" s="358"/>
      <c r="E140" s="433"/>
      <c r="F140" s="366"/>
      <c r="G140" s="366"/>
      <c r="H140" s="458"/>
      <c r="I140" s="234"/>
    </row>
    <row r="141" spans="1:9" ht="24">
      <c r="A141" s="444" t="s">
        <v>1978</v>
      </c>
      <c r="B141" s="359" t="s">
        <v>2091</v>
      </c>
      <c r="C141" s="360" t="s">
        <v>236</v>
      </c>
      <c r="D141" s="361"/>
      <c r="E141" s="432">
        <f t="shared" si="2"/>
        <v>0</v>
      </c>
      <c r="F141" s="402"/>
      <c r="G141" s="481"/>
      <c r="H141" s="459"/>
      <c r="I141" s="234"/>
    </row>
    <row r="142" spans="1:9" ht="25.5">
      <c r="A142" s="456" t="s">
        <v>1975</v>
      </c>
      <c r="B142" s="357" t="s">
        <v>239</v>
      </c>
      <c r="C142" s="356" t="s">
        <v>1310</v>
      </c>
      <c r="D142" s="358"/>
      <c r="E142" s="433"/>
      <c r="F142" s="366"/>
      <c r="G142" s="366"/>
      <c r="H142" s="458"/>
      <c r="I142" s="234"/>
    </row>
    <row r="143" spans="1:9" ht="24">
      <c r="A143" s="444" t="s">
        <v>1978</v>
      </c>
      <c r="B143" s="359" t="s">
        <v>2092</v>
      </c>
      <c r="C143" s="360" t="s">
        <v>238</v>
      </c>
      <c r="D143" s="361"/>
      <c r="E143" s="432">
        <f t="shared" si="2"/>
        <v>0</v>
      </c>
      <c r="F143" s="402"/>
      <c r="G143" s="481"/>
      <c r="H143" s="459"/>
      <c r="I143" s="234"/>
    </row>
    <row r="144" spans="1:9" ht="25.5">
      <c r="A144" s="456" t="s">
        <v>1975</v>
      </c>
      <c r="B144" s="357" t="s">
        <v>241</v>
      </c>
      <c r="C144" s="356" t="s">
        <v>1311</v>
      </c>
      <c r="D144" s="358"/>
      <c r="E144" s="433"/>
      <c r="F144" s="366"/>
      <c r="G144" s="366"/>
      <c r="H144" s="458"/>
      <c r="I144" s="234"/>
    </row>
    <row r="145" spans="1:9" ht="24">
      <c r="A145" s="444" t="s">
        <v>1978</v>
      </c>
      <c r="B145" s="359" t="s">
        <v>2093</v>
      </c>
      <c r="C145" s="360" t="s">
        <v>240</v>
      </c>
      <c r="D145" s="361"/>
      <c r="E145" s="432">
        <f t="shared" si="2"/>
        <v>0</v>
      </c>
      <c r="F145" s="402"/>
      <c r="G145" s="481"/>
      <c r="H145" s="459"/>
      <c r="I145" s="234"/>
    </row>
    <row r="146" spans="1:9" ht="25.5">
      <c r="A146" s="456" t="s">
        <v>1975</v>
      </c>
      <c r="B146" s="357" t="s">
        <v>242</v>
      </c>
      <c r="C146" s="356" t="s">
        <v>1312</v>
      </c>
      <c r="D146" s="358"/>
      <c r="E146" s="433"/>
      <c r="F146" s="366"/>
      <c r="G146" s="366"/>
      <c r="H146" s="458"/>
      <c r="I146" s="234"/>
    </row>
    <row r="147" spans="1:9">
      <c r="A147" s="444" t="s">
        <v>2094</v>
      </c>
      <c r="B147" s="359" t="s">
        <v>2095</v>
      </c>
      <c r="C147" s="360" t="s">
        <v>243</v>
      </c>
      <c r="D147" s="361"/>
      <c r="E147" s="432">
        <f t="shared" si="2"/>
        <v>0</v>
      </c>
      <c r="F147" s="402"/>
      <c r="G147" s="481"/>
      <c r="H147" s="459"/>
      <c r="I147" s="234"/>
    </row>
    <row r="148" spans="1:9" ht="38.25">
      <c r="A148" s="456" t="s">
        <v>1975</v>
      </c>
      <c r="B148" s="357" t="s">
        <v>245</v>
      </c>
      <c r="C148" s="356" t="s">
        <v>1313</v>
      </c>
      <c r="D148" s="358"/>
      <c r="E148" s="433"/>
      <c r="F148" s="366"/>
      <c r="G148" s="366"/>
      <c r="H148" s="458"/>
      <c r="I148" s="234"/>
    </row>
    <row r="149" spans="1:9" ht="24">
      <c r="A149" s="444" t="s">
        <v>2094</v>
      </c>
      <c r="B149" s="359" t="s">
        <v>2096</v>
      </c>
      <c r="C149" s="360" t="s">
        <v>244</v>
      </c>
      <c r="D149" s="361"/>
      <c r="E149" s="432">
        <f t="shared" si="2"/>
        <v>0</v>
      </c>
      <c r="F149" s="402"/>
      <c r="G149" s="481"/>
      <c r="H149" s="459"/>
      <c r="I149" s="234"/>
    </row>
    <row r="150" spans="1:9" ht="38.25">
      <c r="A150" s="456" t="s">
        <v>1975</v>
      </c>
      <c r="B150" s="357" t="s">
        <v>246</v>
      </c>
      <c r="C150" s="356" t="s">
        <v>1314</v>
      </c>
      <c r="D150" s="358"/>
      <c r="E150" s="433"/>
      <c r="F150" s="366"/>
      <c r="G150" s="366"/>
      <c r="H150" s="458"/>
      <c r="I150" s="234"/>
    </row>
    <row r="151" spans="1:9" ht="25.5">
      <c r="A151" s="456" t="s">
        <v>1978</v>
      </c>
      <c r="B151" s="357" t="s">
        <v>248</v>
      </c>
      <c r="C151" s="356" t="s">
        <v>1315</v>
      </c>
      <c r="D151" s="358"/>
      <c r="E151" s="433"/>
      <c r="F151" s="366"/>
      <c r="G151" s="366"/>
      <c r="H151" s="458"/>
      <c r="I151" s="234"/>
    </row>
    <row r="152" spans="1:9" ht="24">
      <c r="A152" s="444" t="s">
        <v>2094</v>
      </c>
      <c r="B152" s="359" t="s">
        <v>2097</v>
      </c>
      <c r="C152" s="360" t="s">
        <v>247</v>
      </c>
      <c r="D152" s="361"/>
      <c r="E152" s="432">
        <f t="shared" si="2"/>
        <v>0</v>
      </c>
      <c r="F152" s="402"/>
      <c r="G152" s="481"/>
      <c r="H152" s="459"/>
      <c r="I152" s="234"/>
    </row>
    <row r="153" spans="1:9" ht="38.25">
      <c r="A153" s="456" t="s">
        <v>1978</v>
      </c>
      <c r="B153" s="357" t="s">
        <v>250</v>
      </c>
      <c r="C153" s="356" t="s">
        <v>1316</v>
      </c>
      <c r="D153" s="358"/>
      <c r="E153" s="433"/>
      <c r="F153" s="366"/>
      <c r="G153" s="366"/>
      <c r="H153" s="458"/>
      <c r="I153" s="234"/>
    </row>
    <row r="154" spans="1:9">
      <c r="A154" s="444">
        <v>8</v>
      </c>
      <c r="B154" s="359" t="s">
        <v>2098</v>
      </c>
      <c r="C154" s="360" t="s">
        <v>2099</v>
      </c>
      <c r="D154" s="361"/>
      <c r="E154" s="432">
        <f t="shared" si="2"/>
        <v>0</v>
      </c>
      <c r="F154" s="402"/>
      <c r="G154" s="481"/>
      <c r="H154" s="459"/>
      <c r="I154" s="234"/>
    </row>
    <row r="155" spans="1:9" ht="24">
      <c r="A155" s="444">
        <v>8</v>
      </c>
      <c r="B155" s="359" t="s">
        <v>2100</v>
      </c>
      <c r="C155" s="360" t="s">
        <v>2101</v>
      </c>
      <c r="D155" s="361"/>
      <c r="E155" s="432">
        <f t="shared" si="2"/>
        <v>0</v>
      </c>
      <c r="F155" s="402"/>
      <c r="G155" s="481"/>
      <c r="H155" s="459"/>
      <c r="I155" s="234"/>
    </row>
    <row r="156" spans="1:9" ht="24">
      <c r="A156" s="444">
        <v>8</v>
      </c>
      <c r="B156" s="362" t="s">
        <v>2102</v>
      </c>
      <c r="C156" s="360" t="s">
        <v>2103</v>
      </c>
      <c r="D156" s="361"/>
      <c r="E156" s="432">
        <f t="shared" si="2"/>
        <v>0</v>
      </c>
      <c r="F156" s="402"/>
      <c r="G156" s="481"/>
      <c r="H156" s="459"/>
      <c r="I156" s="234"/>
    </row>
    <row r="157" spans="1:9" ht="24">
      <c r="A157" s="444">
        <v>8</v>
      </c>
      <c r="B157" s="359" t="s">
        <v>2104</v>
      </c>
      <c r="C157" s="360" t="s">
        <v>249</v>
      </c>
      <c r="D157" s="361"/>
      <c r="E157" s="432">
        <f t="shared" si="2"/>
        <v>50000</v>
      </c>
      <c r="F157" s="402">
        <v>50000</v>
      </c>
      <c r="G157" s="481"/>
      <c r="H157" s="392">
        <v>50000</v>
      </c>
      <c r="I157" s="234"/>
    </row>
    <row r="158" spans="1:9" ht="25.5">
      <c r="A158" s="456" t="s">
        <v>1975</v>
      </c>
      <c r="B158" s="357" t="s">
        <v>252</v>
      </c>
      <c r="C158" s="356" t="s">
        <v>1317</v>
      </c>
      <c r="D158" s="358"/>
      <c r="E158" s="433"/>
      <c r="F158" s="366"/>
      <c r="G158" s="366"/>
      <c r="H158" s="458"/>
      <c r="I158" s="234"/>
    </row>
    <row r="159" spans="1:9" ht="24">
      <c r="A159" s="444" t="s">
        <v>1978</v>
      </c>
      <c r="B159" s="359" t="s">
        <v>2105</v>
      </c>
      <c r="C159" s="360" t="s">
        <v>251</v>
      </c>
      <c r="D159" s="361"/>
      <c r="E159" s="432">
        <f t="shared" si="2"/>
        <v>1180101</v>
      </c>
      <c r="F159" s="402">
        <v>1180101</v>
      </c>
      <c r="G159" s="481"/>
      <c r="H159" s="392">
        <v>1180101</v>
      </c>
      <c r="I159" s="234"/>
    </row>
    <row r="160" spans="1:9" ht="38.25">
      <c r="A160" s="456" t="s">
        <v>1975</v>
      </c>
      <c r="B160" s="357" t="s">
        <v>254</v>
      </c>
      <c r="C160" s="356" t="s">
        <v>1318</v>
      </c>
      <c r="D160" s="358"/>
      <c r="E160" s="433"/>
      <c r="F160" s="366"/>
      <c r="G160" s="366"/>
      <c r="H160" s="458"/>
      <c r="I160" s="234"/>
    </row>
    <row r="161" spans="1:9" ht="24">
      <c r="A161" s="444" t="s">
        <v>1978</v>
      </c>
      <c r="B161" s="359" t="s">
        <v>2106</v>
      </c>
      <c r="C161" s="360" t="s">
        <v>253</v>
      </c>
      <c r="D161" s="361"/>
      <c r="E161" s="432">
        <f t="shared" si="2"/>
        <v>0</v>
      </c>
      <c r="F161" s="402"/>
      <c r="G161" s="481"/>
      <c r="H161" s="459"/>
      <c r="I161" s="234"/>
    </row>
    <row r="162" spans="1:9" ht="38.25">
      <c r="A162" s="456" t="s">
        <v>1975</v>
      </c>
      <c r="B162" s="357" t="s">
        <v>256</v>
      </c>
      <c r="C162" s="356" t="s">
        <v>1319</v>
      </c>
      <c r="D162" s="358"/>
      <c r="E162" s="433"/>
      <c r="F162" s="366"/>
      <c r="G162" s="366"/>
      <c r="H162" s="458"/>
      <c r="I162" s="234"/>
    </row>
    <row r="163" spans="1:9" ht="36">
      <c r="A163" s="444" t="s">
        <v>1978</v>
      </c>
      <c r="B163" s="359" t="s">
        <v>2107</v>
      </c>
      <c r="C163" s="360" t="s">
        <v>255</v>
      </c>
      <c r="D163" s="361"/>
      <c r="E163" s="432">
        <f t="shared" si="2"/>
        <v>0</v>
      </c>
      <c r="F163" s="403"/>
      <c r="G163" s="481"/>
      <c r="H163" s="459"/>
      <c r="I163" s="234"/>
    </row>
    <row r="164" spans="1:9" ht="38.25">
      <c r="A164" s="456" t="s">
        <v>1971</v>
      </c>
      <c r="B164" s="357" t="s">
        <v>257</v>
      </c>
      <c r="C164" s="356" t="s">
        <v>2108</v>
      </c>
      <c r="D164" s="358"/>
      <c r="E164" s="433"/>
      <c r="F164" s="366"/>
      <c r="G164" s="366"/>
      <c r="H164" s="458"/>
      <c r="I164" s="234"/>
    </row>
    <row r="165" spans="1:9" ht="25.5">
      <c r="A165" s="456" t="s">
        <v>1973</v>
      </c>
      <c r="B165" s="357" t="s">
        <v>259</v>
      </c>
      <c r="C165" s="356" t="s">
        <v>2109</v>
      </c>
      <c r="D165" s="358"/>
      <c r="E165" s="433"/>
      <c r="F165" s="366"/>
      <c r="G165" s="366"/>
      <c r="H165" s="458"/>
      <c r="I165" s="234"/>
    </row>
    <row r="166" spans="1:9" ht="24">
      <c r="A166" s="444" t="s">
        <v>1975</v>
      </c>
      <c r="B166" s="359" t="s">
        <v>2110</v>
      </c>
      <c r="C166" s="360" t="s">
        <v>258</v>
      </c>
      <c r="D166" s="361"/>
      <c r="E166" s="432">
        <f t="shared" si="2"/>
        <v>1031627</v>
      </c>
      <c r="F166" s="402">
        <v>1031627</v>
      </c>
      <c r="G166" s="481"/>
      <c r="H166" s="392">
        <v>1031627</v>
      </c>
      <c r="I166" s="234"/>
    </row>
    <row r="167" spans="1:9" ht="25.5">
      <c r="A167" s="456" t="s">
        <v>1973</v>
      </c>
      <c r="B167" s="357" t="s">
        <v>261</v>
      </c>
      <c r="C167" s="356" t="s">
        <v>2111</v>
      </c>
      <c r="D167" s="358"/>
      <c r="E167" s="433"/>
      <c r="F167" s="366"/>
      <c r="G167" s="366"/>
      <c r="H167" s="458"/>
      <c r="I167" s="234"/>
    </row>
    <row r="168" spans="1:9" ht="24">
      <c r="A168" s="444" t="s">
        <v>1975</v>
      </c>
      <c r="B168" s="359" t="s">
        <v>2112</v>
      </c>
      <c r="C168" s="360" t="s">
        <v>260</v>
      </c>
      <c r="D168" s="361"/>
      <c r="E168" s="432">
        <f t="shared" si="2"/>
        <v>0</v>
      </c>
      <c r="F168" s="403"/>
      <c r="G168" s="481"/>
      <c r="H168" s="392"/>
      <c r="I168" s="234"/>
    </row>
    <row r="169" spans="1:9" ht="38.25">
      <c r="A169" s="456" t="s">
        <v>1973</v>
      </c>
      <c r="B169" s="357" t="s">
        <v>262</v>
      </c>
      <c r="C169" s="356" t="s">
        <v>2113</v>
      </c>
      <c r="D169" s="358"/>
      <c r="E169" s="433"/>
      <c r="F169" s="366"/>
      <c r="G169" s="366"/>
      <c r="H169" s="458"/>
      <c r="I169" s="234"/>
    </row>
    <row r="170" spans="1:9" ht="24">
      <c r="A170" s="444" t="s">
        <v>1975</v>
      </c>
      <c r="B170" s="359" t="s">
        <v>2114</v>
      </c>
      <c r="C170" s="360" t="s">
        <v>2115</v>
      </c>
      <c r="D170" s="361"/>
      <c r="E170" s="432">
        <f t="shared" si="2"/>
        <v>0</v>
      </c>
      <c r="F170" s="402"/>
      <c r="G170" s="481"/>
      <c r="H170" s="459"/>
      <c r="I170" s="234"/>
    </row>
    <row r="171" spans="1:9" ht="25.5">
      <c r="A171" s="456" t="s">
        <v>1973</v>
      </c>
      <c r="B171" s="357" t="s">
        <v>264</v>
      </c>
      <c r="C171" s="356" t="s">
        <v>2116</v>
      </c>
      <c r="D171" s="358"/>
      <c r="E171" s="433"/>
      <c r="F171" s="366"/>
      <c r="G171" s="366"/>
      <c r="H171" s="458"/>
      <c r="I171" s="234"/>
    </row>
    <row r="172" spans="1:9" ht="24">
      <c r="A172" s="444" t="s">
        <v>1975</v>
      </c>
      <c r="B172" s="359" t="s">
        <v>2117</v>
      </c>
      <c r="C172" s="360" t="s">
        <v>263</v>
      </c>
      <c r="D172" s="361"/>
      <c r="E172" s="432">
        <f t="shared" si="2"/>
        <v>0</v>
      </c>
      <c r="F172" s="402"/>
      <c r="G172" s="481"/>
      <c r="H172" s="459"/>
      <c r="I172" s="234"/>
    </row>
    <row r="173" spans="1:9" ht="38.25">
      <c r="A173" s="456" t="s">
        <v>1973</v>
      </c>
      <c r="B173" s="357" t="s">
        <v>266</v>
      </c>
      <c r="C173" s="356" t="s">
        <v>1325</v>
      </c>
      <c r="D173" s="358"/>
      <c r="E173" s="433"/>
      <c r="F173" s="366"/>
      <c r="G173" s="366"/>
      <c r="H173" s="458"/>
      <c r="I173" s="234"/>
    </row>
    <row r="174" spans="1:9" ht="36">
      <c r="A174" s="444" t="s">
        <v>1975</v>
      </c>
      <c r="B174" s="359" t="s">
        <v>2118</v>
      </c>
      <c r="C174" s="360" t="s">
        <v>265</v>
      </c>
      <c r="D174" s="361"/>
      <c r="E174" s="432">
        <f t="shared" si="2"/>
        <v>0</v>
      </c>
      <c r="F174" s="402"/>
      <c r="G174" s="481"/>
      <c r="H174" s="459"/>
      <c r="I174" s="234"/>
    </row>
    <row r="175" spans="1:9" ht="25.5">
      <c r="A175" s="456" t="s">
        <v>1971</v>
      </c>
      <c r="B175" s="357" t="s">
        <v>267</v>
      </c>
      <c r="C175" s="356" t="s">
        <v>2119</v>
      </c>
      <c r="D175" s="358"/>
      <c r="E175" s="433"/>
      <c r="F175" s="366"/>
      <c r="G175" s="366"/>
      <c r="H175" s="458"/>
      <c r="I175" s="234"/>
    </row>
    <row r="176" spans="1:9">
      <c r="A176" s="460">
        <v>5</v>
      </c>
      <c r="B176" s="363" t="s">
        <v>2120</v>
      </c>
      <c r="C176" s="364" t="s">
        <v>268</v>
      </c>
      <c r="D176" s="365"/>
      <c r="E176" s="434"/>
      <c r="F176" s="404"/>
      <c r="G176" s="482"/>
      <c r="H176" s="461"/>
      <c r="I176" s="234"/>
    </row>
    <row r="177" spans="1:9">
      <c r="A177" s="444" t="s">
        <v>1975</v>
      </c>
      <c r="B177" s="359" t="s">
        <v>2121</v>
      </c>
      <c r="C177" s="360" t="s">
        <v>199</v>
      </c>
      <c r="D177" s="361"/>
      <c r="E177" s="432">
        <f t="shared" si="2"/>
        <v>138000</v>
      </c>
      <c r="F177" s="402">
        <v>138000</v>
      </c>
      <c r="G177" s="481"/>
      <c r="H177" s="392">
        <v>138000</v>
      </c>
      <c r="I177" s="234"/>
    </row>
    <row r="178" spans="1:9">
      <c r="A178" s="444" t="s">
        <v>1975</v>
      </c>
      <c r="B178" s="359" t="s">
        <v>2122</v>
      </c>
      <c r="C178" s="360" t="s">
        <v>269</v>
      </c>
      <c r="D178" s="361"/>
      <c r="E178" s="432">
        <f t="shared" si="2"/>
        <v>0</v>
      </c>
      <c r="F178" s="402"/>
      <c r="G178" s="481"/>
      <c r="H178" s="459"/>
      <c r="I178" s="234"/>
    </row>
    <row r="179" spans="1:9">
      <c r="A179" s="444" t="s">
        <v>1975</v>
      </c>
      <c r="B179" s="359" t="s">
        <v>2123</v>
      </c>
      <c r="C179" s="360" t="s">
        <v>270</v>
      </c>
      <c r="D179" s="361"/>
      <c r="E179" s="432">
        <f t="shared" si="2"/>
        <v>0</v>
      </c>
      <c r="F179" s="402"/>
      <c r="G179" s="481"/>
      <c r="H179" s="459"/>
      <c r="I179" s="234"/>
    </row>
    <row r="180" spans="1:9">
      <c r="A180" s="444" t="s">
        <v>1975</v>
      </c>
      <c r="B180" s="359" t="s">
        <v>2124</v>
      </c>
      <c r="C180" s="360" t="s">
        <v>222</v>
      </c>
      <c r="D180" s="361"/>
      <c r="E180" s="432">
        <f t="shared" si="2"/>
        <v>725000</v>
      </c>
      <c r="F180" s="402">
        <v>725000</v>
      </c>
      <c r="G180" s="481"/>
      <c r="H180" s="392">
        <v>725000</v>
      </c>
      <c r="I180" s="234"/>
    </row>
    <row r="181" spans="1:9">
      <c r="A181" s="444" t="s">
        <v>1975</v>
      </c>
      <c r="B181" s="359" t="s">
        <v>2125</v>
      </c>
      <c r="C181" s="360" t="s">
        <v>271</v>
      </c>
      <c r="D181" s="361"/>
      <c r="E181" s="432">
        <f t="shared" si="2"/>
        <v>33000</v>
      </c>
      <c r="F181" s="402">
        <v>33000</v>
      </c>
      <c r="G181" s="481"/>
      <c r="H181" s="392">
        <v>33000</v>
      </c>
      <c r="I181" s="234"/>
    </row>
    <row r="182" spans="1:9">
      <c r="A182" s="444" t="s">
        <v>1975</v>
      </c>
      <c r="B182" s="359" t="s">
        <v>2126</v>
      </c>
      <c r="C182" s="360" t="s">
        <v>272</v>
      </c>
      <c r="D182" s="361"/>
      <c r="E182" s="432">
        <f t="shared" si="2"/>
        <v>0</v>
      </c>
      <c r="F182" s="402"/>
      <c r="G182" s="481"/>
      <c r="H182" s="392"/>
      <c r="I182" s="234"/>
    </row>
    <row r="183" spans="1:9">
      <c r="A183" s="444" t="s">
        <v>1975</v>
      </c>
      <c r="B183" s="359" t="s">
        <v>2127</v>
      </c>
      <c r="C183" s="360" t="s">
        <v>273</v>
      </c>
      <c r="D183" s="361"/>
      <c r="E183" s="432">
        <f t="shared" si="2"/>
        <v>650000</v>
      </c>
      <c r="F183" s="402">
        <v>650000</v>
      </c>
      <c r="G183" s="481"/>
      <c r="H183" s="392">
        <v>650000</v>
      </c>
      <c r="I183" s="234"/>
    </row>
    <row r="184" spans="1:9">
      <c r="A184" s="460">
        <v>5</v>
      </c>
      <c r="B184" s="363" t="s">
        <v>2128</v>
      </c>
      <c r="C184" s="364" t="s">
        <v>274</v>
      </c>
      <c r="D184" s="365"/>
      <c r="E184" s="434"/>
      <c r="F184" s="404"/>
      <c r="G184" s="482"/>
      <c r="H184" s="461"/>
      <c r="I184" s="234"/>
    </row>
    <row r="185" spans="1:9">
      <c r="A185" s="444">
        <v>6</v>
      </c>
      <c r="B185" s="359" t="s">
        <v>2129</v>
      </c>
      <c r="C185" s="360" t="s">
        <v>275</v>
      </c>
      <c r="D185" s="361"/>
      <c r="E185" s="432">
        <f t="shared" si="2"/>
        <v>110000</v>
      </c>
      <c r="F185" s="402">
        <v>110000</v>
      </c>
      <c r="G185" s="481"/>
      <c r="H185" s="392">
        <v>110000</v>
      </c>
      <c r="I185" s="234"/>
    </row>
    <row r="186" spans="1:9">
      <c r="A186" s="444">
        <v>6</v>
      </c>
      <c r="B186" s="359" t="s">
        <v>2130</v>
      </c>
      <c r="C186" s="360" t="s">
        <v>276</v>
      </c>
      <c r="D186" s="361"/>
      <c r="E186" s="432">
        <f t="shared" si="2"/>
        <v>0</v>
      </c>
      <c r="F186" s="402"/>
      <c r="G186" s="481"/>
      <c r="H186" s="392"/>
      <c r="I186" s="234"/>
    </row>
    <row r="187" spans="1:9">
      <c r="A187" s="444">
        <v>6</v>
      </c>
      <c r="B187" s="359" t="s">
        <v>2131</v>
      </c>
      <c r="C187" s="360" t="s">
        <v>277</v>
      </c>
      <c r="D187" s="361"/>
      <c r="E187" s="432">
        <f t="shared" si="2"/>
        <v>375000</v>
      </c>
      <c r="F187" s="402">
        <v>375000</v>
      </c>
      <c r="G187" s="481"/>
      <c r="H187" s="392">
        <v>375000</v>
      </c>
      <c r="I187" s="234"/>
    </row>
    <row r="188" spans="1:9">
      <c r="A188" s="444">
        <v>6</v>
      </c>
      <c r="B188" s="359" t="s">
        <v>2132</v>
      </c>
      <c r="C188" s="360" t="s">
        <v>278</v>
      </c>
      <c r="D188" s="361"/>
      <c r="E188" s="432">
        <f t="shared" si="2"/>
        <v>38000</v>
      </c>
      <c r="F188" s="402">
        <v>38000</v>
      </c>
      <c r="G188" s="481"/>
      <c r="H188" s="392">
        <v>38000</v>
      </c>
      <c r="I188" s="234"/>
    </row>
    <row r="189" spans="1:9">
      <c r="A189" s="444">
        <v>6</v>
      </c>
      <c r="B189" s="359" t="s">
        <v>2133</v>
      </c>
      <c r="C189" s="360" t="s">
        <v>279</v>
      </c>
      <c r="D189" s="361"/>
      <c r="E189" s="432">
        <f t="shared" si="2"/>
        <v>150000</v>
      </c>
      <c r="F189" s="402">
        <v>150000</v>
      </c>
      <c r="G189" s="481"/>
      <c r="H189" s="392">
        <v>150000</v>
      </c>
      <c r="I189" s="234"/>
    </row>
    <row r="190" spans="1:9">
      <c r="A190" s="444">
        <v>6</v>
      </c>
      <c r="B190" s="359" t="s">
        <v>2134</v>
      </c>
      <c r="C190" s="360" t="s">
        <v>280</v>
      </c>
      <c r="D190" s="361"/>
      <c r="E190" s="432">
        <f t="shared" si="2"/>
        <v>28000</v>
      </c>
      <c r="F190" s="402">
        <v>28000</v>
      </c>
      <c r="G190" s="481"/>
      <c r="H190" s="392">
        <v>28000</v>
      </c>
      <c r="I190" s="234"/>
    </row>
    <row r="191" spans="1:9">
      <c r="A191" s="444">
        <v>6</v>
      </c>
      <c r="B191" s="359" t="s">
        <v>2135</v>
      </c>
      <c r="C191" s="360" t="s">
        <v>281</v>
      </c>
      <c r="D191" s="361"/>
      <c r="E191" s="432">
        <f t="shared" si="2"/>
        <v>125000</v>
      </c>
      <c r="F191" s="402">
        <v>125000</v>
      </c>
      <c r="G191" s="481"/>
      <c r="H191" s="392">
        <v>125000</v>
      </c>
      <c r="I191" s="234"/>
    </row>
    <row r="192" spans="1:9">
      <c r="A192" s="444">
        <v>6</v>
      </c>
      <c r="B192" s="359" t="s">
        <v>2136</v>
      </c>
      <c r="C192" s="360" t="s">
        <v>282</v>
      </c>
      <c r="D192" s="361"/>
      <c r="E192" s="432">
        <f t="shared" si="2"/>
        <v>40000</v>
      </c>
      <c r="F192" s="402">
        <v>40000</v>
      </c>
      <c r="G192" s="481"/>
      <c r="H192" s="392">
        <v>40000</v>
      </c>
      <c r="I192" s="234"/>
    </row>
    <row r="193" spans="1:9">
      <c r="A193" s="444">
        <v>6</v>
      </c>
      <c r="B193" s="359" t="s">
        <v>2137</v>
      </c>
      <c r="C193" s="360" t="s">
        <v>283</v>
      </c>
      <c r="D193" s="361"/>
      <c r="E193" s="432">
        <f t="shared" si="2"/>
        <v>350000</v>
      </c>
      <c r="F193" s="402">
        <v>350000</v>
      </c>
      <c r="G193" s="481"/>
      <c r="H193" s="392">
        <v>350000</v>
      </c>
      <c r="I193" s="234"/>
    </row>
    <row r="194" spans="1:9">
      <c r="A194" s="444">
        <v>6</v>
      </c>
      <c r="B194" s="359" t="s">
        <v>2138</v>
      </c>
      <c r="C194" s="360" t="s">
        <v>284</v>
      </c>
      <c r="D194" s="361"/>
      <c r="E194" s="432">
        <f t="shared" si="2"/>
        <v>80000</v>
      </c>
      <c r="F194" s="402">
        <v>80000</v>
      </c>
      <c r="G194" s="481"/>
      <c r="H194" s="392">
        <v>80000</v>
      </c>
      <c r="I194" s="234"/>
    </row>
    <row r="195" spans="1:9">
      <c r="A195" s="444">
        <v>6</v>
      </c>
      <c r="B195" s="359" t="s">
        <v>2139</v>
      </c>
      <c r="C195" s="360" t="s">
        <v>285</v>
      </c>
      <c r="D195" s="361"/>
      <c r="E195" s="432">
        <f t="shared" si="2"/>
        <v>65000</v>
      </c>
      <c r="F195" s="402">
        <v>65000</v>
      </c>
      <c r="G195" s="481"/>
      <c r="H195" s="392">
        <v>65000</v>
      </c>
      <c r="I195" s="234"/>
    </row>
    <row r="196" spans="1:9">
      <c r="A196" s="444">
        <v>6</v>
      </c>
      <c r="B196" s="359" t="s">
        <v>2140</v>
      </c>
      <c r="C196" s="360" t="s">
        <v>286</v>
      </c>
      <c r="D196" s="361"/>
      <c r="E196" s="432">
        <f t="shared" si="2"/>
        <v>330000</v>
      </c>
      <c r="F196" s="402">
        <v>330000</v>
      </c>
      <c r="G196" s="481"/>
      <c r="H196" s="392">
        <v>330000</v>
      </c>
      <c r="I196" s="234"/>
    </row>
    <row r="197" spans="1:9">
      <c r="A197" s="444">
        <v>6</v>
      </c>
      <c r="B197" s="359" t="s">
        <v>2141</v>
      </c>
      <c r="C197" s="360" t="s">
        <v>287</v>
      </c>
      <c r="D197" s="361"/>
      <c r="E197" s="432">
        <f t="shared" si="2"/>
        <v>500000</v>
      </c>
      <c r="F197" s="402">
        <v>500000</v>
      </c>
      <c r="G197" s="481"/>
      <c r="H197" s="392">
        <v>560000</v>
      </c>
      <c r="I197" s="234"/>
    </row>
    <row r="198" spans="1:9">
      <c r="A198" s="444">
        <v>6</v>
      </c>
      <c r="B198" s="359" t="s">
        <v>2142</v>
      </c>
      <c r="C198" s="360" t="s">
        <v>288</v>
      </c>
      <c r="D198" s="361"/>
      <c r="E198" s="432">
        <f t="shared" si="2"/>
        <v>210000</v>
      </c>
      <c r="F198" s="402">
        <v>210000</v>
      </c>
      <c r="G198" s="481"/>
      <c r="H198" s="392">
        <v>210000</v>
      </c>
      <c r="I198" s="234"/>
    </row>
    <row r="199" spans="1:9" ht="24">
      <c r="A199" s="460">
        <v>6</v>
      </c>
      <c r="B199" s="363" t="s">
        <v>2143</v>
      </c>
      <c r="C199" s="364" t="s">
        <v>289</v>
      </c>
      <c r="D199" s="365"/>
      <c r="E199" s="434"/>
      <c r="F199" s="404"/>
      <c r="G199" s="482"/>
      <c r="H199" s="461"/>
      <c r="I199" s="234"/>
    </row>
    <row r="200" spans="1:9">
      <c r="A200" s="444">
        <v>7</v>
      </c>
      <c r="B200" s="359" t="s">
        <v>2144</v>
      </c>
      <c r="C200" s="360" t="s">
        <v>290</v>
      </c>
      <c r="D200" s="361"/>
      <c r="E200" s="432">
        <f t="shared" ref="E200:E263" si="3">+F200+G200</f>
        <v>0</v>
      </c>
      <c r="F200" s="402"/>
      <c r="G200" s="481"/>
      <c r="H200" s="459"/>
      <c r="I200" s="234"/>
    </row>
    <row r="201" spans="1:9">
      <c r="A201" s="444">
        <v>7</v>
      </c>
      <c r="B201" s="359" t="s">
        <v>2145</v>
      </c>
      <c r="C201" s="360" t="s">
        <v>291</v>
      </c>
      <c r="D201" s="361"/>
      <c r="E201" s="432">
        <f t="shared" si="3"/>
        <v>0</v>
      </c>
      <c r="F201" s="402"/>
      <c r="G201" s="481"/>
      <c r="H201" s="459"/>
      <c r="I201" s="234"/>
    </row>
    <row r="202" spans="1:9">
      <c r="A202" s="444">
        <v>6</v>
      </c>
      <c r="B202" s="359" t="s">
        <v>2146</v>
      </c>
      <c r="C202" s="360" t="s">
        <v>292</v>
      </c>
      <c r="D202" s="361"/>
      <c r="E202" s="432">
        <f t="shared" si="3"/>
        <v>100000</v>
      </c>
      <c r="F202" s="402">
        <v>100000</v>
      </c>
      <c r="G202" s="481"/>
      <c r="H202" s="392">
        <v>100000</v>
      </c>
      <c r="I202" s="234"/>
    </row>
    <row r="203" spans="1:9">
      <c r="A203" s="444">
        <v>5</v>
      </c>
      <c r="B203" s="359" t="s">
        <v>2147</v>
      </c>
      <c r="C203" s="360" t="s">
        <v>2148</v>
      </c>
      <c r="D203" s="361"/>
      <c r="E203" s="432">
        <f t="shared" si="3"/>
        <v>0</v>
      </c>
      <c r="F203" s="402"/>
      <c r="G203" s="481"/>
      <c r="H203" s="392"/>
      <c r="I203" s="234"/>
    </row>
    <row r="204" spans="1:9">
      <c r="A204" s="444">
        <v>5</v>
      </c>
      <c r="B204" s="359" t="s">
        <v>2149</v>
      </c>
      <c r="C204" s="360" t="s">
        <v>293</v>
      </c>
      <c r="D204" s="361"/>
      <c r="E204" s="432">
        <f t="shared" si="3"/>
        <v>200000</v>
      </c>
      <c r="F204" s="402">
        <v>200000</v>
      </c>
      <c r="G204" s="481"/>
      <c r="H204" s="392">
        <v>200000</v>
      </c>
      <c r="I204" s="234"/>
    </row>
    <row r="205" spans="1:9">
      <c r="A205" s="444">
        <v>5</v>
      </c>
      <c r="B205" s="359" t="s">
        <v>2150</v>
      </c>
      <c r="C205" s="360" t="s">
        <v>294</v>
      </c>
      <c r="D205" s="361"/>
      <c r="E205" s="432">
        <f t="shared" si="3"/>
        <v>70000</v>
      </c>
      <c r="F205" s="402">
        <v>70000</v>
      </c>
      <c r="G205" s="481"/>
      <c r="H205" s="392">
        <v>70000</v>
      </c>
      <c r="I205" s="234"/>
    </row>
    <row r="206" spans="1:9">
      <c r="A206" s="444">
        <v>5</v>
      </c>
      <c r="B206" s="359" t="s">
        <v>2151</v>
      </c>
      <c r="C206" s="360" t="s">
        <v>295</v>
      </c>
      <c r="D206" s="361"/>
      <c r="E206" s="432">
        <f t="shared" si="3"/>
        <v>0</v>
      </c>
      <c r="F206" s="402"/>
      <c r="G206" s="481"/>
      <c r="H206" s="392"/>
      <c r="I206" s="234"/>
    </row>
    <row r="207" spans="1:9">
      <c r="A207" s="444">
        <v>5</v>
      </c>
      <c r="B207" s="359" t="s">
        <v>2152</v>
      </c>
      <c r="C207" s="360" t="s">
        <v>296</v>
      </c>
      <c r="D207" s="361"/>
      <c r="E207" s="432">
        <f t="shared" si="3"/>
        <v>250000</v>
      </c>
      <c r="F207" s="402">
        <v>250000</v>
      </c>
      <c r="G207" s="481"/>
      <c r="H207" s="392">
        <v>250000</v>
      </c>
      <c r="I207" s="234"/>
    </row>
    <row r="208" spans="1:9">
      <c r="A208" s="444">
        <v>5</v>
      </c>
      <c r="B208" s="359" t="s">
        <v>2153</v>
      </c>
      <c r="C208" s="360" t="s">
        <v>297</v>
      </c>
      <c r="D208" s="361"/>
      <c r="E208" s="432">
        <f t="shared" si="3"/>
        <v>0</v>
      </c>
      <c r="F208" s="402"/>
      <c r="G208" s="481"/>
      <c r="H208" s="459"/>
      <c r="I208" s="234"/>
    </row>
    <row r="209" spans="1:9">
      <c r="A209" s="460">
        <v>5</v>
      </c>
      <c r="B209" s="363" t="s">
        <v>2154</v>
      </c>
      <c r="C209" s="364" t="s">
        <v>298</v>
      </c>
      <c r="D209" s="365"/>
      <c r="E209" s="434"/>
      <c r="F209" s="404"/>
      <c r="G209" s="482"/>
      <c r="H209" s="461"/>
      <c r="I209" s="234"/>
    </row>
    <row r="210" spans="1:9">
      <c r="A210" s="444">
        <v>6</v>
      </c>
      <c r="B210" s="359" t="s">
        <v>2155</v>
      </c>
      <c r="C210" s="360" t="s">
        <v>299</v>
      </c>
      <c r="D210" s="361"/>
      <c r="E210" s="432">
        <f t="shared" si="3"/>
        <v>0</v>
      </c>
      <c r="F210" s="402"/>
      <c r="G210" s="481"/>
      <c r="H210" s="459"/>
      <c r="I210" s="234"/>
    </row>
    <row r="211" spans="1:9">
      <c r="A211" s="444">
        <v>6</v>
      </c>
      <c r="B211" s="359" t="s">
        <v>2156</v>
      </c>
      <c r="C211" s="360" t="s">
        <v>300</v>
      </c>
      <c r="D211" s="361"/>
      <c r="E211" s="432">
        <f t="shared" si="3"/>
        <v>0</v>
      </c>
      <c r="F211" s="402"/>
      <c r="G211" s="481"/>
      <c r="H211" s="459"/>
      <c r="I211" s="234"/>
    </row>
    <row r="212" spans="1:9" ht="25.5">
      <c r="A212" s="456" t="s">
        <v>1971</v>
      </c>
      <c r="B212" s="357" t="s">
        <v>1327</v>
      </c>
      <c r="C212" s="356" t="s">
        <v>2157</v>
      </c>
      <c r="D212" s="358"/>
      <c r="E212" s="433"/>
      <c r="F212" s="366"/>
      <c r="G212" s="366"/>
      <c r="H212" s="458"/>
      <c r="I212" s="234"/>
    </row>
    <row r="213" spans="1:9" ht="25.5">
      <c r="A213" s="456" t="s">
        <v>1973</v>
      </c>
      <c r="B213" s="357" t="s">
        <v>302</v>
      </c>
      <c r="C213" s="356" t="s">
        <v>2158</v>
      </c>
      <c r="D213" s="358"/>
      <c r="E213" s="433"/>
      <c r="F213" s="366"/>
      <c r="G213" s="366"/>
      <c r="H213" s="458"/>
      <c r="I213" s="234"/>
    </row>
    <row r="214" spans="1:9" ht="24">
      <c r="A214" s="444" t="s">
        <v>1975</v>
      </c>
      <c r="B214" s="359" t="s">
        <v>2159</v>
      </c>
      <c r="C214" s="360" t="s">
        <v>301</v>
      </c>
      <c r="D214" s="361"/>
      <c r="E214" s="432">
        <f t="shared" si="3"/>
        <v>905000</v>
      </c>
      <c r="F214" s="402">
        <v>905000</v>
      </c>
      <c r="G214" s="481"/>
      <c r="H214" s="392">
        <v>905000</v>
      </c>
      <c r="I214" s="234"/>
    </row>
    <row r="215" spans="1:9" ht="25.5">
      <c r="A215" s="456" t="s">
        <v>1973</v>
      </c>
      <c r="B215" s="357" t="s">
        <v>304</v>
      </c>
      <c r="C215" s="356" t="s">
        <v>2160</v>
      </c>
      <c r="D215" s="358"/>
      <c r="E215" s="433"/>
      <c r="F215" s="366"/>
      <c r="G215" s="366"/>
      <c r="H215" s="458"/>
      <c r="I215" s="234"/>
    </row>
    <row r="216" spans="1:9" ht="24">
      <c r="A216" s="444" t="s">
        <v>1975</v>
      </c>
      <c r="B216" s="359" t="s">
        <v>2161</v>
      </c>
      <c r="C216" s="360" t="s">
        <v>303</v>
      </c>
      <c r="D216" s="361"/>
      <c r="E216" s="432">
        <f t="shared" si="3"/>
        <v>6636000</v>
      </c>
      <c r="F216" s="402">
        <v>6636000</v>
      </c>
      <c r="G216" s="481"/>
      <c r="H216" s="392">
        <v>6636000</v>
      </c>
      <c r="I216" s="234"/>
    </row>
    <row r="217" spans="1:9" ht="25.5">
      <c r="A217" s="456" t="s">
        <v>1973</v>
      </c>
      <c r="B217" s="357" t="s">
        <v>306</v>
      </c>
      <c r="C217" s="356" t="s">
        <v>2162</v>
      </c>
      <c r="D217" s="358"/>
      <c r="E217" s="433"/>
      <c r="F217" s="366"/>
      <c r="G217" s="366"/>
      <c r="H217" s="458"/>
      <c r="I217" s="234"/>
    </row>
    <row r="218" spans="1:9" ht="24">
      <c r="A218" s="444" t="s">
        <v>1975</v>
      </c>
      <c r="B218" s="359" t="s">
        <v>2163</v>
      </c>
      <c r="C218" s="360" t="s">
        <v>305</v>
      </c>
      <c r="D218" s="361"/>
      <c r="E218" s="432">
        <f t="shared" si="3"/>
        <v>0</v>
      </c>
      <c r="F218" s="402"/>
      <c r="G218" s="481"/>
      <c r="H218" s="459"/>
      <c r="I218" s="234"/>
    </row>
    <row r="219" spans="1:9" ht="25.5">
      <c r="A219" s="456" t="s">
        <v>1973</v>
      </c>
      <c r="B219" s="357" t="s">
        <v>308</v>
      </c>
      <c r="C219" s="356" t="s">
        <v>2164</v>
      </c>
      <c r="D219" s="358"/>
      <c r="E219" s="433"/>
      <c r="F219" s="366"/>
      <c r="G219" s="366"/>
      <c r="H219" s="458"/>
      <c r="I219" s="234"/>
    </row>
    <row r="220" spans="1:9" ht="24">
      <c r="A220" s="444" t="s">
        <v>1975</v>
      </c>
      <c r="B220" s="359" t="s">
        <v>2165</v>
      </c>
      <c r="C220" s="360" t="s">
        <v>307</v>
      </c>
      <c r="D220" s="361"/>
      <c r="E220" s="432">
        <f t="shared" si="3"/>
        <v>89000</v>
      </c>
      <c r="F220" s="402">
        <v>89000</v>
      </c>
      <c r="G220" s="481"/>
      <c r="H220" s="392">
        <v>89000</v>
      </c>
      <c r="I220" s="234"/>
    </row>
    <row r="221" spans="1:9" ht="38.25">
      <c r="A221" s="456" t="s">
        <v>1973</v>
      </c>
      <c r="B221" s="357" t="s">
        <v>310</v>
      </c>
      <c r="C221" s="356" t="s">
        <v>2166</v>
      </c>
      <c r="D221" s="358" t="s">
        <v>1253</v>
      </c>
      <c r="E221" s="433"/>
      <c r="F221" s="366"/>
      <c r="G221" s="366"/>
      <c r="H221" s="458"/>
      <c r="I221" s="234"/>
    </row>
    <row r="222" spans="1:9" ht="36">
      <c r="A222" s="444" t="s">
        <v>1975</v>
      </c>
      <c r="B222" s="359" t="s">
        <v>2167</v>
      </c>
      <c r="C222" s="360" t="s">
        <v>309</v>
      </c>
      <c r="D222" s="361" t="s">
        <v>1253</v>
      </c>
      <c r="E222" s="432">
        <f t="shared" si="3"/>
        <v>371000</v>
      </c>
      <c r="F222" s="402">
        <v>371000</v>
      </c>
      <c r="G222" s="481"/>
      <c r="H222" s="392">
        <v>371000</v>
      </c>
      <c r="I222" s="234"/>
    </row>
    <row r="223" spans="1:9" ht="25.5">
      <c r="A223" s="456" t="s">
        <v>1973</v>
      </c>
      <c r="B223" s="357" t="s">
        <v>312</v>
      </c>
      <c r="C223" s="356" t="s">
        <v>2168</v>
      </c>
      <c r="D223" s="358"/>
      <c r="E223" s="433"/>
      <c r="F223" s="366"/>
      <c r="G223" s="366"/>
      <c r="H223" s="458"/>
      <c r="I223" s="234"/>
    </row>
    <row r="224" spans="1:9">
      <c r="A224" s="444" t="s">
        <v>1975</v>
      </c>
      <c r="B224" s="359" t="s">
        <v>2169</v>
      </c>
      <c r="C224" s="360" t="s">
        <v>311</v>
      </c>
      <c r="D224" s="361"/>
      <c r="E224" s="432">
        <f t="shared" si="3"/>
        <v>39000</v>
      </c>
      <c r="F224" s="402">
        <v>39000</v>
      </c>
      <c r="G224" s="481"/>
      <c r="H224" s="392">
        <v>39000</v>
      </c>
      <c r="I224" s="234"/>
    </row>
    <row r="225" spans="1:189" ht="25.5">
      <c r="A225" s="456" t="s">
        <v>1973</v>
      </c>
      <c r="B225" s="357" t="s">
        <v>314</v>
      </c>
      <c r="C225" s="356" t="s">
        <v>2170</v>
      </c>
      <c r="D225" s="358" t="s">
        <v>1253</v>
      </c>
      <c r="E225" s="433"/>
      <c r="F225" s="366"/>
      <c r="G225" s="366"/>
      <c r="H225" s="458"/>
      <c r="I225" s="234"/>
    </row>
    <row r="226" spans="1:189" ht="24">
      <c r="A226" s="444" t="s">
        <v>1975</v>
      </c>
      <c r="B226" s="359" t="s">
        <v>2171</v>
      </c>
      <c r="C226" s="360" t="s">
        <v>313</v>
      </c>
      <c r="D226" s="361" t="s">
        <v>1253</v>
      </c>
      <c r="E226" s="432">
        <f t="shared" si="3"/>
        <v>0</v>
      </c>
      <c r="F226" s="402"/>
      <c r="G226" s="481"/>
      <c r="H226" s="459"/>
      <c r="I226" s="234"/>
    </row>
    <row r="227" spans="1:189">
      <c r="A227" s="456" t="s">
        <v>1969</v>
      </c>
      <c r="B227" s="357" t="s">
        <v>1336</v>
      </c>
      <c r="C227" s="356" t="s">
        <v>1337</v>
      </c>
      <c r="D227" s="358"/>
      <c r="E227" s="433"/>
      <c r="F227" s="366"/>
      <c r="G227" s="366"/>
      <c r="H227" s="458"/>
      <c r="I227" s="234"/>
    </row>
    <row r="228" spans="1:189">
      <c r="A228" s="456" t="s">
        <v>1971</v>
      </c>
      <c r="B228" s="357" t="s">
        <v>316</v>
      </c>
      <c r="C228" s="356" t="s">
        <v>1338</v>
      </c>
      <c r="D228" s="358"/>
      <c r="E228" s="433"/>
      <c r="F228" s="366"/>
      <c r="G228" s="366"/>
      <c r="H228" s="458"/>
      <c r="I228" s="234"/>
    </row>
    <row r="229" spans="1:189">
      <c r="A229" s="444" t="s">
        <v>1973</v>
      </c>
      <c r="B229" s="359" t="s">
        <v>2172</v>
      </c>
      <c r="C229" s="360" t="s">
        <v>315</v>
      </c>
      <c r="D229" s="361"/>
      <c r="E229" s="432">
        <f t="shared" si="3"/>
        <v>50000</v>
      </c>
      <c r="F229" s="402">
        <v>50000</v>
      </c>
      <c r="G229" s="481"/>
      <c r="H229" s="392">
        <v>50000</v>
      </c>
      <c r="I229" s="234"/>
    </row>
    <row r="230" spans="1:189">
      <c r="A230" s="456" t="s">
        <v>1971</v>
      </c>
      <c r="B230" s="357" t="s">
        <v>1339</v>
      </c>
      <c r="C230" s="356" t="s">
        <v>1340</v>
      </c>
      <c r="D230" s="358"/>
      <c r="E230" s="433"/>
      <c r="F230" s="366"/>
      <c r="G230" s="366"/>
      <c r="H230" s="458"/>
      <c r="I230" s="234"/>
    </row>
    <row r="231" spans="1:189" ht="25.5">
      <c r="A231" s="456" t="s">
        <v>1973</v>
      </c>
      <c r="B231" s="357" t="s">
        <v>318</v>
      </c>
      <c r="C231" s="356" t="s">
        <v>1341</v>
      </c>
      <c r="D231" s="358"/>
      <c r="E231" s="433"/>
      <c r="F231" s="366"/>
      <c r="G231" s="366"/>
      <c r="H231" s="458"/>
      <c r="I231" s="234"/>
    </row>
    <row r="232" spans="1:189" ht="24">
      <c r="A232" s="444" t="s">
        <v>1975</v>
      </c>
      <c r="B232" s="359" t="s">
        <v>2173</v>
      </c>
      <c r="C232" s="360" t="s">
        <v>317</v>
      </c>
      <c r="D232" s="361"/>
      <c r="E232" s="432">
        <f t="shared" si="3"/>
        <v>235000</v>
      </c>
      <c r="F232" s="403">
        <v>235000</v>
      </c>
      <c r="G232" s="481"/>
      <c r="H232" s="392">
        <v>90000</v>
      </c>
      <c r="I232" s="234"/>
    </row>
    <row r="233" spans="1:189" ht="25.5">
      <c r="A233" s="456" t="s">
        <v>1973</v>
      </c>
      <c r="B233" s="357" t="s">
        <v>320</v>
      </c>
      <c r="C233" s="356" t="s">
        <v>1342</v>
      </c>
      <c r="D233" s="358"/>
      <c r="E233" s="433"/>
      <c r="F233" s="366"/>
      <c r="G233" s="366"/>
      <c r="H233" s="458"/>
      <c r="I233" s="234"/>
    </row>
    <row r="234" spans="1:189">
      <c r="A234" s="444" t="s">
        <v>1975</v>
      </c>
      <c r="B234" s="359" t="s">
        <v>2174</v>
      </c>
      <c r="C234" s="360" t="s">
        <v>319</v>
      </c>
      <c r="D234" s="361"/>
      <c r="E234" s="432">
        <f t="shared" si="3"/>
        <v>0</v>
      </c>
      <c r="F234" s="402"/>
      <c r="G234" s="481"/>
      <c r="H234" s="459"/>
      <c r="I234" s="234"/>
    </row>
    <row r="235" spans="1:189" ht="25.5">
      <c r="A235" s="456" t="s">
        <v>1971</v>
      </c>
      <c r="B235" s="357" t="s">
        <v>1343</v>
      </c>
      <c r="C235" s="356" t="s">
        <v>1344</v>
      </c>
      <c r="D235" s="358" t="s">
        <v>1253</v>
      </c>
      <c r="E235" s="433"/>
      <c r="F235" s="366"/>
      <c r="G235" s="366"/>
      <c r="H235" s="458"/>
      <c r="I235" s="234"/>
    </row>
    <row r="236" spans="1:189" ht="38.25">
      <c r="A236" s="456" t="s">
        <v>1973</v>
      </c>
      <c r="B236" s="357" t="s">
        <v>322</v>
      </c>
      <c r="C236" s="356" t="s">
        <v>1345</v>
      </c>
      <c r="D236" s="358" t="s">
        <v>1253</v>
      </c>
      <c r="E236" s="433"/>
      <c r="F236" s="366"/>
      <c r="G236" s="366"/>
      <c r="H236" s="458"/>
      <c r="I236" s="234"/>
    </row>
    <row r="237" spans="1:189" ht="36">
      <c r="A237" s="444">
        <v>6</v>
      </c>
      <c r="B237" s="359" t="s">
        <v>2175</v>
      </c>
      <c r="C237" s="360" t="s">
        <v>321</v>
      </c>
      <c r="D237" s="361" t="s">
        <v>1253</v>
      </c>
      <c r="E237" s="432">
        <f t="shared" si="3"/>
        <v>0</v>
      </c>
      <c r="F237" s="403"/>
      <c r="G237" s="481"/>
      <c r="H237" s="392">
        <v>87000</v>
      </c>
      <c r="I237" s="234"/>
    </row>
    <row r="238" spans="1:189" ht="25.5">
      <c r="A238" s="456" t="s">
        <v>1973</v>
      </c>
      <c r="B238" s="357" t="s">
        <v>324</v>
      </c>
      <c r="C238" s="356" t="s">
        <v>1346</v>
      </c>
      <c r="D238" s="358" t="s">
        <v>1253</v>
      </c>
      <c r="E238" s="433"/>
      <c r="F238" s="366"/>
      <c r="G238" s="366"/>
      <c r="H238" s="458"/>
      <c r="I238" s="234"/>
    </row>
    <row r="239" spans="1:189" ht="24">
      <c r="A239" s="444" t="s">
        <v>1975</v>
      </c>
      <c r="B239" s="359" t="s">
        <v>2176</v>
      </c>
      <c r="C239" s="360" t="s">
        <v>323</v>
      </c>
      <c r="D239" s="361" t="s">
        <v>1253</v>
      </c>
      <c r="E239" s="432">
        <f t="shared" si="3"/>
        <v>0</v>
      </c>
      <c r="F239" s="402"/>
      <c r="G239" s="481"/>
      <c r="H239" s="459"/>
      <c r="I239" s="234"/>
    </row>
    <row r="240" spans="1:189" ht="25.5">
      <c r="A240" s="456" t="s">
        <v>1973</v>
      </c>
      <c r="B240" s="357" t="s">
        <v>325</v>
      </c>
      <c r="C240" s="356" t="s">
        <v>1347</v>
      </c>
      <c r="D240" s="358" t="s">
        <v>1253</v>
      </c>
      <c r="E240" s="433"/>
      <c r="F240" s="366"/>
      <c r="G240" s="366"/>
      <c r="H240" s="458"/>
      <c r="I240" s="234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</row>
    <row r="241" spans="1:189" ht="24">
      <c r="A241" s="444">
        <v>6</v>
      </c>
      <c r="B241" s="359" t="s">
        <v>2177</v>
      </c>
      <c r="C241" s="360" t="s">
        <v>2178</v>
      </c>
      <c r="D241" s="361" t="s">
        <v>1253</v>
      </c>
      <c r="E241" s="432">
        <f t="shared" si="3"/>
        <v>435000</v>
      </c>
      <c r="F241" s="403">
        <v>435000</v>
      </c>
      <c r="G241" s="481"/>
      <c r="H241" s="392">
        <v>434768</v>
      </c>
      <c r="I241" s="234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</row>
    <row r="242" spans="1:189" ht="24">
      <c r="A242" s="444">
        <v>6</v>
      </c>
      <c r="B242" s="359" t="s">
        <v>2179</v>
      </c>
      <c r="C242" s="360" t="s">
        <v>2180</v>
      </c>
      <c r="D242" s="361" t="s">
        <v>1253</v>
      </c>
      <c r="E242" s="432">
        <f t="shared" si="3"/>
        <v>35000</v>
      </c>
      <c r="F242" s="403">
        <v>35000</v>
      </c>
      <c r="G242" s="481"/>
      <c r="H242" s="392">
        <v>20000</v>
      </c>
      <c r="I242" s="234"/>
    </row>
    <row r="243" spans="1:189" ht="24">
      <c r="A243" s="444">
        <v>6</v>
      </c>
      <c r="B243" s="359" t="s">
        <v>2181</v>
      </c>
      <c r="C243" s="360" t="s">
        <v>2182</v>
      </c>
      <c r="D243" s="361" t="s">
        <v>1253</v>
      </c>
      <c r="E243" s="432">
        <f t="shared" si="3"/>
        <v>79000</v>
      </c>
      <c r="F243" s="403">
        <v>79000</v>
      </c>
      <c r="G243" s="481"/>
      <c r="H243" s="392">
        <v>122000</v>
      </c>
      <c r="I243" s="234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</row>
    <row r="244" spans="1:189" ht="25.5">
      <c r="A244" s="456" t="s">
        <v>1973</v>
      </c>
      <c r="B244" s="357" t="s">
        <v>327</v>
      </c>
      <c r="C244" s="356" t="s">
        <v>1348</v>
      </c>
      <c r="D244" s="358" t="s">
        <v>1253</v>
      </c>
      <c r="E244" s="433"/>
      <c r="F244" s="366"/>
      <c r="G244" s="366"/>
      <c r="H244" s="458"/>
      <c r="I244" s="234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</row>
    <row r="245" spans="1:189" ht="24">
      <c r="A245" s="444" t="s">
        <v>1975</v>
      </c>
      <c r="B245" s="359" t="s">
        <v>2183</v>
      </c>
      <c r="C245" s="360" t="s">
        <v>326</v>
      </c>
      <c r="D245" s="361" t="s">
        <v>1253</v>
      </c>
      <c r="E245" s="432">
        <f t="shared" si="3"/>
        <v>0</v>
      </c>
      <c r="F245" s="402"/>
      <c r="G245" s="481"/>
      <c r="H245" s="459"/>
      <c r="I245" s="234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</row>
    <row r="246" spans="1:189" ht="25.5">
      <c r="A246" s="456" t="s">
        <v>1971</v>
      </c>
      <c r="B246" s="357" t="s">
        <v>328</v>
      </c>
      <c r="C246" s="356" t="s">
        <v>1349</v>
      </c>
      <c r="D246" s="358"/>
      <c r="E246" s="433"/>
      <c r="F246" s="366"/>
      <c r="G246" s="366"/>
      <c r="H246" s="458"/>
      <c r="I246" s="234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</row>
    <row r="247" spans="1:189" ht="38.25">
      <c r="A247" s="456" t="s">
        <v>1973</v>
      </c>
      <c r="B247" s="357" t="s">
        <v>330</v>
      </c>
      <c r="C247" s="356" t="s">
        <v>1350</v>
      </c>
      <c r="D247" s="358"/>
      <c r="E247" s="433"/>
      <c r="F247" s="366"/>
      <c r="G247" s="366"/>
      <c r="H247" s="458"/>
      <c r="I247" s="234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</row>
    <row r="248" spans="1:189" ht="36">
      <c r="A248" s="444" t="s">
        <v>1975</v>
      </c>
      <c r="B248" s="359" t="s">
        <v>2184</v>
      </c>
      <c r="C248" s="360" t="s">
        <v>329</v>
      </c>
      <c r="D248" s="361"/>
      <c r="E248" s="432">
        <f t="shared" si="3"/>
        <v>222000</v>
      </c>
      <c r="F248" s="403">
        <v>222000</v>
      </c>
      <c r="G248" s="481"/>
      <c r="H248" s="392">
        <f>257548-H232-H237</f>
        <v>80548</v>
      </c>
      <c r="I248" s="234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</row>
    <row r="249" spans="1:189" ht="25.5">
      <c r="A249" s="456" t="s">
        <v>1973</v>
      </c>
      <c r="B249" s="357" t="s">
        <v>332</v>
      </c>
      <c r="C249" s="356" t="s">
        <v>1351</v>
      </c>
      <c r="D249" s="358"/>
      <c r="E249" s="433"/>
      <c r="F249" s="366"/>
      <c r="G249" s="366"/>
      <c r="H249" s="458"/>
      <c r="I249" s="234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</row>
    <row r="250" spans="1:189" ht="24">
      <c r="A250" s="444" t="s">
        <v>1975</v>
      </c>
      <c r="B250" s="359" t="s">
        <v>2185</v>
      </c>
      <c r="C250" s="360" t="s">
        <v>331</v>
      </c>
      <c r="D250" s="361"/>
      <c r="E250" s="432">
        <f t="shared" si="3"/>
        <v>0</v>
      </c>
      <c r="F250" s="402"/>
      <c r="G250" s="481"/>
      <c r="H250" s="459"/>
      <c r="I250" s="234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</row>
    <row r="251" spans="1:189" ht="25.5">
      <c r="A251" s="456" t="s">
        <v>1973</v>
      </c>
      <c r="B251" s="357" t="s">
        <v>334</v>
      </c>
      <c r="C251" s="356" t="s">
        <v>1352</v>
      </c>
      <c r="D251" s="358"/>
      <c r="E251" s="433"/>
      <c r="F251" s="366"/>
      <c r="G251" s="366"/>
      <c r="H251" s="458"/>
      <c r="I251" s="234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</row>
    <row r="252" spans="1:189">
      <c r="A252" s="444" t="s">
        <v>1975</v>
      </c>
      <c r="B252" s="359" t="s">
        <v>2186</v>
      </c>
      <c r="C252" s="360" t="s">
        <v>335</v>
      </c>
      <c r="D252" s="361"/>
      <c r="E252" s="432">
        <f t="shared" si="3"/>
        <v>0</v>
      </c>
      <c r="F252" s="402"/>
      <c r="G252" s="481"/>
      <c r="H252" s="459"/>
      <c r="I252" s="234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</row>
    <row r="253" spans="1:189">
      <c r="A253" s="444" t="s">
        <v>1975</v>
      </c>
      <c r="B253" s="359" t="s">
        <v>2187</v>
      </c>
      <c r="C253" s="360" t="s">
        <v>336</v>
      </c>
      <c r="D253" s="361"/>
      <c r="E253" s="432">
        <f t="shared" si="3"/>
        <v>0</v>
      </c>
      <c r="F253" s="402"/>
      <c r="G253" s="481"/>
      <c r="H253" s="459"/>
      <c r="I253" s="234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</row>
    <row r="254" spans="1:189">
      <c r="A254" s="444" t="s">
        <v>1975</v>
      </c>
      <c r="B254" s="359" t="s">
        <v>2188</v>
      </c>
      <c r="C254" s="360" t="s">
        <v>337</v>
      </c>
      <c r="D254" s="361"/>
      <c r="E254" s="432">
        <f t="shared" si="3"/>
        <v>675000</v>
      </c>
      <c r="F254" s="402">
        <v>675000</v>
      </c>
      <c r="G254" s="481"/>
      <c r="H254" s="392">
        <v>675000</v>
      </c>
      <c r="I254" s="234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</row>
    <row r="255" spans="1:189">
      <c r="A255" s="444" t="s">
        <v>1975</v>
      </c>
      <c r="B255" s="359" t="s">
        <v>2189</v>
      </c>
      <c r="C255" s="360" t="s">
        <v>338</v>
      </c>
      <c r="D255" s="361"/>
      <c r="E255" s="432">
        <f t="shared" si="3"/>
        <v>0</v>
      </c>
      <c r="F255" s="402"/>
      <c r="G255" s="481"/>
      <c r="H255" s="459"/>
      <c r="I255" s="234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</row>
    <row r="256" spans="1:189">
      <c r="A256" s="444" t="s">
        <v>1975</v>
      </c>
      <c r="B256" s="359" t="s">
        <v>2190</v>
      </c>
      <c r="C256" s="360" t="s">
        <v>339</v>
      </c>
      <c r="D256" s="361"/>
      <c r="E256" s="432">
        <f t="shared" si="3"/>
        <v>0</v>
      </c>
      <c r="F256" s="402"/>
      <c r="G256" s="481"/>
      <c r="H256" s="459"/>
      <c r="I256" s="234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</row>
    <row r="257" spans="1:189" ht="24">
      <c r="A257" s="444" t="s">
        <v>1975</v>
      </c>
      <c r="B257" s="359" t="s">
        <v>2191</v>
      </c>
      <c r="C257" s="360" t="s">
        <v>333</v>
      </c>
      <c r="D257" s="361"/>
      <c r="E257" s="432">
        <f t="shared" si="3"/>
        <v>450000</v>
      </c>
      <c r="F257" s="402">
        <v>450000</v>
      </c>
      <c r="G257" s="481"/>
      <c r="H257" s="392">
        <v>450000</v>
      </c>
      <c r="I257" s="234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</row>
    <row r="258" spans="1:189">
      <c r="A258" s="456" t="s">
        <v>1971</v>
      </c>
      <c r="B258" s="357" t="s">
        <v>340</v>
      </c>
      <c r="C258" s="356" t="s">
        <v>1353</v>
      </c>
      <c r="D258" s="358"/>
      <c r="E258" s="433"/>
      <c r="F258" s="366"/>
      <c r="G258" s="366"/>
      <c r="H258" s="458"/>
      <c r="I258" s="234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</row>
    <row r="259" spans="1:189" ht="25.5">
      <c r="A259" s="456" t="s">
        <v>1973</v>
      </c>
      <c r="B259" s="357" t="s">
        <v>341</v>
      </c>
      <c r="C259" s="356" t="s">
        <v>1354</v>
      </c>
      <c r="D259" s="358"/>
      <c r="E259" s="433"/>
      <c r="F259" s="366"/>
      <c r="G259" s="366"/>
      <c r="H259" s="458"/>
      <c r="I259" s="234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</row>
    <row r="260" spans="1:189" ht="25.5">
      <c r="A260" s="456" t="s">
        <v>1975</v>
      </c>
      <c r="B260" s="357" t="s">
        <v>343</v>
      </c>
      <c r="C260" s="356" t="s">
        <v>1355</v>
      </c>
      <c r="D260" s="358"/>
      <c r="E260" s="433"/>
      <c r="F260" s="366"/>
      <c r="G260" s="366"/>
      <c r="H260" s="458"/>
      <c r="I260" s="234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</row>
    <row r="261" spans="1:189" ht="24">
      <c r="A261" s="444" t="s">
        <v>1978</v>
      </c>
      <c r="B261" s="359" t="s">
        <v>2192</v>
      </c>
      <c r="C261" s="360" t="s">
        <v>342</v>
      </c>
      <c r="D261" s="361"/>
      <c r="E261" s="432">
        <f t="shared" si="3"/>
        <v>0</v>
      </c>
      <c r="F261" s="402"/>
      <c r="G261" s="481"/>
      <c r="H261" s="459"/>
      <c r="I261" s="234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</row>
    <row r="262" spans="1:189" ht="25.5">
      <c r="A262" s="456" t="s">
        <v>1975</v>
      </c>
      <c r="B262" s="357" t="s">
        <v>345</v>
      </c>
      <c r="C262" s="356" t="s">
        <v>1356</v>
      </c>
      <c r="D262" s="358"/>
      <c r="E262" s="433"/>
      <c r="F262" s="366"/>
      <c r="G262" s="366"/>
      <c r="H262" s="458"/>
      <c r="I262" s="234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</row>
    <row r="263" spans="1:189" ht="24">
      <c r="A263" s="444" t="s">
        <v>1978</v>
      </c>
      <c r="B263" s="359" t="s">
        <v>2193</v>
      </c>
      <c r="C263" s="360" t="s">
        <v>344</v>
      </c>
      <c r="D263" s="361"/>
      <c r="E263" s="432">
        <f t="shared" si="3"/>
        <v>0</v>
      </c>
      <c r="F263" s="402"/>
      <c r="G263" s="481"/>
      <c r="H263" s="462">
        <v>9518847</v>
      </c>
      <c r="I263" s="234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</row>
    <row r="264" spans="1:189">
      <c r="A264" s="456" t="s">
        <v>1975</v>
      </c>
      <c r="B264" s="357" t="s">
        <v>347</v>
      </c>
      <c r="C264" s="356" t="s">
        <v>1357</v>
      </c>
      <c r="D264" s="358"/>
      <c r="E264" s="433"/>
      <c r="F264" s="366"/>
      <c r="G264" s="366"/>
      <c r="H264" s="458"/>
      <c r="I264" s="234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</row>
    <row r="265" spans="1:189">
      <c r="A265" s="444" t="s">
        <v>1978</v>
      </c>
      <c r="B265" s="359" t="s">
        <v>2194</v>
      </c>
      <c r="C265" s="360" t="s">
        <v>346</v>
      </c>
      <c r="D265" s="361"/>
      <c r="E265" s="432">
        <f t="shared" ref="E265:E327" si="4">+F265+G265</f>
        <v>0</v>
      </c>
      <c r="F265" s="402"/>
      <c r="G265" s="481"/>
      <c r="H265" s="462">
        <v>3367280</v>
      </c>
      <c r="I265" s="234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</row>
    <row r="266" spans="1:189">
      <c r="A266" s="456" t="s">
        <v>1973</v>
      </c>
      <c r="B266" s="357" t="s">
        <v>349</v>
      </c>
      <c r="C266" s="356" t="s">
        <v>1358</v>
      </c>
      <c r="D266" s="358"/>
      <c r="E266" s="433"/>
      <c r="F266" s="366"/>
      <c r="G266" s="366"/>
      <c r="H266" s="458"/>
      <c r="I266" s="234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</row>
    <row r="267" spans="1:189">
      <c r="A267" s="444" t="s">
        <v>1975</v>
      </c>
      <c r="B267" s="359" t="s">
        <v>2195</v>
      </c>
      <c r="C267" s="360" t="s">
        <v>348</v>
      </c>
      <c r="D267" s="361"/>
      <c r="E267" s="432">
        <f t="shared" si="4"/>
        <v>0</v>
      </c>
      <c r="F267" s="402"/>
      <c r="G267" s="481"/>
      <c r="H267" s="459"/>
      <c r="I267" s="234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</row>
    <row r="268" spans="1:189">
      <c r="A268" s="456" t="s">
        <v>1973</v>
      </c>
      <c r="B268" s="357" t="s">
        <v>351</v>
      </c>
      <c r="C268" s="356" t="s">
        <v>1359</v>
      </c>
      <c r="D268" s="358"/>
      <c r="E268" s="433"/>
      <c r="F268" s="366"/>
      <c r="G268" s="366"/>
      <c r="H268" s="458"/>
      <c r="I268" s="234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</row>
    <row r="269" spans="1:189">
      <c r="A269" s="444" t="s">
        <v>1975</v>
      </c>
      <c r="B269" s="359" t="s">
        <v>2196</v>
      </c>
      <c r="C269" s="360" t="s">
        <v>352</v>
      </c>
      <c r="D269" s="361"/>
      <c r="E269" s="432">
        <f t="shared" si="4"/>
        <v>0</v>
      </c>
      <c r="F269" s="402"/>
      <c r="G269" s="481"/>
      <c r="H269" s="459"/>
      <c r="I269" s="234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</row>
    <row r="270" spans="1:189" ht="24">
      <c r="A270" s="444" t="s">
        <v>1975</v>
      </c>
      <c r="B270" s="359" t="s">
        <v>2197</v>
      </c>
      <c r="C270" s="360" t="s">
        <v>353</v>
      </c>
      <c r="D270" s="361"/>
      <c r="E270" s="432">
        <f t="shared" si="4"/>
        <v>390000</v>
      </c>
      <c r="F270" s="402">
        <v>390000</v>
      </c>
      <c r="G270" s="481"/>
      <c r="H270" s="392">
        <v>390000</v>
      </c>
      <c r="I270" s="234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</row>
    <row r="271" spans="1:189" ht="24">
      <c r="A271" s="444" t="s">
        <v>1975</v>
      </c>
      <c r="B271" s="359" t="s">
        <v>2198</v>
      </c>
      <c r="C271" s="360" t="s">
        <v>354</v>
      </c>
      <c r="D271" s="361"/>
      <c r="E271" s="432">
        <f t="shared" si="4"/>
        <v>0</v>
      </c>
      <c r="F271" s="402"/>
      <c r="G271" s="481"/>
      <c r="H271" s="392"/>
      <c r="I271" s="234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</row>
    <row r="272" spans="1:189">
      <c r="A272" s="444" t="s">
        <v>1975</v>
      </c>
      <c r="B272" s="359" t="s">
        <v>2199</v>
      </c>
      <c r="C272" s="360" t="s">
        <v>355</v>
      </c>
      <c r="D272" s="361"/>
      <c r="E272" s="432">
        <f t="shared" si="4"/>
        <v>122000</v>
      </c>
      <c r="F272" s="402">
        <v>122000</v>
      </c>
      <c r="G272" s="481"/>
      <c r="H272" s="392">
        <v>122000</v>
      </c>
      <c r="I272" s="234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</row>
    <row r="273" spans="1:189">
      <c r="A273" s="444" t="s">
        <v>1975</v>
      </c>
      <c r="B273" s="359" t="s">
        <v>2200</v>
      </c>
      <c r="C273" s="360" t="s">
        <v>356</v>
      </c>
      <c r="D273" s="361"/>
      <c r="E273" s="432">
        <f t="shared" si="4"/>
        <v>892</v>
      </c>
      <c r="F273" s="402">
        <v>892</v>
      </c>
      <c r="G273" s="481"/>
      <c r="H273" s="392">
        <v>892</v>
      </c>
      <c r="I273" s="234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</row>
    <row r="274" spans="1:189">
      <c r="A274" s="444" t="s">
        <v>1975</v>
      </c>
      <c r="B274" s="359" t="s">
        <v>2201</v>
      </c>
      <c r="C274" s="360" t="s">
        <v>357</v>
      </c>
      <c r="D274" s="361"/>
      <c r="E274" s="432">
        <f t="shared" si="4"/>
        <v>52000</v>
      </c>
      <c r="F274" s="402">
        <v>52000</v>
      </c>
      <c r="G274" s="481"/>
      <c r="H274" s="392">
        <v>52000</v>
      </c>
      <c r="I274" s="234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</row>
    <row r="275" spans="1:189">
      <c r="A275" s="444" t="s">
        <v>1975</v>
      </c>
      <c r="B275" s="359" t="s">
        <v>2202</v>
      </c>
      <c r="C275" s="360" t="s">
        <v>358</v>
      </c>
      <c r="D275" s="361"/>
      <c r="E275" s="432">
        <f t="shared" si="4"/>
        <v>0</v>
      </c>
      <c r="F275" s="402"/>
      <c r="G275" s="481"/>
      <c r="H275" s="392"/>
      <c r="I275" s="234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</row>
    <row r="276" spans="1:189">
      <c r="A276" s="444" t="s">
        <v>1975</v>
      </c>
      <c r="B276" s="359" t="s">
        <v>2203</v>
      </c>
      <c r="C276" s="360" t="s">
        <v>359</v>
      </c>
      <c r="D276" s="361"/>
      <c r="E276" s="432">
        <f t="shared" si="4"/>
        <v>10000</v>
      </c>
      <c r="F276" s="402">
        <v>10000</v>
      </c>
      <c r="G276" s="481"/>
      <c r="H276" s="392">
        <v>10000</v>
      </c>
      <c r="I276" s="234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</row>
    <row r="277" spans="1:189">
      <c r="A277" s="444" t="s">
        <v>1975</v>
      </c>
      <c r="B277" s="359" t="s">
        <v>2204</v>
      </c>
      <c r="C277" s="360" t="s">
        <v>360</v>
      </c>
      <c r="D277" s="361"/>
      <c r="E277" s="432">
        <f t="shared" si="4"/>
        <v>4000</v>
      </c>
      <c r="F277" s="402">
        <v>4000</v>
      </c>
      <c r="G277" s="481"/>
      <c r="H277" s="392">
        <v>4000</v>
      </c>
      <c r="I277" s="234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</row>
    <row r="278" spans="1:189" ht="24">
      <c r="A278" s="444" t="s">
        <v>1975</v>
      </c>
      <c r="B278" s="359" t="s">
        <v>2205</v>
      </c>
      <c r="C278" s="360" t="s">
        <v>361</v>
      </c>
      <c r="D278" s="361"/>
      <c r="E278" s="432">
        <f t="shared" si="4"/>
        <v>8000</v>
      </c>
      <c r="F278" s="402">
        <v>8000</v>
      </c>
      <c r="G278" s="481"/>
      <c r="H278" s="392">
        <v>8000</v>
      </c>
      <c r="I278" s="234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</row>
    <row r="279" spans="1:189">
      <c r="A279" s="444" t="s">
        <v>1975</v>
      </c>
      <c r="B279" s="359" t="s">
        <v>2206</v>
      </c>
      <c r="C279" s="360" t="s">
        <v>362</v>
      </c>
      <c r="D279" s="361"/>
      <c r="E279" s="432">
        <f t="shared" si="4"/>
        <v>0</v>
      </c>
      <c r="F279" s="402"/>
      <c r="G279" s="481"/>
      <c r="H279" s="392"/>
      <c r="I279" s="234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</row>
    <row r="280" spans="1:189">
      <c r="A280" s="444" t="s">
        <v>1975</v>
      </c>
      <c r="B280" s="359" t="s">
        <v>2207</v>
      </c>
      <c r="C280" s="360" t="s">
        <v>363</v>
      </c>
      <c r="D280" s="361"/>
      <c r="E280" s="432">
        <f t="shared" si="4"/>
        <v>11000</v>
      </c>
      <c r="F280" s="402">
        <v>11000</v>
      </c>
      <c r="G280" s="481"/>
      <c r="H280" s="392">
        <v>11000</v>
      </c>
      <c r="I280" s="234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</row>
    <row r="281" spans="1:189">
      <c r="A281" s="444" t="s">
        <v>1975</v>
      </c>
      <c r="B281" s="359" t="s">
        <v>2208</v>
      </c>
      <c r="C281" s="360" t="s">
        <v>350</v>
      </c>
      <c r="D281" s="361"/>
      <c r="E281" s="432">
        <f t="shared" si="4"/>
        <v>200000</v>
      </c>
      <c r="F281" s="402">
        <v>200000</v>
      </c>
      <c r="G281" s="481"/>
      <c r="H281" s="392">
        <v>200000</v>
      </c>
      <c r="I281" s="234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</row>
    <row r="282" spans="1:189" ht="25.5">
      <c r="A282" s="456" t="s">
        <v>1969</v>
      </c>
      <c r="B282" s="357" t="s">
        <v>364</v>
      </c>
      <c r="C282" s="356" t="s">
        <v>2209</v>
      </c>
      <c r="D282" s="358"/>
      <c r="E282" s="433"/>
      <c r="F282" s="366"/>
      <c r="G282" s="366"/>
      <c r="H282" s="458"/>
      <c r="I282" s="234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</row>
    <row r="283" spans="1:189" ht="38.25">
      <c r="A283" s="456" t="s">
        <v>1971</v>
      </c>
      <c r="B283" s="357" t="s">
        <v>365</v>
      </c>
      <c r="C283" s="356" t="s">
        <v>2210</v>
      </c>
      <c r="D283" s="358"/>
      <c r="E283" s="433"/>
      <c r="F283" s="366"/>
      <c r="G283" s="366"/>
      <c r="H283" s="458"/>
      <c r="I283" s="234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</row>
    <row r="284" spans="1:189" ht="36">
      <c r="A284" s="444" t="s">
        <v>1973</v>
      </c>
      <c r="B284" s="359" t="s">
        <v>2211</v>
      </c>
      <c r="C284" s="360" t="s">
        <v>1825</v>
      </c>
      <c r="D284" s="361"/>
      <c r="E284" s="432">
        <f t="shared" si="4"/>
        <v>9000000</v>
      </c>
      <c r="F284" s="402">
        <v>9000000</v>
      </c>
      <c r="G284" s="481"/>
      <c r="H284" s="392">
        <v>8724006</v>
      </c>
      <c r="I284" s="234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</row>
    <row r="285" spans="1:189" ht="25.5">
      <c r="A285" s="456" t="s">
        <v>1971</v>
      </c>
      <c r="B285" s="357" t="s">
        <v>367</v>
      </c>
      <c r="C285" s="356" t="s">
        <v>2212</v>
      </c>
      <c r="D285" s="358"/>
      <c r="E285" s="433"/>
      <c r="F285" s="366"/>
      <c r="G285" s="366"/>
      <c r="H285" s="458"/>
      <c r="I285" s="234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</row>
    <row r="286" spans="1:189" ht="24">
      <c r="A286" s="444" t="s">
        <v>1973</v>
      </c>
      <c r="B286" s="359" t="s">
        <v>2213</v>
      </c>
      <c r="C286" s="360" t="s">
        <v>366</v>
      </c>
      <c r="D286" s="361"/>
      <c r="E286" s="432">
        <f t="shared" si="4"/>
        <v>72000</v>
      </c>
      <c r="F286" s="402">
        <v>72000</v>
      </c>
      <c r="G286" s="481"/>
      <c r="H286" s="392">
        <v>71694</v>
      </c>
      <c r="I286" s="234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</row>
    <row r="287" spans="1:189" ht="25.5">
      <c r="A287" s="456" t="s">
        <v>1971</v>
      </c>
      <c r="B287" s="357" t="s">
        <v>369</v>
      </c>
      <c r="C287" s="356" t="s">
        <v>2214</v>
      </c>
      <c r="D287" s="358"/>
      <c r="E287" s="433"/>
      <c r="F287" s="366"/>
      <c r="G287" s="366"/>
      <c r="H287" s="458"/>
      <c r="I287" s="234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</row>
    <row r="288" spans="1:189" ht="24">
      <c r="A288" s="444" t="s">
        <v>1973</v>
      </c>
      <c r="B288" s="359" t="s">
        <v>2215</v>
      </c>
      <c r="C288" s="360" t="s">
        <v>368</v>
      </c>
      <c r="D288" s="361"/>
      <c r="E288" s="432">
        <f t="shared" si="4"/>
        <v>0</v>
      </c>
      <c r="F288" s="402"/>
      <c r="G288" s="481"/>
      <c r="H288" s="459"/>
      <c r="I288" s="234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</row>
    <row r="289" spans="1:189">
      <c r="A289" s="456" t="s">
        <v>1969</v>
      </c>
      <c r="B289" s="357" t="s">
        <v>370</v>
      </c>
      <c r="C289" s="356" t="s">
        <v>2216</v>
      </c>
      <c r="D289" s="358"/>
      <c r="E289" s="433"/>
      <c r="F289" s="366"/>
      <c r="G289" s="366"/>
      <c r="H289" s="458"/>
      <c r="I289" s="234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</row>
    <row r="290" spans="1:189" ht="25.5">
      <c r="A290" s="456" t="s">
        <v>1971</v>
      </c>
      <c r="B290" s="357" t="s">
        <v>372</v>
      </c>
      <c r="C290" s="356" t="s">
        <v>1365</v>
      </c>
      <c r="D290" s="358"/>
      <c r="E290" s="433"/>
      <c r="F290" s="366"/>
      <c r="G290" s="366"/>
      <c r="H290" s="458"/>
      <c r="I290" s="234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</row>
    <row r="291" spans="1:189" ht="24">
      <c r="A291" s="444" t="s">
        <v>1973</v>
      </c>
      <c r="B291" s="359" t="s">
        <v>2217</v>
      </c>
      <c r="C291" s="360" t="s">
        <v>371</v>
      </c>
      <c r="D291" s="361"/>
      <c r="E291" s="432">
        <f t="shared" si="4"/>
        <v>54000</v>
      </c>
      <c r="F291" s="402">
        <v>54000</v>
      </c>
      <c r="G291" s="481"/>
      <c r="H291" s="392">
        <v>54000</v>
      </c>
      <c r="I291" s="234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</row>
    <row r="292" spans="1:189" ht="25.5">
      <c r="A292" s="456" t="s">
        <v>1971</v>
      </c>
      <c r="B292" s="357" t="s">
        <v>374</v>
      </c>
      <c r="C292" s="356" t="s">
        <v>2218</v>
      </c>
      <c r="D292" s="358"/>
      <c r="E292" s="433"/>
      <c r="F292" s="366"/>
      <c r="G292" s="366"/>
      <c r="H292" s="458"/>
      <c r="I292" s="234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</row>
    <row r="293" spans="1:189" ht="24">
      <c r="A293" s="444" t="s">
        <v>1973</v>
      </c>
      <c r="B293" s="359" t="s">
        <v>2219</v>
      </c>
      <c r="C293" s="360" t="s">
        <v>373</v>
      </c>
      <c r="D293" s="361"/>
      <c r="E293" s="432">
        <f t="shared" si="4"/>
        <v>19760000</v>
      </c>
      <c r="F293" s="402">
        <v>19760000</v>
      </c>
      <c r="G293" s="481"/>
      <c r="H293" s="392">
        <v>19760000</v>
      </c>
      <c r="I293" s="234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</row>
    <row r="294" spans="1:189" ht="25.5">
      <c r="A294" s="456" t="s">
        <v>1971</v>
      </c>
      <c r="B294" s="357" t="s">
        <v>376</v>
      </c>
      <c r="C294" s="356" t="s">
        <v>2220</v>
      </c>
      <c r="D294" s="358"/>
      <c r="E294" s="433"/>
      <c r="F294" s="366"/>
      <c r="G294" s="366"/>
      <c r="H294" s="458"/>
      <c r="I294" s="234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</row>
    <row r="295" spans="1:189" ht="24">
      <c r="A295" s="444" t="s">
        <v>1973</v>
      </c>
      <c r="B295" s="359" t="s">
        <v>2221</v>
      </c>
      <c r="C295" s="360" t="s">
        <v>375</v>
      </c>
      <c r="D295" s="361"/>
      <c r="E295" s="432">
        <f t="shared" si="4"/>
        <v>4410000</v>
      </c>
      <c r="F295" s="402">
        <v>4410000</v>
      </c>
      <c r="G295" s="481"/>
      <c r="H295" s="392">
        <v>4410000</v>
      </c>
      <c r="I295" s="234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</row>
    <row r="296" spans="1:189" ht="25.5">
      <c r="A296" s="456" t="s">
        <v>1971</v>
      </c>
      <c r="B296" s="357" t="s">
        <v>378</v>
      </c>
      <c r="C296" s="356" t="s">
        <v>1368</v>
      </c>
      <c r="D296" s="358"/>
      <c r="E296" s="433"/>
      <c r="F296" s="366"/>
      <c r="G296" s="366"/>
      <c r="H296" s="458"/>
      <c r="I296" s="234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</row>
    <row r="297" spans="1:189" ht="24">
      <c r="A297" s="444" t="s">
        <v>1973</v>
      </c>
      <c r="B297" s="359" t="s">
        <v>2222</v>
      </c>
      <c r="C297" s="360" t="s">
        <v>377</v>
      </c>
      <c r="D297" s="361"/>
      <c r="E297" s="432">
        <f t="shared" si="4"/>
        <v>37000</v>
      </c>
      <c r="F297" s="402">
        <v>37000</v>
      </c>
      <c r="G297" s="481"/>
      <c r="H297" s="392">
        <v>37000</v>
      </c>
      <c r="I297" s="234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</row>
    <row r="298" spans="1:189" ht="25.5">
      <c r="A298" s="456" t="s">
        <v>1971</v>
      </c>
      <c r="B298" s="357" t="s">
        <v>380</v>
      </c>
      <c r="C298" s="356" t="s">
        <v>1369</v>
      </c>
      <c r="D298" s="358"/>
      <c r="E298" s="433"/>
      <c r="F298" s="366"/>
      <c r="G298" s="366"/>
      <c r="H298" s="458"/>
      <c r="I298" s="234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</row>
    <row r="299" spans="1:189" ht="24">
      <c r="A299" s="444" t="s">
        <v>1973</v>
      </c>
      <c r="B299" s="359" t="s">
        <v>2223</v>
      </c>
      <c r="C299" s="360" t="s">
        <v>379</v>
      </c>
      <c r="D299" s="361"/>
      <c r="E299" s="432">
        <f t="shared" si="4"/>
        <v>0</v>
      </c>
      <c r="F299" s="402"/>
      <c r="G299" s="481"/>
      <c r="H299" s="459"/>
      <c r="I299" s="234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</row>
    <row r="300" spans="1:189" ht="25.5">
      <c r="A300" s="456" t="s">
        <v>1971</v>
      </c>
      <c r="B300" s="357" t="s">
        <v>382</v>
      </c>
      <c r="C300" s="356" t="s">
        <v>1370</v>
      </c>
      <c r="D300" s="358"/>
      <c r="E300" s="433"/>
      <c r="F300" s="366"/>
      <c r="G300" s="366"/>
      <c r="H300" s="458"/>
      <c r="I300" s="234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</row>
    <row r="301" spans="1:189" ht="24">
      <c r="A301" s="444" t="s">
        <v>1973</v>
      </c>
      <c r="B301" s="359" t="s">
        <v>2224</v>
      </c>
      <c r="C301" s="360" t="s">
        <v>381</v>
      </c>
      <c r="D301" s="361"/>
      <c r="E301" s="432">
        <f t="shared" si="4"/>
        <v>1690000</v>
      </c>
      <c r="F301" s="402">
        <v>1690000</v>
      </c>
      <c r="G301" s="481"/>
      <c r="H301" s="392">
        <v>1690000</v>
      </c>
      <c r="I301" s="234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</row>
    <row r="302" spans="1:189">
      <c r="A302" s="456" t="s">
        <v>1969</v>
      </c>
      <c r="B302" s="357" t="s">
        <v>383</v>
      </c>
      <c r="C302" s="356" t="s">
        <v>2225</v>
      </c>
      <c r="D302" s="358"/>
      <c r="E302" s="433"/>
      <c r="F302" s="366"/>
      <c r="G302" s="366"/>
      <c r="H302" s="458"/>
      <c r="I302" s="234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</row>
    <row r="303" spans="1:189">
      <c r="A303" s="444" t="s">
        <v>1971</v>
      </c>
      <c r="B303" s="359" t="s">
        <v>2226</v>
      </c>
      <c r="C303" s="360" t="s">
        <v>30</v>
      </c>
      <c r="D303" s="361"/>
      <c r="E303" s="432">
        <f t="shared" si="4"/>
        <v>0</v>
      </c>
      <c r="F303" s="402"/>
      <c r="G303" s="481"/>
      <c r="H303" s="459"/>
      <c r="I303" s="234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</row>
    <row r="304" spans="1:189">
      <c r="A304" s="456" t="s">
        <v>1969</v>
      </c>
      <c r="B304" s="357" t="s">
        <v>384</v>
      </c>
      <c r="C304" s="356" t="s">
        <v>1372</v>
      </c>
      <c r="D304" s="358"/>
      <c r="E304" s="433"/>
      <c r="F304" s="366"/>
      <c r="G304" s="366"/>
      <c r="H304" s="458"/>
      <c r="I304" s="234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</row>
    <row r="305" spans="1:189">
      <c r="A305" s="456" t="s">
        <v>1971</v>
      </c>
      <c r="B305" s="357" t="s">
        <v>385</v>
      </c>
      <c r="C305" s="356" t="s">
        <v>1373</v>
      </c>
      <c r="D305" s="358"/>
      <c r="E305" s="433"/>
      <c r="F305" s="366"/>
      <c r="G305" s="366"/>
      <c r="H305" s="458"/>
      <c r="I305" s="234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</row>
    <row r="306" spans="1:189">
      <c r="A306" s="444">
        <v>5</v>
      </c>
      <c r="B306" s="359" t="s">
        <v>2227</v>
      </c>
      <c r="C306" s="360" t="s">
        <v>386</v>
      </c>
      <c r="D306" s="361"/>
      <c r="E306" s="432">
        <f t="shared" si="4"/>
        <v>0</v>
      </c>
      <c r="F306" s="402"/>
      <c r="G306" s="481"/>
      <c r="H306" s="392"/>
      <c r="I306" s="234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</row>
    <row r="307" spans="1:189">
      <c r="A307" s="444">
        <v>5</v>
      </c>
      <c r="B307" s="359" t="s">
        <v>2228</v>
      </c>
      <c r="C307" s="360" t="s">
        <v>387</v>
      </c>
      <c r="D307" s="361"/>
      <c r="E307" s="432">
        <f t="shared" si="4"/>
        <v>0</v>
      </c>
      <c r="F307" s="402"/>
      <c r="G307" s="481"/>
      <c r="H307" s="392"/>
      <c r="I307" s="234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</row>
    <row r="308" spans="1:189">
      <c r="A308" s="444">
        <v>5</v>
      </c>
      <c r="B308" s="359" t="s">
        <v>2229</v>
      </c>
      <c r="C308" s="360" t="s">
        <v>388</v>
      </c>
      <c r="D308" s="361"/>
      <c r="E308" s="432">
        <f t="shared" si="4"/>
        <v>0</v>
      </c>
      <c r="F308" s="402"/>
      <c r="G308" s="481"/>
      <c r="H308" s="392"/>
      <c r="I308" s="234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</row>
    <row r="309" spans="1:189">
      <c r="A309" s="456" t="s">
        <v>1971</v>
      </c>
      <c r="B309" s="357" t="s">
        <v>389</v>
      </c>
      <c r="C309" s="356" t="s">
        <v>1374</v>
      </c>
      <c r="D309" s="358"/>
      <c r="E309" s="433"/>
      <c r="F309" s="366"/>
      <c r="G309" s="366"/>
      <c r="H309" s="458"/>
      <c r="I309" s="234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</row>
    <row r="310" spans="1:189">
      <c r="A310" s="444">
        <v>5</v>
      </c>
      <c r="B310" s="359" t="s">
        <v>2230</v>
      </c>
      <c r="C310" s="360" t="s">
        <v>390</v>
      </c>
      <c r="D310" s="361"/>
      <c r="E310" s="432">
        <f t="shared" si="4"/>
        <v>5000</v>
      </c>
      <c r="F310" s="392">
        <v>5000</v>
      </c>
      <c r="G310" s="481"/>
      <c r="H310" s="392">
        <v>5000</v>
      </c>
      <c r="I310" s="234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</row>
    <row r="311" spans="1:189">
      <c r="A311" s="444">
        <v>5</v>
      </c>
      <c r="B311" s="359" t="s">
        <v>2231</v>
      </c>
      <c r="C311" s="360" t="s">
        <v>391</v>
      </c>
      <c r="D311" s="361"/>
      <c r="E311" s="432">
        <f t="shared" si="4"/>
        <v>50000</v>
      </c>
      <c r="F311" s="392">
        <v>50000</v>
      </c>
      <c r="G311" s="481"/>
      <c r="H311" s="392">
        <v>50000</v>
      </c>
      <c r="I311" s="234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</row>
    <row r="312" spans="1:189">
      <c r="A312" s="444">
        <v>5</v>
      </c>
      <c r="B312" s="359" t="s">
        <v>2232</v>
      </c>
      <c r="C312" s="360" t="s">
        <v>392</v>
      </c>
      <c r="D312" s="361"/>
      <c r="E312" s="432">
        <f t="shared" si="4"/>
        <v>123000</v>
      </c>
      <c r="F312" s="392">
        <f>47000+14000+18000+17000+15000+10000+2000</f>
        <v>123000</v>
      </c>
      <c r="G312" s="481"/>
      <c r="H312" s="392">
        <f>47000+14000+18000+17000+15000+10000+2000</f>
        <v>123000</v>
      </c>
      <c r="I312" s="234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</row>
    <row r="313" spans="1:189">
      <c r="A313" s="456" t="s">
        <v>1971</v>
      </c>
      <c r="B313" s="357" t="s">
        <v>394</v>
      </c>
      <c r="C313" s="356" t="s">
        <v>1375</v>
      </c>
      <c r="D313" s="358"/>
      <c r="E313" s="433"/>
      <c r="F313" s="366"/>
      <c r="G313" s="366"/>
      <c r="H313" s="458"/>
      <c r="I313" s="234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</row>
    <row r="314" spans="1:189" ht="24">
      <c r="A314" s="444">
        <v>5</v>
      </c>
      <c r="B314" s="359" t="s">
        <v>2233</v>
      </c>
      <c r="C314" s="360" t="s">
        <v>395</v>
      </c>
      <c r="D314" s="361"/>
      <c r="E314" s="432">
        <f t="shared" si="4"/>
        <v>388000</v>
      </c>
      <c r="F314" s="403">
        <f>71000+315000+2000</f>
        <v>388000</v>
      </c>
      <c r="G314" s="481"/>
      <c r="H314" s="392">
        <f>39000+196000+2000</f>
        <v>237000</v>
      </c>
      <c r="I314" s="234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</row>
    <row r="315" spans="1:189">
      <c r="A315" s="444">
        <v>5</v>
      </c>
      <c r="B315" s="359" t="s">
        <v>2234</v>
      </c>
      <c r="C315" s="360" t="s">
        <v>396</v>
      </c>
      <c r="D315" s="361"/>
      <c r="E315" s="432">
        <f t="shared" si="4"/>
        <v>0</v>
      </c>
      <c r="F315" s="402"/>
      <c r="G315" s="481"/>
      <c r="H315" s="392"/>
      <c r="I315" s="234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</row>
    <row r="316" spans="1:189">
      <c r="A316" s="444">
        <v>5</v>
      </c>
      <c r="B316" s="359" t="s">
        <v>2235</v>
      </c>
      <c r="C316" s="360" t="s">
        <v>393</v>
      </c>
      <c r="D316" s="361"/>
      <c r="E316" s="432">
        <f t="shared" si="4"/>
        <v>120000</v>
      </c>
      <c r="F316" s="396">
        <v>120000</v>
      </c>
      <c r="G316" s="481"/>
      <c r="H316" s="396">
        <v>120000</v>
      </c>
      <c r="I316" s="234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</row>
    <row r="317" spans="1:189">
      <c r="A317" s="426">
        <v>2</v>
      </c>
      <c r="B317" s="357" t="s">
        <v>3548</v>
      </c>
      <c r="C317" s="357" t="s">
        <v>3549</v>
      </c>
      <c r="D317" s="367"/>
      <c r="E317" s="433"/>
      <c r="F317" s="377"/>
      <c r="G317" s="377"/>
      <c r="H317" s="463"/>
      <c r="I317" s="234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</row>
    <row r="318" spans="1:189">
      <c r="A318" s="456" t="s">
        <v>1969</v>
      </c>
      <c r="B318" s="357" t="s">
        <v>397</v>
      </c>
      <c r="C318" s="356" t="s">
        <v>1717</v>
      </c>
      <c r="D318" s="358"/>
      <c r="E318" s="433"/>
      <c r="F318" s="378"/>
      <c r="G318" s="378"/>
      <c r="H318" s="464"/>
    </row>
    <row r="319" spans="1:189">
      <c r="A319" s="456" t="s">
        <v>1971</v>
      </c>
      <c r="B319" s="357" t="s">
        <v>399</v>
      </c>
      <c r="C319" s="356" t="s">
        <v>1718</v>
      </c>
      <c r="D319" s="358"/>
      <c r="E319" s="433"/>
      <c r="F319" s="378"/>
      <c r="G319" s="378"/>
      <c r="H319" s="464"/>
    </row>
    <row r="320" spans="1:189">
      <c r="A320" s="444" t="s">
        <v>1973</v>
      </c>
      <c r="B320" s="359" t="s">
        <v>3550</v>
      </c>
      <c r="C320" s="360" t="s">
        <v>398</v>
      </c>
      <c r="D320" s="361"/>
      <c r="E320" s="432">
        <f t="shared" si="4"/>
        <v>0</v>
      </c>
      <c r="F320" s="402"/>
      <c r="G320" s="481"/>
      <c r="H320" s="465"/>
    </row>
    <row r="321" spans="1:8">
      <c r="A321" s="456" t="s">
        <v>1971</v>
      </c>
      <c r="B321" s="357" t="s">
        <v>400</v>
      </c>
      <c r="C321" s="356" t="s">
        <v>1719</v>
      </c>
      <c r="D321" s="358"/>
      <c r="E321" s="433"/>
      <c r="F321" s="378"/>
      <c r="G321" s="378"/>
      <c r="H321" s="464"/>
    </row>
    <row r="322" spans="1:8">
      <c r="A322" s="444" t="s">
        <v>1973</v>
      </c>
      <c r="B322" s="359" t="s">
        <v>3551</v>
      </c>
      <c r="C322" s="360" t="s">
        <v>401</v>
      </c>
      <c r="D322" s="361"/>
      <c r="E322" s="432">
        <f t="shared" si="4"/>
        <v>0</v>
      </c>
      <c r="F322" s="402"/>
      <c r="G322" s="481"/>
      <c r="H322" s="465"/>
    </row>
    <row r="323" spans="1:8">
      <c r="A323" s="444" t="s">
        <v>1973</v>
      </c>
      <c r="B323" s="359" t="s">
        <v>3552</v>
      </c>
      <c r="C323" s="360" t="s">
        <v>402</v>
      </c>
      <c r="D323" s="361"/>
      <c r="E323" s="432">
        <f t="shared" si="4"/>
        <v>0</v>
      </c>
      <c r="F323" s="402"/>
      <c r="G323" s="481"/>
      <c r="H323" s="465"/>
    </row>
    <row r="324" spans="1:8">
      <c r="A324" s="456" t="s">
        <v>1971</v>
      </c>
      <c r="B324" s="357" t="s">
        <v>404</v>
      </c>
      <c r="C324" s="356" t="s">
        <v>1720</v>
      </c>
      <c r="D324" s="358"/>
      <c r="E324" s="433"/>
      <c r="F324" s="378"/>
      <c r="G324" s="378"/>
      <c r="H324" s="464"/>
    </row>
    <row r="325" spans="1:8">
      <c r="A325" s="444" t="s">
        <v>1973</v>
      </c>
      <c r="B325" s="359" t="s">
        <v>3553</v>
      </c>
      <c r="C325" s="360" t="s">
        <v>405</v>
      </c>
      <c r="D325" s="361"/>
      <c r="E325" s="432">
        <f t="shared" si="4"/>
        <v>0</v>
      </c>
      <c r="F325" s="402"/>
      <c r="G325" s="481"/>
      <c r="H325" s="465"/>
    </row>
    <row r="326" spans="1:8">
      <c r="A326" s="444" t="s">
        <v>1973</v>
      </c>
      <c r="B326" s="359" t="s">
        <v>3554</v>
      </c>
      <c r="C326" s="360" t="s">
        <v>3555</v>
      </c>
      <c r="D326" s="361"/>
      <c r="E326" s="432">
        <f t="shared" si="4"/>
        <v>0</v>
      </c>
      <c r="F326" s="402"/>
      <c r="G326" s="481"/>
      <c r="H326" s="465"/>
    </row>
    <row r="327" spans="1:8">
      <c r="A327" s="444" t="s">
        <v>1973</v>
      </c>
      <c r="B327" s="359" t="s">
        <v>3556</v>
      </c>
      <c r="C327" s="360" t="s">
        <v>403</v>
      </c>
      <c r="D327" s="361"/>
      <c r="E327" s="432">
        <f t="shared" si="4"/>
        <v>0</v>
      </c>
      <c r="F327" s="402"/>
      <c r="G327" s="481"/>
      <c r="H327" s="466">
        <v>5413</v>
      </c>
    </row>
    <row r="328" spans="1:8">
      <c r="A328" s="456" t="s">
        <v>1969</v>
      </c>
      <c r="B328" s="357" t="s">
        <v>406</v>
      </c>
      <c r="C328" s="356" t="s">
        <v>1721</v>
      </c>
      <c r="D328" s="358"/>
      <c r="E328" s="433"/>
      <c r="F328" s="378"/>
      <c r="G328" s="378"/>
      <c r="H328" s="464"/>
    </row>
    <row r="329" spans="1:8">
      <c r="A329" s="456" t="s">
        <v>1971</v>
      </c>
      <c r="B329" s="357" t="s">
        <v>408</v>
      </c>
      <c r="C329" s="356" t="s">
        <v>1722</v>
      </c>
      <c r="D329" s="358"/>
      <c r="E329" s="433"/>
      <c r="F329" s="378"/>
      <c r="G329" s="378"/>
      <c r="H329" s="464"/>
    </row>
    <row r="330" spans="1:8">
      <c r="A330" s="444" t="s">
        <v>1973</v>
      </c>
      <c r="B330" s="359" t="s">
        <v>3557</v>
      </c>
      <c r="C330" s="360" t="s">
        <v>407</v>
      </c>
      <c r="D330" s="361"/>
      <c r="E330" s="432">
        <f t="shared" ref="E330:E388" si="5">+F330+G330</f>
        <v>0</v>
      </c>
      <c r="F330" s="402"/>
      <c r="G330" s="481"/>
      <c r="H330" s="465"/>
    </row>
    <row r="331" spans="1:8" ht="25.5">
      <c r="A331" s="456" t="s">
        <v>1971</v>
      </c>
      <c r="B331" s="357" t="s">
        <v>410</v>
      </c>
      <c r="C331" s="356" t="s">
        <v>1723</v>
      </c>
      <c r="D331" s="358"/>
      <c r="E331" s="433"/>
      <c r="F331" s="378"/>
      <c r="G331" s="378"/>
      <c r="H331" s="464"/>
    </row>
    <row r="332" spans="1:8" ht="24">
      <c r="A332" s="444" t="s">
        <v>1973</v>
      </c>
      <c r="B332" s="359" t="s">
        <v>3558</v>
      </c>
      <c r="C332" s="360" t="s">
        <v>409</v>
      </c>
      <c r="D332" s="361"/>
      <c r="E332" s="432">
        <f t="shared" si="5"/>
        <v>0</v>
      </c>
      <c r="F332" s="402"/>
      <c r="G332" s="481"/>
      <c r="H332" s="465"/>
    </row>
    <row r="333" spans="1:8" ht="25.5">
      <c r="A333" s="456" t="s">
        <v>1971</v>
      </c>
      <c r="B333" s="357" t="s">
        <v>412</v>
      </c>
      <c r="C333" s="356" t="s">
        <v>1724</v>
      </c>
      <c r="D333" s="358"/>
      <c r="E333" s="433"/>
      <c r="F333" s="378"/>
      <c r="G333" s="378"/>
      <c r="H333" s="464"/>
    </row>
    <row r="334" spans="1:8">
      <c r="A334" s="444" t="s">
        <v>1973</v>
      </c>
      <c r="B334" s="359" t="s">
        <v>3559</v>
      </c>
      <c r="C334" s="360" t="s">
        <v>411</v>
      </c>
      <c r="D334" s="361"/>
      <c r="E334" s="432">
        <f t="shared" si="5"/>
        <v>0</v>
      </c>
      <c r="F334" s="402"/>
      <c r="G334" s="481"/>
      <c r="H334" s="465"/>
    </row>
    <row r="335" spans="1:8">
      <c r="A335" s="456" t="s">
        <v>1971</v>
      </c>
      <c r="B335" s="357" t="s">
        <v>414</v>
      </c>
      <c r="C335" s="356" t="s">
        <v>1725</v>
      </c>
      <c r="D335" s="358"/>
      <c r="E335" s="433"/>
      <c r="F335" s="378"/>
      <c r="G335" s="378"/>
      <c r="H335" s="464"/>
    </row>
    <row r="336" spans="1:8">
      <c r="A336" s="444" t="s">
        <v>1973</v>
      </c>
      <c r="B336" s="359" t="s">
        <v>3560</v>
      </c>
      <c r="C336" s="360" t="s">
        <v>413</v>
      </c>
      <c r="D336" s="361"/>
      <c r="E336" s="432">
        <f t="shared" si="5"/>
        <v>0</v>
      </c>
      <c r="F336" s="402"/>
      <c r="G336" s="481"/>
      <c r="H336" s="465"/>
    </row>
    <row r="337" spans="1:8">
      <c r="A337" s="456" t="s">
        <v>1971</v>
      </c>
      <c r="B337" s="357" t="s">
        <v>416</v>
      </c>
      <c r="C337" s="356" t="s">
        <v>1726</v>
      </c>
      <c r="D337" s="358"/>
      <c r="E337" s="433"/>
      <c r="F337" s="378"/>
      <c r="G337" s="378"/>
      <c r="H337" s="464"/>
    </row>
    <row r="338" spans="1:8">
      <c r="A338" s="444" t="s">
        <v>1973</v>
      </c>
      <c r="B338" s="359" t="s">
        <v>3561</v>
      </c>
      <c r="C338" s="360" t="s">
        <v>415</v>
      </c>
      <c r="D338" s="361"/>
      <c r="E338" s="432">
        <f t="shared" si="5"/>
        <v>0</v>
      </c>
      <c r="F338" s="402"/>
      <c r="G338" s="481"/>
      <c r="H338" s="465"/>
    </row>
    <row r="339" spans="1:8">
      <c r="A339" s="426">
        <v>2</v>
      </c>
      <c r="B339" s="357" t="s">
        <v>3570</v>
      </c>
      <c r="C339" s="357" t="s">
        <v>3571</v>
      </c>
      <c r="D339" s="367"/>
      <c r="E339" s="433"/>
      <c r="F339" s="377"/>
      <c r="G339" s="377"/>
      <c r="H339" s="463"/>
    </row>
    <row r="340" spans="1:8">
      <c r="A340" s="456" t="s">
        <v>1969</v>
      </c>
      <c r="B340" s="357" t="s">
        <v>418</v>
      </c>
      <c r="C340" s="356" t="s">
        <v>3572</v>
      </c>
      <c r="D340" s="358"/>
      <c r="E340" s="433"/>
      <c r="F340" s="378"/>
      <c r="G340" s="378"/>
      <c r="H340" s="464"/>
    </row>
    <row r="341" spans="1:8">
      <c r="A341" s="444" t="s">
        <v>1971</v>
      </c>
      <c r="B341" s="359" t="s">
        <v>3573</v>
      </c>
      <c r="C341" s="360" t="s">
        <v>417</v>
      </c>
      <c r="D341" s="361"/>
      <c r="E341" s="432">
        <f t="shared" si="5"/>
        <v>0</v>
      </c>
      <c r="F341" s="402"/>
      <c r="G341" s="481"/>
      <c r="H341" s="465"/>
    </row>
    <row r="342" spans="1:8">
      <c r="A342" s="428" t="s">
        <v>1966</v>
      </c>
      <c r="B342" s="357" t="s">
        <v>3576</v>
      </c>
      <c r="C342" s="356" t="s">
        <v>3577</v>
      </c>
      <c r="D342" s="358"/>
      <c r="E342" s="433"/>
      <c r="F342" s="378"/>
      <c r="G342" s="378"/>
      <c r="H342" s="464"/>
    </row>
    <row r="343" spans="1:8">
      <c r="A343" s="456" t="s">
        <v>1969</v>
      </c>
      <c r="B343" s="357" t="s">
        <v>419</v>
      </c>
      <c r="C343" s="356" t="s">
        <v>1743</v>
      </c>
      <c r="D343" s="358"/>
      <c r="E343" s="433"/>
      <c r="F343" s="378"/>
      <c r="G343" s="378"/>
      <c r="H343" s="464"/>
    </row>
    <row r="344" spans="1:8">
      <c r="A344" s="456" t="s">
        <v>1971</v>
      </c>
      <c r="B344" s="357" t="s">
        <v>421</v>
      </c>
      <c r="C344" s="356" t="s">
        <v>1744</v>
      </c>
      <c r="D344" s="358"/>
      <c r="E344" s="433"/>
      <c r="F344" s="378"/>
      <c r="G344" s="378"/>
      <c r="H344" s="464"/>
    </row>
    <row r="345" spans="1:8">
      <c r="A345" s="444" t="s">
        <v>1973</v>
      </c>
      <c r="B345" s="359" t="s">
        <v>3578</v>
      </c>
      <c r="C345" s="360" t="s">
        <v>420</v>
      </c>
      <c r="D345" s="361"/>
      <c r="E345" s="432">
        <f t="shared" si="5"/>
        <v>0</v>
      </c>
      <c r="F345" s="402"/>
      <c r="G345" s="481"/>
      <c r="H345" s="465"/>
    </row>
    <row r="346" spans="1:8">
      <c r="A346" s="456" t="s">
        <v>1971</v>
      </c>
      <c r="B346" s="357" t="s">
        <v>423</v>
      </c>
      <c r="C346" s="356" t="s">
        <v>1745</v>
      </c>
      <c r="D346" s="358"/>
      <c r="E346" s="433"/>
      <c r="F346" s="378"/>
      <c r="G346" s="378"/>
      <c r="H346" s="464"/>
    </row>
    <row r="347" spans="1:8">
      <c r="A347" s="456" t="s">
        <v>1973</v>
      </c>
      <c r="B347" s="357" t="s">
        <v>425</v>
      </c>
      <c r="C347" s="356" t="s">
        <v>1746</v>
      </c>
      <c r="D347" s="358"/>
      <c r="E347" s="433"/>
      <c r="F347" s="378"/>
      <c r="G347" s="378"/>
      <c r="H347" s="464"/>
    </row>
    <row r="348" spans="1:8">
      <c r="A348" s="444" t="s">
        <v>1975</v>
      </c>
      <c r="B348" s="359" t="s">
        <v>3579</v>
      </c>
      <c r="C348" s="360" t="s">
        <v>424</v>
      </c>
      <c r="D348" s="361"/>
      <c r="E348" s="432">
        <f t="shared" si="5"/>
        <v>0</v>
      </c>
      <c r="F348" s="402"/>
      <c r="G348" s="481"/>
      <c r="H348" s="392">
        <v>67623</v>
      </c>
    </row>
    <row r="349" spans="1:8">
      <c r="A349" s="456" t="s">
        <v>1973</v>
      </c>
      <c r="B349" s="357" t="s">
        <v>426</v>
      </c>
      <c r="C349" s="356" t="s">
        <v>1747</v>
      </c>
      <c r="D349" s="358"/>
      <c r="E349" s="433"/>
      <c r="F349" s="378"/>
      <c r="G349" s="378"/>
      <c r="H349" s="464"/>
    </row>
    <row r="350" spans="1:8" ht="25.5">
      <c r="A350" s="456" t="s">
        <v>1975</v>
      </c>
      <c r="B350" s="357" t="s">
        <v>428</v>
      </c>
      <c r="C350" s="356" t="s">
        <v>1748</v>
      </c>
      <c r="D350" s="358"/>
      <c r="E350" s="433"/>
      <c r="F350" s="378"/>
      <c r="G350" s="378"/>
      <c r="H350" s="464"/>
    </row>
    <row r="351" spans="1:8">
      <c r="A351" s="444" t="s">
        <v>1978</v>
      </c>
      <c r="B351" s="359" t="s">
        <v>3580</v>
      </c>
      <c r="C351" s="360" t="s">
        <v>427</v>
      </c>
      <c r="D351" s="361"/>
      <c r="E351" s="432">
        <f t="shared" si="5"/>
        <v>0</v>
      </c>
      <c r="F351" s="402"/>
      <c r="G351" s="481"/>
      <c r="H351" s="465"/>
    </row>
    <row r="352" spans="1:8" ht="25.5">
      <c r="A352" s="456" t="s">
        <v>1975</v>
      </c>
      <c r="B352" s="357" t="s">
        <v>430</v>
      </c>
      <c r="C352" s="356" t="s">
        <v>1749</v>
      </c>
      <c r="D352" s="358" t="s">
        <v>1253</v>
      </c>
      <c r="E352" s="433"/>
      <c r="F352" s="378"/>
      <c r="G352" s="378"/>
      <c r="H352" s="464"/>
    </row>
    <row r="353" spans="1:8" ht="24">
      <c r="A353" s="444" t="s">
        <v>1978</v>
      </c>
      <c r="B353" s="359" t="s">
        <v>3581</v>
      </c>
      <c r="C353" s="360" t="s">
        <v>429</v>
      </c>
      <c r="D353" s="361" t="s">
        <v>1253</v>
      </c>
      <c r="E353" s="432">
        <f t="shared" si="5"/>
        <v>0</v>
      </c>
      <c r="F353" s="402"/>
      <c r="G353" s="481"/>
      <c r="H353" s="392">
        <v>690137</v>
      </c>
    </row>
    <row r="354" spans="1:8">
      <c r="A354" s="456" t="s">
        <v>1975</v>
      </c>
      <c r="B354" s="357" t="s">
        <v>431</v>
      </c>
      <c r="C354" s="356" t="s">
        <v>1750</v>
      </c>
      <c r="D354" s="358"/>
      <c r="E354" s="433"/>
      <c r="F354" s="378"/>
      <c r="G354" s="378"/>
      <c r="H354" s="464"/>
    </row>
    <row r="355" spans="1:8" ht="25.5">
      <c r="A355" s="456" t="s">
        <v>1978</v>
      </c>
      <c r="B355" s="357" t="s">
        <v>433</v>
      </c>
      <c r="C355" s="356" t="s">
        <v>1751</v>
      </c>
      <c r="D355" s="358"/>
      <c r="E355" s="433"/>
      <c r="F355" s="378"/>
      <c r="G355" s="378"/>
      <c r="H355" s="464"/>
    </row>
    <row r="356" spans="1:8" ht="24">
      <c r="A356" s="444" t="s">
        <v>2094</v>
      </c>
      <c r="B356" s="359" t="s">
        <v>3582</v>
      </c>
      <c r="C356" s="360" t="s">
        <v>432</v>
      </c>
      <c r="D356" s="361"/>
      <c r="E356" s="432">
        <f t="shared" si="5"/>
        <v>0</v>
      </c>
      <c r="F356" s="402"/>
      <c r="G356" s="481"/>
      <c r="H356" s="392">
        <v>3000</v>
      </c>
    </row>
    <row r="357" spans="1:8" ht="25.5">
      <c r="A357" s="456" t="s">
        <v>1978</v>
      </c>
      <c r="B357" s="357" t="s">
        <v>435</v>
      </c>
      <c r="C357" s="356" t="s">
        <v>1752</v>
      </c>
      <c r="D357" s="358"/>
      <c r="E357" s="433"/>
      <c r="F357" s="378"/>
      <c r="G357" s="378"/>
      <c r="H357" s="464"/>
    </row>
    <row r="358" spans="1:8">
      <c r="A358" s="444" t="s">
        <v>2094</v>
      </c>
      <c r="B358" s="359" t="s">
        <v>3583</v>
      </c>
      <c r="C358" s="360" t="s">
        <v>434</v>
      </c>
      <c r="D358" s="361"/>
      <c r="E358" s="432">
        <f t="shared" si="5"/>
        <v>0</v>
      </c>
      <c r="F358" s="402"/>
      <c r="G358" s="481"/>
      <c r="H358" s="392">
        <v>12000</v>
      </c>
    </row>
    <row r="359" spans="1:8" ht="25.5">
      <c r="A359" s="456" t="s">
        <v>1978</v>
      </c>
      <c r="B359" s="357" t="s">
        <v>437</v>
      </c>
      <c r="C359" s="356" t="s">
        <v>1753</v>
      </c>
      <c r="D359" s="358"/>
      <c r="E359" s="433"/>
      <c r="F359" s="378"/>
      <c r="G359" s="378"/>
      <c r="H359" s="464"/>
    </row>
    <row r="360" spans="1:8" ht="24">
      <c r="A360" s="444" t="s">
        <v>2094</v>
      </c>
      <c r="B360" s="359" t="s">
        <v>3584</v>
      </c>
      <c r="C360" s="360" t="s">
        <v>436</v>
      </c>
      <c r="D360" s="361"/>
      <c r="E360" s="432">
        <f t="shared" si="5"/>
        <v>0</v>
      </c>
      <c r="F360" s="402"/>
      <c r="G360" s="481"/>
      <c r="H360" s="392">
        <v>3000</v>
      </c>
    </row>
    <row r="361" spans="1:8" ht="25.5">
      <c r="A361" s="456" t="s">
        <v>1978</v>
      </c>
      <c r="B361" s="357" t="s">
        <v>439</v>
      </c>
      <c r="C361" s="356" t="s">
        <v>1754</v>
      </c>
      <c r="D361" s="358"/>
      <c r="E361" s="433"/>
      <c r="F361" s="378"/>
      <c r="G361" s="378"/>
      <c r="H361" s="464"/>
    </row>
    <row r="362" spans="1:8" ht="24">
      <c r="A362" s="444" t="s">
        <v>2094</v>
      </c>
      <c r="B362" s="359" t="s">
        <v>3585</v>
      </c>
      <c r="C362" s="360" t="s">
        <v>438</v>
      </c>
      <c r="D362" s="361"/>
      <c r="E362" s="432">
        <f t="shared" si="5"/>
        <v>0</v>
      </c>
      <c r="F362" s="402"/>
      <c r="G362" s="481"/>
      <c r="H362" s="392">
        <v>16000</v>
      </c>
    </row>
    <row r="363" spans="1:8" ht="25.5">
      <c r="A363" s="456" t="s">
        <v>1978</v>
      </c>
      <c r="B363" s="357" t="s">
        <v>441</v>
      </c>
      <c r="C363" s="356" t="s">
        <v>1755</v>
      </c>
      <c r="D363" s="358"/>
      <c r="E363" s="433"/>
      <c r="F363" s="378"/>
      <c r="G363" s="378"/>
      <c r="H363" s="464"/>
    </row>
    <row r="364" spans="1:8" ht="24">
      <c r="A364" s="444" t="s">
        <v>2094</v>
      </c>
      <c r="B364" s="359" t="s">
        <v>3586</v>
      </c>
      <c r="C364" s="360" t="s">
        <v>440</v>
      </c>
      <c r="D364" s="361"/>
      <c r="E364" s="432">
        <f t="shared" si="5"/>
        <v>0</v>
      </c>
      <c r="F364" s="402"/>
      <c r="G364" s="481"/>
      <c r="H364" s="392">
        <v>64000</v>
      </c>
    </row>
    <row r="365" spans="1:8" ht="25.5">
      <c r="A365" s="456" t="s">
        <v>1978</v>
      </c>
      <c r="B365" s="357" t="s">
        <v>443</v>
      </c>
      <c r="C365" s="356" t="s">
        <v>1756</v>
      </c>
      <c r="D365" s="358"/>
      <c r="E365" s="433"/>
      <c r="F365" s="378"/>
      <c r="G365" s="378"/>
      <c r="H365" s="464"/>
    </row>
    <row r="366" spans="1:8" ht="24">
      <c r="A366" s="444" t="s">
        <v>2094</v>
      </c>
      <c r="B366" s="359" t="s">
        <v>3587</v>
      </c>
      <c r="C366" s="360" t="s">
        <v>442</v>
      </c>
      <c r="D366" s="361"/>
      <c r="E366" s="432">
        <f t="shared" si="5"/>
        <v>0</v>
      </c>
      <c r="F366" s="402"/>
      <c r="G366" s="481"/>
      <c r="H366" s="392">
        <v>213000</v>
      </c>
    </row>
    <row r="367" spans="1:8">
      <c r="A367" s="456" t="s">
        <v>1978</v>
      </c>
      <c r="B367" s="357" t="s">
        <v>445</v>
      </c>
      <c r="C367" s="356" t="s">
        <v>1757</v>
      </c>
      <c r="D367" s="358"/>
      <c r="E367" s="433"/>
      <c r="F367" s="378"/>
      <c r="G367" s="378"/>
      <c r="H367" s="464"/>
    </row>
    <row r="368" spans="1:8">
      <c r="A368" s="444" t="s">
        <v>2094</v>
      </c>
      <c r="B368" s="359" t="s">
        <v>3588</v>
      </c>
      <c r="C368" s="360" t="s">
        <v>444</v>
      </c>
      <c r="D368" s="361"/>
      <c r="E368" s="432">
        <f t="shared" si="5"/>
        <v>0</v>
      </c>
      <c r="F368" s="402"/>
      <c r="G368" s="481"/>
      <c r="H368" s="392">
        <f>736000+201660+100261</f>
        <v>1037921</v>
      </c>
    </row>
    <row r="369" spans="1:8">
      <c r="A369" s="456" t="s">
        <v>1973</v>
      </c>
      <c r="B369" s="357" t="s">
        <v>1758</v>
      </c>
      <c r="C369" s="356" t="s">
        <v>3589</v>
      </c>
      <c r="D369" s="358"/>
      <c r="E369" s="433"/>
      <c r="F369" s="378"/>
      <c r="G369" s="378"/>
      <c r="H369" s="464"/>
    </row>
    <row r="370" spans="1:8" ht="25.5">
      <c r="A370" s="456" t="s">
        <v>1975</v>
      </c>
      <c r="B370" s="357" t="s">
        <v>447</v>
      </c>
      <c r="C370" s="356" t="s">
        <v>1760</v>
      </c>
      <c r="D370" s="358" t="s">
        <v>1253</v>
      </c>
      <c r="E370" s="433"/>
      <c r="F370" s="378"/>
      <c r="G370" s="378"/>
      <c r="H370" s="464"/>
    </row>
    <row r="371" spans="1:8" ht="24">
      <c r="A371" s="444" t="s">
        <v>1978</v>
      </c>
      <c r="B371" s="359" t="s">
        <v>3590</v>
      </c>
      <c r="C371" s="360" t="s">
        <v>446</v>
      </c>
      <c r="D371" s="361" t="s">
        <v>1253</v>
      </c>
      <c r="E371" s="432">
        <f t="shared" si="5"/>
        <v>0</v>
      </c>
      <c r="F371" s="402"/>
      <c r="G371" s="481"/>
      <c r="H371" s="465"/>
    </row>
    <row r="372" spans="1:8">
      <c r="A372" s="456" t="s">
        <v>1975</v>
      </c>
      <c r="B372" s="357" t="s">
        <v>1761</v>
      </c>
      <c r="C372" s="356" t="s">
        <v>1762</v>
      </c>
      <c r="D372" s="358"/>
      <c r="E372" s="433"/>
      <c r="F372" s="378"/>
      <c r="G372" s="378"/>
      <c r="H372" s="464"/>
    </row>
    <row r="373" spans="1:8" ht="25.5">
      <c r="A373" s="456" t="s">
        <v>1978</v>
      </c>
      <c r="B373" s="357" t="s">
        <v>449</v>
      </c>
      <c r="C373" s="356" t="s">
        <v>1763</v>
      </c>
      <c r="D373" s="358"/>
      <c r="E373" s="433"/>
      <c r="F373" s="378"/>
      <c r="G373" s="378"/>
      <c r="H373" s="464"/>
    </row>
    <row r="374" spans="1:8" ht="24">
      <c r="A374" s="444" t="s">
        <v>2094</v>
      </c>
      <c r="B374" s="359" t="s">
        <v>3591</v>
      </c>
      <c r="C374" s="360" t="s">
        <v>448</v>
      </c>
      <c r="D374" s="361"/>
      <c r="E374" s="432">
        <f t="shared" si="5"/>
        <v>0</v>
      </c>
      <c r="F374" s="402"/>
      <c r="G374" s="481"/>
      <c r="H374" s="465"/>
    </row>
    <row r="375" spans="1:8" ht="25.5">
      <c r="A375" s="456" t="s">
        <v>1978</v>
      </c>
      <c r="B375" s="357" t="s">
        <v>451</v>
      </c>
      <c r="C375" s="356" t="s">
        <v>1764</v>
      </c>
      <c r="D375" s="358"/>
      <c r="E375" s="433"/>
      <c r="F375" s="378"/>
      <c r="G375" s="378"/>
      <c r="H375" s="464"/>
    </row>
    <row r="376" spans="1:8">
      <c r="A376" s="444" t="s">
        <v>2094</v>
      </c>
      <c r="B376" s="359" t="s">
        <v>3592</v>
      </c>
      <c r="C376" s="360" t="s">
        <v>450</v>
      </c>
      <c r="D376" s="361"/>
      <c r="E376" s="432">
        <f t="shared" si="5"/>
        <v>0</v>
      </c>
      <c r="F376" s="405"/>
      <c r="G376" s="483"/>
      <c r="H376" s="392"/>
    </row>
    <row r="377" spans="1:8" ht="25.5">
      <c r="A377" s="456" t="s">
        <v>1978</v>
      </c>
      <c r="B377" s="357" t="s">
        <v>453</v>
      </c>
      <c r="C377" s="356" t="s">
        <v>1765</v>
      </c>
      <c r="D377" s="358"/>
      <c r="E377" s="433"/>
      <c r="F377" s="378"/>
      <c r="G377" s="378"/>
      <c r="H377" s="464"/>
    </row>
    <row r="378" spans="1:8" ht="24">
      <c r="A378" s="444" t="s">
        <v>2094</v>
      </c>
      <c r="B378" s="359" t="s">
        <v>3593</v>
      </c>
      <c r="C378" s="360" t="s">
        <v>452</v>
      </c>
      <c r="D378" s="361"/>
      <c r="E378" s="432">
        <f t="shared" si="5"/>
        <v>0</v>
      </c>
      <c r="F378" s="402"/>
      <c r="G378" s="481"/>
      <c r="H378" s="465"/>
    </row>
    <row r="379" spans="1:8" ht="25.5">
      <c r="A379" s="456" t="s">
        <v>1978</v>
      </c>
      <c r="B379" s="357" t="s">
        <v>455</v>
      </c>
      <c r="C379" s="356" t="s">
        <v>1766</v>
      </c>
      <c r="D379" s="358"/>
      <c r="E379" s="433"/>
      <c r="F379" s="378"/>
      <c r="G379" s="378"/>
      <c r="H379" s="464"/>
    </row>
    <row r="380" spans="1:8" ht="24">
      <c r="A380" s="444" t="s">
        <v>2094</v>
      </c>
      <c r="B380" s="359" t="s">
        <v>3594</v>
      </c>
      <c r="C380" s="360" t="s">
        <v>454</v>
      </c>
      <c r="D380" s="361"/>
      <c r="E380" s="432">
        <f t="shared" si="5"/>
        <v>0</v>
      </c>
      <c r="F380" s="402"/>
      <c r="G380" s="481"/>
      <c r="H380" s="465"/>
    </row>
    <row r="381" spans="1:8" ht="25.5">
      <c r="A381" s="456" t="s">
        <v>1978</v>
      </c>
      <c r="B381" s="357" t="s">
        <v>457</v>
      </c>
      <c r="C381" s="356" t="s">
        <v>1767</v>
      </c>
      <c r="D381" s="358"/>
      <c r="E381" s="433"/>
      <c r="F381" s="378"/>
      <c r="G381" s="378"/>
      <c r="H381" s="464"/>
    </row>
    <row r="382" spans="1:8" ht="24">
      <c r="A382" s="444" t="s">
        <v>2094</v>
      </c>
      <c r="B382" s="359" t="s">
        <v>3595</v>
      </c>
      <c r="C382" s="360" t="s">
        <v>456</v>
      </c>
      <c r="D382" s="361"/>
      <c r="E382" s="432">
        <f t="shared" si="5"/>
        <v>0</v>
      </c>
      <c r="F382" s="402"/>
      <c r="G382" s="481"/>
      <c r="H382" s="465"/>
    </row>
    <row r="383" spans="1:8" ht="25.5">
      <c r="A383" s="456" t="s">
        <v>1978</v>
      </c>
      <c r="B383" s="357" t="s">
        <v>459</v>
      </c>
      <c r="C383" s="356" t="s">
        <v>1768</v>
      </c>
      <c r="D383" s="358"/>
      <c r="E383" s="433"/>
      <c r="F383" s="378"/>
      <c r="G383" s="378"/>
      <c r="H383" s="464"/>
    </row>
    <row r="384" spans="1:8" ht="24">
      <c r="A384" s="444" t="s">
        <v>2094</v>
      </c>
      <c r="B384" s="359" t="s">
        <v>3596</v>
      </c>
      <c r="C384" s="360" t="s">
        <v>458</v>
      </c>
      <c r="D384" s="361"/>
      <c r="E384" s="432">
        <f t="shared" si="5"/>
        <v>0</v>
      </c>
      <c r="F384" s="402"/>
      <c r="G384" s="481"/>
      <c r="H384" s="392">
        <f>190000+833895</f>
        <v>1023895</v>
      </c>
    </row>
    <row r="385" spans="1:189">
      <c r="A385" s="456" t="s">
        <v>1978</v>
      </c>
      <c r="B385" s="357" t="s">
        <v>461</v>
      </c>
      <c r="C385" s="356" t="s">
        <v>1769</v>
      </c>
      <c r="D385" s="358"/>
      <c r="E385" s="433"/>
      <c r="F385" s="378"/>
      <c r="G385" s="378"/>
      <c r="H385" s="464"/>
    </row>
    <row r="386" spans="1:189">
      <c r="A386" s="444" t="s">
        <v>2094</v>
      </c>
      <c r="B386" s="359" t="s">
        <v>3597</v>
      </c>
      <c r="C386" s="360" t="s">
        <v>460</v>
      </c>
      <c r="D386" s="361"/>
      <c r="E386" s="432">
        <f t="shared" si="5"/>
        <v>0</v>
      </c>
      <c r="F386" s="402"/>
      <c r="G386" s="481"/>
      <c r="H386" s="392">
        <v>2000</v>
      </c>
    </row>
    <row r="387" spans="1:189">
      <c r="A387" s="456" t="s">
        <v>1973</v>
      </c>
      <c r="B387" s="357" t="s">
        <v>462</v>
      </c>
      <c r="C387" s="356" t="s">
        <v>1770</v>
      </c>
      <c r="D387" s="358"/>
      <c r="E387" s="433"/>
      <c r="F387" s="378"/>
      <c r="G387" s="378"/>
      <c r="H387" s="464"/>
    </row>
    <row r="388" spans="1:189" ht="13.5" thickBot="1">
      <c r="A388" s="446" t="s">
        <v>1975</v>
      </c>
      <c r="B388" s="430" t="s">
        <v>3598</v>
      </c>
      <c r="C388" s="431" t="s">
        <v>422</v>
      </c>
      <c r="D388" s="447"/>
      <c r="E388" s="467">
        <f t="shared" si="5"/>
        <v>0</v>
      </c>
      <c r="F388" s="468"/>
      <c r="G388" s="484"/>
      <c r="H388" s="397">
        <v>7000</v>
      </c>
    </row>
    <row r="389" spans="1:189" s="388" customFormat="1">
      <c r="A389" s="438"/>
      <c r="B389" s="439"/>
      <c r="C389" s="440" t="s">
        <v>1863</v>
      </c>
      <c r="D389" s="441"/>
      <c r="E389" s="442">
        <f t="shared" ref="E389:G389" si="6">SUM(E7:E388)</f>
        <v>937072795</v>
      </c>
      <c r="F389" s="442">
        <f t="shared" si="6"/>
        <v>920852886</v>
      </c>
      <c r="G389" s="442">
        <f t="shared" si="6"/>
        <v>16219909</v>
      </c>
      <c r="H389" s="443">
        <f>SUM(H7:H388)</f>
        <v>989651104</v>
      </c>
    </row>
    <row r="390" spans="1:189" s="388" customFormat="1">
      <c r="A390" s="444"/>
      <c r="B390" s="359"/>
      <c r="C390" s="360" t="s">
        <v>3633</v>
      </c>
      <c r="D390" s="361"/>
      <c r="E390" s="435">
        <f>+'Alimentazione CE Costi'!E1197</f>
        <v>937072795</v>
      </c>
      <c r="F390" s="435">
        <f>+'Alimentazione CE Costi'!F1197</f>
        <v>920852886</v>
      </c>
      <c r="G390" s="435">
        <f>+'Alimentazione CE Costi'!G1197</f>
        <v>16219909</v>
      </c>
      <c r="H390" s="445">
        <f>+'Alimentazione CE Costi'!H1197</f>
        <v>989651104</v>
      </c>
    </row>
    <row r="391" spans="1:189" s="388" customFormat="1" ht="13.5" thickBot="1">
      <c r="A391" s="446"/>
      <c r="B391" s="430"/>
      <c r="C391" s="431" t="s">
        <v>1820</v>
      </c>
      <c r="D391" s="447"/>
      <c r="E391" s="448">
        <f t="shared" ref="E391:G391" si="7">+E389-E390</f>
        <v>0</v>
      </c>
      <c r="F391" s="448">
        <f t="shared" si="7"/>
        <v>0</v>
      </c>
      <c r="G391" s="448">
        <f t="shared" si="7"/>
        <v>0</v>
      </c>
      <c r="H391" s="449">
        <f t="shared" ref="H391" si="8">+H389-H390</f>
        <v>0</v>
      </c>
    </row>
    <row r="392" spans="1:189">
      <c r="A392" s="171"/>
      <c r="B392" s="171"/>
      <c r="C392" s="42"/>
      <c r="D392" s="43"/>
      <c r="E392" s="39"/>
      <c r="F392" s="39"/>
      <c r="G392" s="39"/>
      <c r="H392" s="39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  <c r="GE392" s="41"/>
      <c r="GF392" s="41"/>
      <c r="GG392" s="41"/>
    </row>
    <row r="393" spans="1:189">
      <c r="A393" s="171"/>
      <c r="B393" s="171"/>
      <c r="C393" s="42"/>
      <c r="D393" s="43"/>
      <c r="E393" s="39"/>
      <c r="F393" s="39"/>
      <c r="G393" s="39"/>
      <c r="H393" s="39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  <c r="FP393" s="41"/>
      <c r="FQ393" s="41"/>
      <c r="FR393" s="41"/>
      <c r="FS393" s="41"/>
      <c r="FT393" s="41"/>
      <c r="FU393" s="41"/>
      <c r="FV393" s="41"/>
      <c r="FW393" s="41"/>
      <c r="FX393" s="41"/>
      <c r="FY393" s="41"/>
      <c r="FZ393" s="41"/>
      <c r="GA393" s="41"/>
      <c r="GB393" s="41"/>
      <c r="GC393" s="41"/>
      <c r="GD393" s="41"/>
      <c r="GE393" s="41"/>
      <c r="GF393" s="41"/>
      <c r="GG393" s="41"/>
    </row>
    <row r="394" spans="1:189">
      <c r="A394" s="171"/>
      <c r="B394" s="171"/>
      <c r="C394" s="42"/>
      <c r="D394" s="43"/>
      <c r="E394" s="39"/>
      <c r="F394" s="39"/>
      <c r="G394" s="39"/>
      <c r="H394" s="39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  <c r="FP394" s="41"/>
      <c r="FQ394" s="41"/>
      <c r="FR394" s="41"/>
      <c r="FS394" s="41"/>
      <c r="FT394" s="41"/>
      <c r="FU394" s="41"/>
      <c r="FV394" s="41"/>
      <c r="FW394" s="41"/>
      <c r="FX394" s="41"/>
      <c r="FY394" s="41"/>
      <c r="FZ394" s="41"/>
      <c r="GA394" s="41"/>
      <c r="GB394" s="41"/>
      <c r="GC394" s="41"/>
      <c r="GD394" s="41"/>
      <c r="GE394" s="41"/>
      <c r="GF394" s="41"/>
      <c r="GG394" s="41"/>
    </row>
    <row r="395" spans="1:189">
      <c r="A395" s="171"/>
      <c r="B395" s="171"/>
      <c r="C395" s="42"/>
      <c r="D395" s="43"/>
      <c r="E395" s="39"/>
      <c r="F395" s="39"/>
      <c r="G395" s="39"/>
      <c r="H395" s="39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  <c r="FP395" s="41"/>
      <c r="FQ395" s="41"/>
      <c r="FR395" s="41"/>
      <c r="FS395" s="41"/>
      <c r="FT395" s="41"/>
      <c r="FU395" s="41"/>
      <c r="FV395" s="41"/>
      <c r="FW395" s="41"/>
      <c r="FX395" s="41"/>
      <c r="FY395" s="41"/>
      <c r="FZ395" s="41"/>
      <c r="GA395" s="41"/>
      <c r="GB395" s="41"/>
      <c r="GC395" s="41"/>
      <c r="GD395" s="41"/>
      <c r="GE395" s="41"/>
      <c r="GF395" s="41"/>
      <c r="GG395" s="41"/>
    </row>
    <row r="396" spans="1:189">
      <c r="A396" s="171"/>
      <c r="B396" s="171"/>
      <c r="C396" s="42"/>
      <c r="D396" s="43"/>
      <c r="E396" s="39"/>
      <c r="F396" s="39"/>
      <c r="G396" s="39"/>
      <c r="H396" s="39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  <c r="GE396" s="41"/>
      <c r="GF396" s="41"/>
      <c r="GG396" s="41"/>
    </row>
    <row r="397" spans="1:189">
      <c r="A397" s="171"/>
      <c r="B397" s="171"/>
      <c r="C397" s="42"/>
      <c r="D397" s="43"/>
      <c r="E397" s="39"/>
      <c r="F397" s="39"/>
      <c r="G397" s="39"/>
      <c r="H397" s="39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</row>
    <row r="398" spans="1:189">
      <c r="A398" s="171"/>
      <c r="B398" s="171"/>
      <c r="C398" s="42"/>
      <c r="D398" s="43"/>
      <c r="E398" s="39"/>
      <c r="F398" s="39"/>
      <c r="G398" s="39"/>
      <c r="H398" s="39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  <c r="GE398" s="41"/>
      <c r="GF398" s="41"/>
      <c r="GG398" s="41"/>
    </row>
    <row r="399" spans="1:189">
      <c r="A399" s="171"/>
      <c r="B399" s="171"/>
      <c r="C399" s="42"/>
      <c r="D399" s="43"/>
      <c r="E399" s="39"/>
      <c r="F399" s="39"/>
      <c r="G399" s="39"/>
      <c r="H399" s="39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</row>
    <row r="400" spans="1:189">
      <c r="A400" s="171"/>
      <c r="B400" s="171"/>
      <c r="C400" s="42"/>
      <c r="D400" s="43"/>
      <c r="E400" s="39"/>
      <c r="F400" s="39"/>
      <c r="G400" s="39"/>
      <c r="H400" s="39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  <c r="GE400" s="41"/>
      <c r="GF400" s="41"/>
      <c r="GG400" s="41"/>
    </row>
    <row r="401" spans="1:189">
      <c r="A401" s="171"/>
      <c r="B401" s="171"/>
      <c r="C401" s="42"/>
      <c r="D401" s="43"/>
      <c r="E401" s="39"/>
      <c r="F401" s="39"/>
      <c r="G401" s="39"/>
      <c r="H401" s="39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</row>
    <row r="402" spans="1:189">
      <c r="A402" s="171"/>
      <c r="B402" s="171"/>
      <c r="C402" s="42"/>
      <c r="D402" s="43"/>
      <c r="E402" s="39"/>
      <c r="F402" s="39"/>
      <c r="G402" s="39"/>
      <c r="H402" s="39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</row>
    <row r="403" spans="1:189">
      <c r="A403" s="171"/>
      <c r="B403" s="171"/>
      <c r="C403" s="42"/>
      <c r="D403" s="43"/>
      <c r="E403" s="39"/>
      <c r="F403" s="39"/>
      <c r="G403" s="39"/>
      <c r="H403" s="39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</row>
    <row r="404" spans="1:189">
      <c r="A404" s="171"/>
      <c r="B404" s="171"/>
      <c r="C404" s="42"/>
      <c r="D404" s="43"/>
      <c r="E404" s="39"/>
      <c r="F404" s="39"/>
      <c r="G404" s="39"/>
      <c r="H404" s="39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</row>
    <row r="405" spans="1:189">
      <c r="A405" s="171"/>
      <c r="B405" s="171"/>
      <c r="C405" s="42"/>
      <c r="D405" s="43"/>
      <c r="E405" s="39"/>
      <c r="F405" s="39"/>
      <c r="G405" s="39"/>
      <c r="H405" s="39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</row>
    <row r="406" spans="1:189">
      <c r="A406" s="171"/>
      <c r="B406" s="171"/>
      <c r="C406" s="42"/>
      <c r="D406" s="43"/>
      <c r="E406" s="39"/>
      <c r="F406" s="39"/>
      <c r="G406" s="39"/>
      <c r="H406" s="39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</row>
    <row r="407" spans="1:189">
      <c r="A407" s="171"/>
      <c r="B407" s="171"/>
      <c r="C407" s="42"/>
      <c r="D407" s="43"/>
      <c r="E407" s="39"/>
      <c r="F407" s="39"/>
      <c r="G407" s="39"/>
      <c r="H407" s="39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</row>
    <row r="408" spans="1:189">
      <c r="A408" s="171"/>
      <c r="B408" s="171"/>
      <c r="C408" s="42"/>
      <c r="D408" s="43"/>
      <c r="E408" s="39"/>
      <c r="F408" s="39"/>
      <c r="G408" s="39"/>
      <c r="H408" s="39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</row>
    <row r="409" spans="1:189">
      <c r="A409" s="171"/>
      <c r="B409" s="171"/>
      <c r="C409" s="42"/>
      <c r="D409" s="43"/>
      <c r="E409" s="39"/>
      <c r="F409" s="39"/>
      <c r="G409" s="39"/>
      <c r="H409" s="39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</row>
    <row r="410" spans="1:189">
      <c r="A410" s="171"/>
      <c r="B410" s="171"/>
      <c r="C410" s="42"/>
      <c r="D410" s="43"/>
      <c r="E410" s="39"/>
      <c r="F410" s="39"/>
      <c r="G410" s="39"/>
      <c r="H410" s="39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</row>
    <row r="411" spans="1:189">
      <c r="A411" s="171"/>
      <c r="B411" s="171"/>
      <c r="C411" s="42"/>
      <c r="D411" s="43"/>
      <c r="E411" s="39"/>
      <c r="F411" s="39"/>
      <c r="G411" s="39"/>
      <c r="H411" s="39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1"/>
      <c r="GF411" s="41"/>
      <c r="GG411" s="41"/>
    </row>
    <row r="412" spans="1:189">
      <c r="A412" s="171"/>
      <c r="B412" s="171"/>
      <c r="C412" s="42"/>
      <c r="D412" s="43"/>
      <c r="E412" s="39"/>
      <c r="F412" s="39"/>
      <c r="G412" s="39"/>
      <c r="H412" s="39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41"/>
      <c r="GF412" s="41"/>
      <c r="GG412" s="41"/>
    </row>
    <row r="413" spans="1:189">
      <c r="A413" s="171"/>
      <c r="B413" s="171"/>
      <c r="C413" s="42"/>
      <c r="D413" s="43"/>
      <c r="E413" s="39"/>
      <c r="F413" s="39"/>
      <c r="G413" s="39"/>
      <c r="H413" s="39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  <c r="FP413" s="41"/>
      <c r="FQ413" s="41"/>
      <c r="FR413" s="41"/>
      <c r="FS413" s="41"/>
      <c r="FT413" s="41"/>
      <c r="FU413" s="41"/>
      <c r="FV413" s="41"/>
      <c r="FW413" s="41"/>
      <c r="FX413" s="41"/>
      <c r="FY413" s="41"/>
      <c r="FZ413" s="41"/>
      <c r="GA413" s="41"/>
      <c r="GB413" s="41"/>
      <c r="GC413" s="41"/>
      <c r="GD413" s="41"/>
      <c r="GE413" s="41"/>
      <c r="GF413" s="41"/>
      <c r="GG413" s="41"/>
    </row>
    <row r="414" spans="1:189">
      <c r="A414" s="171"/>
      <c r="B414" s="171"/>
      <c r="C414" s="42"/>
      <c r="D414" s="43"/>
      <c r="E414" s="39"/>
      <c r="F414" s="39"/>
      <c r="G414" s="39"/>
      <c r="H414" s="39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  <c r="FP414" s="41"/>
      <c r="FQ414" s="41"/>
      <c r="FR414" s="41"/>
      <c r="FS414" s="41"/>
      <c r="FT414" s="41"/>
      <c r="FU414" s="41"/>
      <c r="FV414" s="41"/>
      <c r="FW414" s="41"/>
      <c r="FX414" s="41"/>
      <c r="FY414" s="41"/>
      <c r="FZ414" s="41"/>
      <c r="GA414" s="41"/>
      <c r="GB414" s="41"/>
      <c r="GC414" s="41"/>
      <c r="GD414" s="41"/>
      <c r="GE414" s="41"/>
      <c r="GF414" s="41"/>
      <c r="GG414" s="41"/>
    </row>
    <row r="415" spans="1:189">
      <c r="A415" s="171"/>
      <c r="B415" s="171"/>
      <c r="C415" s="42"/>
      <c r="D415" s="43"/>
      <c r="E415" s="39"/>
      <c r="F415" s="39"/>
      <c r="G415" s="39"/>
      <c r="H415" s="39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  <c r="FP415" s="41"/>
      <c r="FQ415" s="41"/>
      <c r="FR415" s="41"/>
      <c r="FS415" s="41"/>
      <c r="FT415" s="41"/>
      <c r="FU415" s="41"/>
      <c r="FV415" s="41"/>
      <c r="FW415" s="41"/>
      <c r="FX415" s="41"/>
      <c r="FY415" s="41"/>
      <c r="FZ415" s="41"/>
      <c r="GA415" s="41"/>
      <c r="GB415" s="41"/>
      <c r="GC415" s="41"/>
      <c r="GD415" s="41"/>
      <c r="GE415" s="41"/>
      <c r="GF415" s="41"/>
      <c r="GG415" s="41"/>
    </row>
    <row r="416" spans="1:189">
      <c r="A416" s="171"/>
      <c r="B416" s="171"/>
      <c r="C416" s="42"/>
      <c r="D416" s="43"/>
      <c r="E416" s="39"/>
      <c r="F416" s="39"/>
      <c r="G416" s="39"/>
      <c r="H416" s="39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  <c r="FP416" s="41"/>
      <c r="FQ416" s="41"/>
      <c r="FR416" s="41"/>
      <c r="FS416" s="41"/>
      <c r="FT416" s="41"/>
      <c r="FU416" s="41"/>
      <c r="FV416" s="41"/>
      <c r="FW416" s="41"/>
      <c r="FX416" s="41"/>
      <c r="FY416" s="41"/>
      <c r="FZ416" s="41"/>
      <c r="GA416" s="41"/>
      <c r="GB416" s="41"/>
      <c r="GC416" s="41"/>
      <c r="GD416" s="41"/>
      <c r="GE416" s="41"/>
      <c r="GF416" s="41"/>
      <c r="GG416" s="41"/>
    </row>
    <row r="417" spans="1:189">
      <c r="A417" s="171"/>
      <c r="B417" s="171"/>
      <c r="C417" s="42"/>
      <c r="D417" s="43"/>
      <c r="E417" s="39"/>
      <c r="F417" s="39"/>
      <c r="G417" s="39"/>
      <c r="H417" s="39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  <c r="FP417" s="41"/>
      <c r="FQ417" s="41"/>
      <c r="FR417" s="41"/>
      <c r="FS417" s="41"/>
      <c r="FT417" s="41"/>
      <c r="FU417" s="41"/>
      <c r="FV417" s="41"/>
      <c r="FW417" s="41"/>
      <c r="FX417" s="41"/>
      <c r="FY417" s="41"/>
      <c r="FZ417" s="41"/>
      <c r="GA417" s="41"/>
      <c r="GB417" s="41"/>
      <c r="GC417" s="41"/>
      <c r="GD417" s="41"/>
      <c r="GE417" s="41"/>
      <c r="GF417" s="41"/>
      <c r="GG417" s="41"/>
    </row>
    <row r="418" spans="1:189">
      <c r="A418" s="171"/>
      <c r="B418" s="171"/>
      <c r="C418" s="42"/>
      <c r="D418" s="43"/>
      <c r="E418" s="39"/>
      <c r="F418" s="39"/>
      <c r="G418" s="39"/>
      <c r="H418" s="39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  <c r="GE418" s="41"/>
      <c r="GF418" s="41"/>
      <c r="GG418" s="41"/>
    </row>
    <row r="419" spans="1:189">
      <c r="A419" s="171"/>
      <c r="B419" s="171"/>
      <c r="C419" s="42"/>
      <c r="D419" s="43"/>
      <c r="E419" s="39"/>
      <c r="F419" s="39"/>
      <c r="G419" s="39"/>
      <c r="H419" s="39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</row>
    <row r="420" spans="1:189">
      <c r="A420" s="171"/>
      <c r="B420" s="171"/>
      <c r="C420" s="42"/>
      <c r="D420" s="43"/>
      <c r="E420" s="39"/>
      <c r="F420" s="39"/>
      <c r="G420" s="39"/>
      <c r="H420" s="39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</row>
    <row r="421" spans="1:189">
      <c r="A421" s="171"/>
      <c r="B421" s="171"/>
      <c r="C421" s="42"/>
      <c r="D421" s="43"/>
      <c r="E421" s="39"/>
      <c r="F421" s="39"/>
      <c r="G421" s="39"/>
      <c r="H421" s="39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</row>
    <row r="422" spans="1:189">
      <c r="A422" s="171"/>
      <c r="B422" s="171"/>
      <c r="C422" s="42"/>
      <c r="D422" s="43"/>
      <c r="E422" s="39"/>
      <c r="F422" s="39"/>
      <c r="G422" s="39"/>
      <c r="H422" s="39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41"/>
      <c r="FY422" s="41"/>
      <c r="FZ422" s="41"/>
      <c r="GA422" s="41"/>
      <c r="GB422" s="41"/>
      <c r="GC422" s="41"/>
      <c r="GD422" s="41"/>
      <c r="GE422" s="41"/>
      <c r="GF422" s="41"/>
      <c r="GG422" s="41"/>
    </row>
    <row r="423" spans="1:189">
      <c r="A423" s="171"/>
      <c r="B423" s="171"/>
      <c r="C423" s="42"/>
      <c r="D423" s="43"/>
      <c r="E423" s="39"/>
      <c r="F423" s="39"/>
      <c r="G423" s="39"/>
      <c r="H423" s="39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  <c r="FF423" s="41"/>
      <c r="FG423" s="41"/>
      <c r="FH423" s="41"/>
      <c r="FI423" s="41"/>
      <c r="FJ423" s="41"/>
      <c r="FK423" s="41"/>
      <c r="FL423" s="41"/>
      <c r="FM423" s="41"/>
      <c r="FN423" s="41"/>
      <c r="FO423" s="41"/>
      <c r="FP423" s="41"/>
      <c r="FQ423" s="41"/>
      <c r="FR423" s="41"/>
      <c r="FS423" s="41"/>
      <c r="FT423" s="41"/>
      <c r="FU423" s="41"/>
      <c r="FV423" s="41"/>
      <c r="FW423" s="41"/>
      <c r="FX423" s="41"/>
      <c r="FY423" s="41"/>
      <c r="FZ423" s="41"/>
      <c r="GA423" s="41"/>
      <c r="GB423" s="41"/>
      <c r="GC423" s="41"/>
      <c r="GD423" s="41"/>
      <c r="GE423" s="41"/>
      <c r="GF423" s="41"/>
      <c r="GG423" s="41"/>
    </row>
    <row r="424" spans="1:189">
      <c r="A424" s="171"/>
      <c r="B424" s="171"/>
      <c r="C424" s="42"/>
      <c r="D424" s="43"/>
      <c r="E424" s="39"/>
      <c r="F424" s="39"/>
      <c r="G424" s="39"/>
      <c r="H424" s="39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</row>
    <row r="425" spans="1:189">
      <c r="A425" s="171"/>
      <c r="B425" s="171"/>
      <c r="C425" s="42"/>
      <c r="D425" s="43"/>
      <c r="E425" s="39"/>
      <c r="F425" s="39"/>
      <c r="G425" s="39"/>
      <c r="H425" s="39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</row>
    <row r="426" spans="1:189">
      <c r="A426" s="171"/>
      <c r="B426" s="171"/>
      <c r="C426" s="42"/>
      <c r="D426" s="43"/>
      <c r="E426" s="39"/>
      <c r="F426" s="39"/>
      <c r="G426" s="39"/>
      <c r="H426" s="39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</row>
    <row r="427" spans="1:189">
      <c r="A427" s="171"/>
      <c r="B427" s="171"/>
      <c r="C427" s="42"/>
      <c r="D427" s="43"/>
      <c r="E427" s="39"/>
      <c r="F427" s="39"/>
      <c r="G427" s="39"/>
      <c r="H427" s="39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</row>
    <row r="428" spans="1:189">
      <c r="A428" s="171"/>
      <c r="B428" s="171"/>
      <c r="C428" s="42"/>
      <c r="D428" s="43"/>
      <c r="E428" s="39"/>
      <c r="F428" s="39"/>
      <c r="G428" s="39"/>
      <c r="H428" s="39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</row>
    <row r="429" spans="1:189">
      <c r="A429" s="171"/>
      <c r="B429" s="171"/>
      <c r="C429" s="42"/>
      <c r="D429" s="43"/>
      <c r="E429" s="39"/>
      <c r="F429" s="39"/>
      <c r="G429" s="39"/>
      <c r="H429" s="39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E429" s="41"/>
      <c r="GF429" s="41"/>
      <c r="GG429" s="41"/>
    </row>
    <row r="430" spans="1:189">
      <c r="A430" s="171"/>
      <c r="B430" s="171"/>
      <c r="C430" s="42"/>
      <c r="D430" s="43"/>
      <c r="E430" s="39"/>
      <c r="F430" s="39"/>
      <c r="G430" s="39"/>
      <c r="H430" s="39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</row>
    <row r="431" spans="1:189">
      <c r="A431" s="171"/>
      <c r="B431" s="171"/>
      <c r="C431" s="42"/>
      <c r="D431" s="43"/>
      <c r="E431" s="39"/>
      <c r="F431" s="39"/>
      <c r="G431" s="39"/>
      <c r="H431" s="39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</row>
    <row r="432" spans="1:189">
      <c r="A432" s="171"/>
      <c r="B432" s="171"/>
      <c r="C432" s="42"/>
      <c r="D432" s="43"/>
      <c r="E432" s="39"/>
      <c r="F432" s="39"/>
      <c r="G432" s="39"/>
      <c r="H432" s="39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  <c r="FX432" s="41"/>
      <c r="FY432" s="41"/>
      <c r="FZ432" s="41"/>
      <c r="GA432" s="41"/>
      <c r="GB432" s="41"/>
      <c r="GC432" s="41"/>
      <c r="GD432" s="41"/>
      <c r="GE432" s="41"/>
      <c r="GF432" s="41"/>
      <c r="GG432" s="41"/>
    </row>
    <row r="433" spans="1:189">
      <c r="A433" s="171"/>
      <c r="B433" s="171"/>
      <c r="C433" s="42"/>
      <c r="D433" s="43"/>
      <c r="E433" s="39"/>
      <c r="F433" s="39"/>
      <c r="G433" s="39"/>
      <c r="H433" s="39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1"/>
      <c r="FY433" s="41"/>
      <c r="FZ433" s="41"/>
      <c r="GA433" s="41"/>
      <c r="GB433" s="41"/>
      <c r="GC433" s="41"/>
      <c r="GD433" s="41"/>
      <c r="GE433" s="41"/>
      <c r="GF433" s="41"/>
      <c r="GG433" s="41"/>
    </row>
    <row r="434" spans="1:189">
      <c r="A434" s="171"/>
      <c r="B434" s="171"/>
      <c r="C434" s="42"/>
      <c r="D434" s="43"/>
      <c r="E434" s="39"/>
      <c r="F434" s="39"/>
      <c r="G434" s="39"/>
      <c r="H434" s="39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  <c r="FP434" s="41"/>
      <c r="FQ434" s="41"/>
      <c r="FR434" s="41"/>
      <c r="FS434" s="41"/>
      <c r="FT434" s="41"/>
      <c r="FU434" s="41"/>
      <c r="FV434" s="41"/>
      <c r="FW434" s="41"/>
      <c r="FX434" s="41"/>
      <c r="FY434" s="41"/>
      <c r="FZ434" s="41"/>
      <c r="GA434" s="41"/>
      <c r="GB434" s="41"/>
      <c r="GC434" s="41"/>
      <c r="GD434" s="41"/>
      <c r="GE434" s="41"/>
      <c r="GF434" s="41"/>
      <c r="GG434" s="41"/>
    </row>
    <row r="435" spans="1:189">
      <c r="A435" s="171"/>
      <c r="B435" s="171"/>
      <c r="C435" s="42"/>
      <c r="D435" s="43"/>
      <c r="E435" s="39"/>
      <c r="F435" s="39"/>
      <c r="G435" s="39"/>
      <c r="H435" s="39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  <c r="FH435" s="41"/>
      <c r="FI435" s="41"/>
      <c r="FJ435" s="41"/>
      <c r="FK435" s="41"/>
      <c r="FL435" s="41"/>
      <c r="FM435" s="41"/>
      <c r="FN435" s="41"/>
      <c r="FO435" s="41"/>
      <c r="FP435" s="41"/>
      <c r="FQ435" s="41"/>
      <c r="FR435" s="41"/>
      <c r="FS435" s="41"/>
      <c r="FT435" s="41"/>
      <c r="FU435" s="41"/>
      <c r="FV435" s="41"/>
      <c r="FW435" s="41"/>
      <c r="FX435" s="41"/>
      <c r="FY435" s="41"/>
      <c r="FZ435" s="41"/>
      <c r="GA435" s="41"/>
      <c r="GB435" s="41"/>
      <c r="GC435" s="41"/>
      <c r="GD435" s="41"/>
      <c r="GE435" s="41"/>
      <c r="GF435" s="41"/>
      <c r="GG435" s="41"/>
    </row>
    <row r="436" spans="1:189">
      <c r="A436" s="171"/>
      <c r="B436" s="171"/>
      <c r="C436" s="42"/>
      <c r="D436" s="43"/>
      <c r="E436" s="39"/>
      <c r="F436" s="39"/>
      <c r="G436" s="39"/>
      <c r="H436" s="39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  <c r="FP436" s="41"/>
      <c r="FQ436" s="41"/>
      <c r="FR436" s="41"/>
      <c r="FS436" s="41"/>
      <c r="FT436" s="41"/>
      <c r="FU436" s="41"/>
      <c r="FV436" s="41"/>
      <c r="FW436" s="41"/>
      <c r="FX436" s="41"/>
      <c r="FY436" s="41"/>
      <c r="FZ436" s="41"/>
      <c r="GA436" s="41"/>
      <c r="GB436" s="41"/>
      <c r="GC436" s="41"/>
      <c r="GD436" s="41"/>
      <c r="GE436" s="41"/>
      <c r="GF436" s="41"/>
      <c r="GG436" s="41"/>
    </row>
    <row r="437" spans="1:189">
      <c r="A437" s="171"/>
      <c r="B437" s="171"/>
      <c r="C437" s="42"/>
      <c r="D437" s="43"/>
      <c r="E437" s="39"/>
      <c r="F437" s="39"/>
      <c r="G437" s="39"/>
      <c r="H437" s="39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  <c r="FF437" s="41"/>
      <c r="FG437" s="41"/>
      <c r="FH437" s="41"/>
      <c r="FI437" s="41"/>
      <c r="FJ437" s="41"/>
      <c r="FK437" s="41"/>
      <c r="FL437" s="41"/>
      <c r="FM437" s="41"/>
      <c r="FN437" s="41"/>
      <c r="FO437" s="41"/>
      <c r="FP437" s="41"/>
      <c r="FQ437" s="41"/>
      <c r="FR437" s="41"/>
      <c r="FS437" s="41"/>
      <c r="FT437" s="41"/>
      <c r="FU437" s="41"/>
      <c r="FV437" s="41"/>
      <c r="FW437" s="41"/>
      <c r="FX437" s="41"/>
      <c r="FY437" s="41"/>
      <c r="FZ437" s="41"/>
      <c r="GA437" s="41"/>
      <c r="GB437" s="41"/>
      <c r="GC437" s="41"/>
      <c r="GD437" s="41"/>
      <c r="GE437" s="41"/>
      <c r="GF437" s="41"/>
      <c r="GG437" s="41"/>
    </row>
    <row r="438" spans="1:189">
      <c r="A438" s="171"/>
      <c r="B438" s="171"/>
      <c r="C438" s="42"/>
      <c r="D438" s="43"/>
      <c r="E438" s="39"/>
      <c r="F438" s="39"/>
      <c r="G438" s="39"/>
      <c r="H438" s="39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</row>
    <row r="439" spans="1:189">
      <c r="A439" s="171"/>
      <c r="B439" s="171"/>
      <c r="C439" s="42"/>
      <c r="D439" s="43"/>
      <c r="E439" s="39"/>
      <c r="F439" s="39"/>
      <c r="G439" s="39"/>
      <c r="H439" s="39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</row>
    <row r="440" spans="1:189">
      <c r="A440" s="171"/>
      <c r="B440" s="171"/>
      <c r="C440" s="42"/>
      <c r="D440" s="43"/>
      <c r="E440" s="39"/>
      <c r="F440" s="39"/>
      <c r="G440" s="39"/>
      <c r="H440" s="39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</row>
    <row r="441" spans="1:189">
      <c r="A441" s="171"/>
      <c r="B441" s="171"/>
      <c r="C441" s="42"/>
      <c r="D441" s="43"/>
      <c r="E441" s="39"/>
      <c r="F441" s="39"/>
      <c r="G441" s="39"/>
      <c r="H441" s="39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</row>
    <row r="442" spans="1:189">
      <c r="A442" s="171"/>
      <c r="B442" s="171"/>
      <c r="C442" s="42"/>
      <c r="D442" s="43"/>
      <c r="E442" s="39"/>
      <c r="F442" s="39"/>
      <c r="G442" s="39"/>
      <c r="H442" s="39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41"/>
      <c r="FY442" s="41"/>
      <c r="FZ442" s="41"/>
      <c r="GA442" s="41"/>
      <c r="GB442" s="41"/>
      <c r="GC442" s="41"/>
      <c r="GD442" s="41"/>
      <c r="GE442" s="41"/>
      <c r="GF442" s="41"/>
      <c r="GG442" s="41"/>
    </row>
    <row r="443" spans="1:189">
      <c r="A443" s="171"/>
      <c r="B443" s="171"/>
      <c r="C443" s="42"/>
      <c r="D443" s="43"/>
      <c r="E443" s="39"/>
      <c r="F443" s="39"/>
      <c r="G443" s="39"/>
      <c r="H443" s="39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</row>
    <row r="444" spans="1:189">
      <c r="A444" s="171"/>
      <c r="B444" s="171"/>
      <c r="C444" s="42"/>
      <c r="D444" s="43"/>
      <c r="E444" s="39"/>
      <c r="F444" s="39"/>
      <c r="G444" s="39"/>
      <c r="H444" s="39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  <c r="FP444" s="41"/>
      <c r="FQ444" s="41"/>
      <c r="FR444" s="41"/>
      <c r="FS444" s="41"/>
      <c r="FT444" s="41"/>
      <c r="FU444" s="41"/>
      <c r="FV444" s="41"/>
      <c r="FW444" s="41"/>
      <c r="FX444" s="41"/>
      <c r="FY444" s="41"/>
      <c r="FZ444" s="41"/>
      <c r="GA444" s="41"/>
      <c r="GB444" s="41"/>
      <c r="GC444" s="41"/>
      <c r="GD444" s="41"/>
      <c r="GE444" s="41"/>
      <c r="GF444" s="41"/>
      <c r="GG444" s="41"/>
    </row>
    <row r="445" spans="1:189">
      <c r="A445" s="171"/>
      <c r="B445" s="171"/>
      <c r="C445" s="42"/>
      <c r="D445" s="43"/>
      <c r="E445" s="39"/>
      <c r="F445" s="39"/>
      <c r="G445" s="39"/>
      <c r="H445" s="39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1"/>
      <c r="GF445" s="41"/>
      <c r="GG445" s="41"/>
    </row>
    <row r="446" spans="1:189">
      <c r="A446" s="171"/>
      <c r="B446" s="171"/>
      <c r="C446" s="42"/>
      <c r="D446" s="43"/>
      <c r="E446" s="39"/>
      <c r="F446" s="39"/>
      <c r="G446" s="39"/>
      <c r="H446" s="39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</row>
    <row r="447" spans="1:189">
      <c r="A447" s="171"/>
      <c r="B447" s="171"/>
      <c r="C447" s="42"/>
      <c r="D447" s="43"/>
      <c r="E447" s="39"/>
      <c r="F447" s="39"/>
      <c r="G447" s="39"/>
      <c r="H447" s="39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  <c r="FF447" s="41"/>
      <c r="FG447" s="41"/>
      <c r="FH447" s="41"/>
      <c r="FI447" s="41"/>
      <c r="FJ447" s="41"/>
      <c r="FK447" s="41"/>
      <c r="FL447" s="41"/>
      <c r="FM447" s="41"/>
      <c r="FN447" s="41"/>
      <c r="FO447" s="41"/>
      <c r="FP447" s="41"/>
      <c r="FQ447" s="41"/>
      <c r="FR447" s="41"/>
      <c r="FS447" s="41"/>
      <c r="FT447" s="41"/>
      <c r="FU447" s="41"/>
      <c r="FV447" s="41"/>
      <c r="FW447" s="41"/>
      <c r="FX447" s="41"/>
      <c r="FY447" s="41"/>
      <c r="FZ447" s="41"/>
      <c r="GA447" s="41"/>
      <c r="GB447" s="41"/>
      <c r="GC447" s="41"/>
      <c r="GD447" s="41"/>
      <c r="GE447" s="41"/>
      <c r="GF447" s="41"/>
      <c r="GG447" s="41"/>
    </row>
    <row r="448" spans="1:189">
      <c r="A448" s="171"/>
      <c r="B448" s="171"/>
      <c r="C448" s="42"/>
      <c r="D448" s="43"/>
      <c r="E448" s="39"/>
      <c r="F448" s="39"/>
      <c r="G448" s="39"/>
      <c r="H448" s="39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</row>
    <row r="449" spans="1:189">
      <c r="A449" s="171"/>
      <c r="B449" s="171"/>
      <c r="C449" s="42"/>
      <c r="D449" s="43"/>
      <c r="E449" s="39"/>
      <c r="F449" s="39"/>
      <c r="G449" s="39"/>
      <c r="H449" s="39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1"/>
      <c r="GC449" s="41"/>
      <c r="GD449" s="41"/>
      <c r="GE449" s="41"/>
      <c r="GF449" s="41"/>
      <c r="GG449" s="41"/>
    </row>
    <row r="450" spans="1:189">
      <c r="A450" s="171"/>
      <c r="B450" s="171"/>
      <c r="C450" s="42"/>
      <c r="D450" s="43"/>
      <c r="E450" s="39"/>
      <c r="F450" s="39"/>
      <c r="G450" s="39"/>
      <c r="H450" s="39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</row>
    <row r="451" spans="1:189">
      <c r="A451" s="171"/>
      <c r="B451" s="171"/>
      <c r="C451" s="42"/>
      <c r="D451" s="43"/>
      <c r="E451" s="39"/>
      <c r="F451" s="39"/>
      <c r="G451" s="39"/>
      <c r="H451" s="39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</row>
    <row r="452" spans="1:189">
      <c r="A452" s="171"/>
      <c r="B452" s="171"/>
      <c r="C452" s="42"/>
      <c r="D452" s="43"/>
      <c r="E452" s="39"/>
      <c r="F452" s="39"/>
      <c r="G452" s="39"/>
      <c r="H452" s="39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1"/>
      <c r="GF452" s="41"/>
      <c r="GG452" s="41"/>
    </row>
    <row r="453" spans="1:189">
      <c r="A453" s="171"/>
      <c r="B453" s="171"/>
      <c r="C453" s="42"/>
      <c r="D453" s="43"/>
      <c r="E453" s="39"/>
      <c r="F453" s="39"/>
      <c r="G453" s="39"/>
      <c r="H453" s="39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</row>
    <row r="454" spans="1:189">
      <c r="A454" s="171"/>
      <c r="B454" s="171"/>
      <c r="C454" s="42"/>
      <c r="D454" s="43"/>
      <c r="E454" s="39"/>
      <c r="F454" s="39"/>
      <c r="G454" s="39"/>
      <c r="H454" s="39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1"/>
      <c r="FT454" s="41"/>
      <c r="FU454" s="41"/>
      <c r="FV454" s="41"/>
      <c r="FW454" s="41"/>
      <c r="FX454" s="41"/>
      <c r="FY454" s="41"/>
      <c r="FZ454" s="41"/>
      <c r="GA454" s="41"/>
      <c r="GB454" s="41"/>
      <c r="GC454" s="41"/>
      <c r="GD454" s="41"/>
      <c r="GE454" s="41"/>
      <c r="GF454" s="41"/>
      <c r="GG454" s="41"/>
    </row>
    <row r="455" spans="1:189">
      <c r="A455" s="171"/>
      <c r="B455" s="171"/>
      <c r="C455" s="42"/>
      <c r="D455" s="43"/>
      <c r="E455" s="39"/>
      <c r="F455" s="39"/>
      <c r="G455" s="39"/>
      <c r="H455" s="39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  <c r="FP455" s="41"/>
      <c r="FQ455" s="41"/>
      <c r="FR455" s="41"/>
      <c r="FS455" s="41"/>
      <c r="FT455" s="41"/>
      <c r="FU455" s="41"/>
      <c r="FV455" s="41"/>
      <c r="FW455" s="41"/>
      <c r="FX455" s="41"/>
      <c r="FY455" s="41"/>
      <c r="FZ455" s="41"/>
      <c r="GA455" s="41"/>
      <c r="GB455" s="41"/>
      <c r="GC455" s="41"/>
      <c r="GD455" s="41"/>
      <c r="GE455" s="41"/>
      <c r="GF455" s="41"/>
      <c r="GG455" s="41"/>
    </row>
    <row r="456" spans="1:189">
      <c r="A456" s="171"/>
      <c r="B456" s="171"/>
      <c r="C456" s="42"/>
      <c r="D456" s="43"/>
      <c r="E456" s="39"/>
      <c r="F456" s="39"/>
      <c r="G456" s="39"/>
      <c r="H456" s="39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  <c r="FP456" s="41"/>
      <c r="FQ456" s="41"/>
      <c r="FR456" s="41"/>
      <c r="FS456" s="41"/>
      <c r="FT456" s="41"/>
      <c r="FU456" s="41"/>
      <c r="FV456" s="41"/>
      <c r="FW456" s="41"/>
      <c r="FX456" s="41"/>
      <c r="FY456" s="41"/>
      <c r="FZ456" s="41"/>
      <c r="GA456" s="41"/>
      <c r="GB456" s="41"/>
      <c r="GC456" s="41"/>
      <c r="GD456" s="41"/>
      <c r="GE456" s="41"/>
      <c r="GF456" s="41"/>
      <c r="GG456" s="41"/>
    </row>
    <row r="457" spans="1:189">
      <c r="A457" s="171"/>
      <c r="B457" s="171"/>
      <c r="C457" s="42"/>
      <c r="D457" s="43"/>
      <c r="E457" s="39"/>
      <c r="F457" s="39"/>
      <c r="G457" s="39"/>
      <c r="H457" s="39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</row>
    <row r="458" spans="1:189">
      <c r="A458" s="171"/>
      <c r="B458" s="171"/>
      <c r="C458" s="42"/>
      <c r="D458" s="43"/>
      <c r="E458" s="39"/>
      <c r="F458" s="39"/>
      <c r="G458" s="39"/>
      <c r="H458" s="39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  <c r="FP458" s="41"/>
      <c r="FQ458" s="41"/>
      <c r="FR458" s="41"/>
      <c r="FS458" s="41"/>
      <c r="FT458" s="41"/>
      <c r="FU458" s="41"/>
      <c r="FV458" s="41"/>
      <c r="FW458" s="41"/>
      <c r="FX458" s="41"/>
      <c r="FY458" s="41"/>
      <c r="FZ458" s="41"/>
      <c r="GA458" s="41"/>
      <c r="GB458" s="41"/>
      <c r="GC458" s="41"/>
      <c r="GD458" s="41"/>
      <c r="GE458" s="41"/>
      <c r="GF458" s="41"/>
      <c r="GG458" s="41"/>
    </row>
    <row r="459" spans="1:189">
      <c r="A459" s="171"/>
      <c r="B459" s="171"/>
      <c r="C459" s="42"/>
      <c r="D459" s="43"/>
      <c r="E459" s="39"/>
      <c r="F459" s="39"/>
      <c r="G459" s="39"/>
      <c r="H459" s="39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1"/>
      <c r="FT459" s="41"/>
      <c r="FU459" s="41"/>
      <c r="FV459" s="41"/>
      <c r="FW459" s="41"/>
      <c r="FX459" s="41"/>
      <c r="FY459" s="41"/>
      <c r="FZ459" s="41"/>
      <c r="GA459" s="41"/>
      <c r="GB459" s="41"/>
      <c r="GC459" s="41"/>
      <c r="GD459" s="41"/>
      <c r="GE459" s="41"/>
      <c r="GF459" s="41"/>
      <c r="GG459" s="41"/>
    </row>
    <row r="460" spans="1:189">
      <c r="A460" s="171"/>
      <c r="B460" s="171"/>
      <c r="C460" s="42"/>
      <c r="D460" s="43"/>
      <c r="E460" s="39"/>
      <c r="F460" s="39"/>
      <c r="G460" s="39"/>
      <c r="H460" s="39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</row>
    <row r="461" spans="1:189">
      <c r="A461" s="171"/>
      <c r="B461" s="171"/>
      <c r="C461" s="42"/>
      <c r="D461" s="43"/>
      <c r="E461" s="39"/>
      <c r="F461" s="39"/>
      <c r="G461" s="39"/>
      <c r="H461" s="39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</row>
    <row r="462" spans="1:189">
      <c r="A462" s="171"/>
      <c r="B462" s="171"/>
      <c r="C462" s="42"/>
      <c r="D462" s="43"/>
      <c r="E462" s="39"/>
      <c r="F462" s="39"/>
      <c r="G462" s="39"/>
      <c r="H462" s="39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</row>
    <row r="463" spans="1:189">
      <c r="A463" s="171"/>
      <c r="B463" s="171"/>
      <c r="C463" s="42"/>
      <c r="D463" s="43"/>
      <c r="E463" s="39"/>
      <c r="F463" s="39"/>
      <c r="G463" s="39"/>
      <c r="H463" s="39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</row>
    <row r="464" spans="1:189">
      <c r="A464" s="171"/>
      <c r="B464" s="171"/>
      <c r="C464" s="42"/>
      <c r="D464" s="43"/>
      <c r="E464" s="39"/>
      <c r="F464" s="39"/>
      <c r="G464" s="39"/>
      <c r="H464" s="39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</row>
    <row r="465" spans="1:189">
      <c r="A465" s="171"/>
      <c r="B465" s="171"/>
      <c r="C465" s="42"/>
      <c r="D465" s="43"/>
      <c r="E465" s="39"/>
      <c r="F465" s="39"/>
      <c r="G465" s="39"/>
      <c r="H465" s="39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1"/>
      <c r="FY465" s="41"/>
      <c r="FZ465" s="41"/>
      <c r="GA465" s="41"/>
      <c r="GB465" s="41"/>
      <c r="GC465" s="41"/>
      <c r="GD465" s="41"/>
      <c r="GE465" s="41"/>
      <c r="GF465" s="41"/>
      <c r="GG465" s="41"/>
    </row>
    <row r="466" spans="1:189">
      <c r="A466" s="171"/>
      <c r="B466" s="171"/>
      <c r="C466" s="42"/>
      <c r="D466" s="43"/>
      <c r="E466" s="39"/>
      <c r="F466" s="39"/>
      <c r="G466" s="39"/>
      <c r="H466" s="39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</row>
    <row r="467" spans="1:189">
      <c r="A467" s="171"/>
      <c r="B467" s="171"/>
      <c r="C467" s="42"/>
      <c r="D467" s="43"/>
      <c r="E467" s="39"/>
      <c r="F467" s="39"/>
      <c r="G467" s="39"/>
      <c r="H467" s="39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1"/>
      <c r="FY467" s="41"/>
      <c r="FZ467" s="41"/>
      <c r="GA467" s="41"/>
      <c r="GB467" s="41"/>
      <c r="GC467" s="41"/>
      <c r="GD467" s="41"/>
      <c r="GE467" s="41"/>
      <c r="GF467" s="41"/>
      <c r="GG467" s="41"/>
    </row>
    <row r="468" spans="1:189">
      <c r="A468" s="171"/>
      <c r="B468" s="171"/>
      <c r="C468" s="42"/>
      <c r="D468" s="43"/>
      <c r="E468" s="39"/>
      <c r="F468" s="39"/>
      <c r="G468" s="39"/>
      <c r="H468" s="39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</row>
    <row r="469" spans="1:189">
      <c r="A469" s="171"/>
      <c r="B469" s="171"/>
      <c r="C469" s="42"/>
      <c r="D469" s="43"/>
      <c r="E469" s="39"/>
      <c r="F469" s="39"/>
      <c r="G469" s="39"/>
      <c r="H469" s="39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</row>
    <row r="470" spans="1:189">
      <c r="A470" s="171"/>
      <c r="B470" s="171"/>
      <c r="C470" s="42"/>
      <c r="D470" s="43"/>
      <c r="E470" s="39"/>
      <c r="F470" s="39"/>
      <c r="G470" s="39"/>
      <c r="H470" s="39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</row>
    <row r="471" spans="1:189">
      <c r="A471" s="171"/>
      <c r="B471" s="171"/>
      <c r="C471" s="42"/>
      <c r="D471" s="43"/>
      <c r="E471" s="39"/>
      <c r="F471" s="39"/>
      <c r="G471" s="39"/>
      <c r="H471" s="39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41"/>
      <c r="FY471" s="41"/>
      <c r="FZ471" s="41"/>
      <c r="GA471" s="41"/>
      <c r="GB471" s="41"/>
      <c r="GC471" s="41"/>
      <c r="GD471" s="41"/>
      <c r="GE471" s="41"/>
      <c r="GF471" s="41"/>
      <c r="GG471" s="41"/>
    </row>
    <row r="472" spans="1:189">
      <c r="A472" s="171"/>
      <c r="B472" s="171"/>
      <c r="C472" s="42"/>
      <c r="D472" s="43"/>
      <c r="E472" s="39"/>
      <c r="F472" s="39"/>
      <c r="G472" s="39"/>
      <c r="H472" s="39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  <c r="FP472" s="41"/>
      <c r="FQ472" s="41"/>
      <c r="FR472" s="41"/>
      <c r="FS472" s="41"/>
      <c r="FT472" s="41"/>
      <c r="FU472" s="41"/>
      <c r="FV472" s="41"/>
      <c r="FW472" s="41"/>
      <c r="FX472" s="41"/>
      <c r="FY472" s="41"/>
      <c r="FZ472" s="41"/>
      <c r="GA472" s="41"/>
      <c r="GB472" s="41"/>
      <c r="GC472" s="41"/>
      <c r="GD472" s="41"/>
      <c r="GE472" s="41"/>
      <c r="GF472" s="41"/>
      <c r="GG472" s="41"/>
    </row>
    <row r="473" spans="1:189">
      <c r="A473" s="171"/>
      <c r="B473" s="171"/>
      <c r="C473" s="42"/>
      <c r="D473" s="43"/>
      <c r="E473" s="39"/>
      <c r="F473" s="39"/>
      <c r="G473" s="39"/>
      <c r="H473" s="39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</row>
    <row r="474" spans="1:189">
      <c r="A474" s="171"/>
      <c r="B474" s="171"/>
      <c r="C474" s="42"/>
      <c r="D474" s="43"/>
      <c r="E474" s="39"/>
      <c r="F474" s="39"/>
      <c r="G474" s="39"/>
      <c r="H474" s="39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</row>
    <row r="475" spans="1:189">
      <c r="A475" s="171"/>
      <c r="B475" s="171"/>
      <c r="C475" s="42"/>
      <c r="D475" s="43"/>
      <c r="E475" s="39"/>
      <c r="F475" s="39"/>
      <c r="G475" s="39"/>
      <c r="H475" s="39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</row>
    <row r="476" spans="1:189">
      <c r="A476" s="171"/>
      <c r="B476" s="171"/>
      <c r="C476" s="42"/>
      <c r="D476" s="43"/>
      <c r="E476" s="39"/>
      <c r="F476" s="39"/>
      <c r="G476" s="39"/>
      <c r="H476" s="39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</row>
    <row r="477" spans="1:189">
      <c r="A477" s="171"/>
      <c r="B477" s="171"/>
      <c r="C477" s="42"/>
      <c r="D477" s="43"/>
      <c r="E477" s="39"/>
      <c r="F477" s="39"/>
      <c r="G477" s="39"/>
      <c r="H477" s="39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</row>
    <row r="478" spans="1:189">
      <c r="A478" s="171"/>
      <c r="B478" s="171"/>
      <c r="C478" s="42"/>
      <c r="D478" s="43"/>
      <c r="E478" s="39"/>
      <c r="F478" s="39"/>
      <c r="G478" s="39"/>
      <c r="H478" s="39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</row>
    <row r="479" spans="1:189">
      <c r="A479" s="171"/>
      <c r="B479" s="171"/>
      <c r="C479" s="42"/>
      <c r="D479" s="43"/>
      <c r="E479" s="39"/>
      <c r="F479" s="39"/>
      <c r="G479" s="39"/>
      <c r="H479" s="39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</row>
    <row r="480" spans="1:189">
      <c r="A480" s="171"/>
      <c r="B480" s="171"/>
      <c r="C480" s="42"/>
      <c r="D480" s="43"/>
      <c r="E480" s="39"/>
      <c r="F480" s="39"/>
      <c r="G480" s="39"/>
      <c r="H480" s="39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  <c r="FP480" s="41"/>
      <c r="FQ480" s="41"/>
      <c r="FR480" s="41"/>
      <c r="FS480" s="41"/>
      <c r="FT480" s="41"/>
      <c r="FU480" s="41"/>
      <c r="FV480" s="41"/>
      <c r="FW480" s="41"/>
      <c r="FX480" s="41"/>
      <c r="FY480" s="41"/>
      <c r="FZ480" s="41"/>
      <c r="GA480" s="41"/>
      <c r="GB480" s="41"/>
      <c r="GC480" s="41"/>
      <c r="GD480" s="41"/>
      <c r="GE480" s="41"/>
      <c r="GF480" s="41"/>
      <c r="GG480" s="41"/>
    </row>
    <row r="481" spans="1:189">
      <c r="A481" s="171"/>
      <c r="B481" s="171"/>
      <c r="C481" s="42"/>
      <c r="D481" s="43"/>
      <c r="E481" s="39"/>
      <c r="F481" s="39"/>
      <c r="G481" s="39"/>
      <c r="H481" s="39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  <c r="FP481" s="41"/>
      <c r="FQ481" s="41"/>
      <c r="FR481" s="41"/>
      <c r="FS481" s="41"/>
      <c r="FT481" s="41"/>
      <c r="FU481" s="41"/>
      <c r="FV481" s="41"/>
      <c r="FW481" s="41"/>
      <c r="FX481" s="41"/>
      <c r="FY481" s="41"/>
      <c r="FZ481" s="41"/>
      <c r="GA481" s="41"/>
      <c r="GB481" s="41"/>
      <c r="GC481" s="41"/>
      <c r="GD481" s="41"/>
      <c r="GE481" s="41"/>
      <c r="GF481" s="41"/>
      <c r="GG481" s="41"/>
    </row>
    <row r="482" spans="1:189">
      <c r="A482" s="171"/>
      <c r="B482" s="171"/>
      <c r="C482" s="42"/>
      <c r="D482" s="43"/>
      <c r="E482" s="39"/>
      <c r="F482" s="39"/>
      <c r="G482" s="39"/>
      <c r="H482" s="39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</row>
    <row r="483" spans="1:189">
      <c r="A483" s="171"/>
      <c r="B483" s="171"/>
      <c r="C483" s="42"/>
      <c r="D483" s="43"/>
      <c r="E483" s="39"/>
      <c r="F483" s="39"/>
      <c r="G483" s="39"/>
      <c r="H483" s="39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</row>
    <row r="484" spans="1:189">
      <c r="A484" s="171"/>
      <c r="B484" s="171"/>
      <c r="C484" s="42"/>
      <c r="D484" s="43"/>
      <c r="E484" s="39"/>
      <c r="F484" s="39"/>
      <c r="G484" s="39"/>
      <c r="H484" s="39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</row>
    <row r="485" spans="1:189">
      <c r="A485" s="171"/>
      <c r="B485" s="171"/>
      <c r="C485" s="42"/>
      <c r="D485" s="43"/>
      <c r="E485" s="39"/>
      <c r="F485" s="39"/>
      <c r="G485" s="39"/>
      <c r="H485" s="39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</row>
    <row r="486" spans="1:189">
      <c r="A486" s="171"/>
      <c r="B486" s="171"/>
      <c r="C486" s="42"/>
      <c r="D486" s="43"/>
      <c r="E486" s="39"/>
      <c r="F486" s="39"/>
      <c r="G486" s="39"/>
      <c r="H486" s="39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  <c r="FP486" s="41"/>
      <c r="FQ486" s="41"/>
      <c r="FR486" s="41"/>
      <c r="FS486" s="41"/>
      <c r="FT486" s="41"/>
      <c r="FU486" s="41"/>
      <c r="FV486" s="41"/>
      <c r="FW486" s="41"/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</row>
    <row r="487" spans="1:189">
      <c r="A487" s="171"/>
      <c r="B487" s="171"/>
      <c r="C487" s="42"/>
      <c r="D487" s="43"/>
      <c r="E487" s="39"/>
      <c r="F487" s="39"/>
      <c r="G487" s="39"/>
      <c r="H487" s="39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1"/>
      <c r="GC487" s="41"/>
      <c r="GD487" s="41"/>
      <c r="GE487" s="41"/>
      <c r="GF487" s="41"/>
      <c r="GG487" s="41"/>
    </row>
    <row r="488" spans="1:189">
      <c r="A488" s="171"/>
      <c r="B488" s="171"/>
      <c r="C488" s="42"/>
      <c r="D488" s="43"/>
      <c r="E488" s="39"/>
      <c r="F488" s="39"/>
      <c r="G488" s="39"/>
      <c r="H488" s="39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  <c r="EO488" s="41"/>
      <c r="EP488" s="41"/>
      <c r="EQ488" s="41"/>
      <c r="ER488" s="41"/>
      <c r="ES488" s="41"/>
      <c r="ET488" s="41"/>
      <c r="EU488" s="41"/>
      <c r="EV488" s="41"/>
      <c r="EW488" s="41"/>
      <c r="EX488" s="41"/>
      <c r="EY488" s="41"/>
      <c r="EZ488" s="41"/>
      <c r="FA488" s="41"/>
      <c r="FB488" s="41"/>
      <c r="FC488" s="41"/>
      <c r="FD488" s="41"/>
      <c r="FE488" s="41"/>
      <c r="FF488" s="41"/>
      <c r="FG488" s="41"/>
      <c r="FH488" s="41"/>
      <c r="FI488" s="41"/>
      <c r="FJ488" s="41"/>
      <c r="FK488" s="41"/>
      <c r="FL488" s="41"/>
      <c r="FM488" s="41"/>
      <c r="FN488" s="41"/>
      <c r="FO488" s="41"/>
      <c r="FP488" s="41"/>
      <c r="FQ488" s="41"/>
      <c r="FR488" s="41"/>
      <c r="FS488" s="41"/>
      <c r="FT488" s="41"/>
      <c r="FU488" s="41"/>
      <c r="FV488" s="41"/>
      <c r="FW488" s="41"/>
      <c r="FX488" s="41"/>
      <c r="FY488" s="41"/>
      <c r="FZ488" s="41"/>
      <c r="GA488" s="41"/>
      <c r="GB488" s="41"/>
      <c r="GC488" s="41"/>
      <c r="GD488" s="41"/>
      <c r="GE488" s="41"/>
      <c r="GF488" s="41"/>
      <c r="GG488" s="41"/>
    </row>
    <row r="489" spans="1:189">
      <c r="A489" s="171"/>
      <c r="B489" s="171"/>
      <c r="C489" s="42"/>
      <c r="D489" s="43"/>
      <c r="E489" s="39"/>
      <c r="F489" s="39"/>
      <c r="G489" s="39"/>
      <c r="H489" s="39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1"/>
      <c r="GF489" s="41"/>
      <c r="GG489" s="41"/>
    </row>
    <row r="490" spans="1:189">
      <c r="A490" s="171"/>
      <c r="B490" s="171"/>
      <c r="C490" s="42"/>
      <c r="D490" s="43"/>
      <c r="E490" s="39"/>
      <c r="F490" s="39"/>
      <c r="G490" s="39"/>
      <c r="H490" s="39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  <c r="GE490" s="41"/>
      <c r="GF490" s="41"/>
      <c r="GG490" s="41"/>
    </row>
    <row r="491" spans="1:189">
      <c r="A491" s="171"/>
      <c r="B491" s="171"/>
      <c r="C491" s="42"/>
      <c r="D491" s="43"/>
      <c r="E491" s="39"/>
      <c r="F491" s="39"/>
      <c r="G491" s="39"/>
      <c r="H491" s="39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41"/>
      <c r="FU491" s="41"/>
      <c r="FV491" s="41"/>
      <c r="FW491" s="41"/>
      <c r="FX491" s="41"/>
      <c r="FY491" s="41"/>
      <c r="FZ491" s="41"/>
      <c r="GA491" s="41"/>
      <c r="GB491" s="41"/>
      <c r="GC491" s="41"/>
      <c r="GD491" s="41"/>
      <c r="GE491" s="41"/>
      <c r="GF491" s="41"/>
      <c r="GG491" s="41"/>
    </row>
    <row r="492" spans="1:189">
      <c r="A492" s="171"/>
      <c r="B492" s="171"/>
      <c r="C492" s="42"/>
      <c r="D492" s="43"/>
      <c r="E492" s="39"/>
      <c r="F492" s="39"/>
      <c r="G492" s="39"/>
      <c r="H492" s="39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</row>
    <row r="493" spans="1:189">
      <c r="A493" s="171"/>
      <c r="B493" s="171"/>
      <c r="C493" s="42"/>
      <c r="D493" s="43"/>
      <c r="E493" s="39"/>
      <c r="F493" s="39"/>
      <c r="G493" s="39"/>
      <c r="H493" s="39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41"/>
      <c r="GF493" s="41"/>
      <c r="GG493" s="41"/>
    </row>
    <row r="494" spans="1:189">
      <c r="A494" s="171"/>
      <c r="B494" s="171"/>
      <c r="C494" s="42"/>
      <c r="D494" s="43"/>
      <c r="E494" s="39"/>
      <c r="F494" s="39"/>
      <c r="G494" s="39"/>
      <c r="H494" s="39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</row>
    <row r="495" spans="1:189">
      <c r="A495" s="171"/>
      <c r="B495" s="171"/>
      <c r="C495" s="42"/>
      <c r="D495" s="43"/>
      <c r="E495" s="39"/>
      <c r="F495" s="39"/>
      <c r="G495" s="39"/>
      <c r="H495" s="39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</row>
    <row r="496" spans="1:189">
      <c r="A496" s="171"/>
      <c r="B496" s="171"/>
      <c r="C496" s="42"/>
      <c r="D496" s="43"/>
      <c r="E496" s="39"/>
      <c r="F496" s="39"/>
      <c r="G496" s="39"/>
      <c r="H496" s="39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</row>
    <row r="497" spans="1:189">
      <c r="A497" s="171"/>
      <c r="B497" s="171"/>
      <c r="C497" s="42"/>
      <c r="D497" s="43"/>
      <c r="E497" s="39"/>
      <c r="F497" s="39"/>
      <c r="G497" s="39"/>
      <c r="H497" s="39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</row>
    <row r="498" spans="1:189">
      <c r="A498" s="171"/>
      <c r="B498" s="171"/>
      <c r="C498" s="42"/>
      <c r="D498" s="43"/>
      <c r="E498" s="39"/>
      <c r="F498" s="39"/>
      <c r="G498" s="39"/>
      <c r="H498" s="39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</row>
    <row r="499" spans="1:189">
      <c r="A499" s="171"/>
      <c r="B499" s="171"/>
      <c r="C499" s="42"/>
      <c r="D499" s="43"/>
      <c r="E499" s="39"/>
      <c r="F499" s="39"/>
      <c r="G499" s="39"/>
      <c r="H499" s="39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</row>
    <row r="500" spans="1:189">
      <c r="A500" s="171"/>
      <c r="B500" s="171"/>
      <c r="C500" s="42"/>
      <c r="D500" s="43"/>
      <c r="E500" s="39"/>
      <c r="F500" s="39"/>
      <c r="G500" s="39"/>
      <c r="H500" s="39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  <c r="EO500" s="41"/>
      <c r="EP500" s="41"/>
      <c r="EQ500" s="41"/>
      <c r="ER500" s="41"/>
      <c r="ES500" s="41"/>
      <c r="ET500" s="41"/>
      <c r="EU500" s="41"/>
      <c r="EV500" s="41"/>
      <c r="EW500" s="41"/>
      <c r="EX500" s="41"/>
      <c r="EY500" s="41"/>
      <c r="EZ500" s="41"/>
      <c r="FA500" s="41"/>
      <c r="FB500" s="41"/>
      <c r="FC500" s="41"/>
      <c r="FD500" s="41"/>
      <c r="FE500" s="41"/>
      <c r="FF500" s="41"/>
      <c r="FG500" s="41"/>
      <c r="FH500" s="41"/>
      <c r="FI500" s="41"/>
      <c r="FJ500" s="41"/>
      <c r="FK500" s="41"/>
      <c r="FL500" s="41"/>
      <c r="FM500" s="41"/>
      <c r="FN500" s="41"/>
      <c r="FO500" s="41"/>
      <c r="FP500" s="41"/>
      <c r="FQ500" s="41"/>
      <c r="FR500" s="41"/>
      <c r="FS500" s="41"/>
      <c r="FT500" s="41"/>
      <c r="FU500" s="41"/>
      <c r="FV500" s="41"/>
      <c r="FW500" s="41"/>
      <c r="FX500" s="41"/>
      <c r="FY500" s="41"/>
      <c r="FZ500" s="41"/>
      <c r="GA500" s="41"/>
      <c r="GB500" s="41"/>
      <c r="GC500" s="41"/>
      <c r="GD500" s="41"/>
      <c r="GE500" s="41"/>
      <c r="GF500" s="41"/>
      <c r="GG500" s="41"/>
    </row>
    <row r="501" spans="1:189">
      <c r="A501" s="171"/>
      <c r="B501" s="171"/>
      <c r="C501" s="42"/>
      <c r="D501" s="43"/>
      <c r="E501" s="39"/>
      <c r="F501" s="39"/>
      <c r="G501" s="39"/>
      <c r="H501" s="39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</row>
    <row r="502" spans="1:189">
      <c r="A502" s="171"/>
      <c r="B502" s="171"/>
      <c r="C502" s="42"/>
      <c r="D502" s="43"/>
      <c r="E502" s="39"/>
      <c r="F502" s="39"/>
      <c r="G502" s="39"/>
      <c r="H502" s="39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  <c r="EO502" s="41"/>
      <c r="EP502" s="41"/>
      <c r="EQ502" s="41"/>
      <c r="ER502" s="41"/>
      <c r="ES502" s="41"/>
      <c r="ET502" s="41"/>
      <c r="EU502" s="41"/>
      <c r="EV502" s="41"/>
      <c r="EW502" s="41"/>
      <c r="EX502" s="41"/>
      <c r="EY502" s="41"/>
      <c r="EZ502" s="41"/>
      <c r="FA502" s="41"/>
      <c r="FB502" s="41"/>
      <c r="FC502" s="41"/>
      <c r="FD502" s="41"/>
      <c r="FE502" s="41"/>
      <c r="FF502" s="41"/>
      <c r="FG502" s="41"/>
      <c r="FH502" s="41"/>
      <c r="FI502" s="41"/>
      <c r="FJ502" s="41"/>
      <c r="FK502" s="41"/>
      <c r="FL502" s="41"/>
      <c r="FM502" s="41"/>
      <c r="FN502" s="41"/>
      <c r="FO502" s="41"/>
      <c r="FP502" s="41"/>
      <c r="FQ502" s="41"/>
      <c r="FR502" s="41"/>
      <c r="FS502" s="41"/>
      <c r="FT502" s="41"/>
      <c r="FU502" s="41"/>
      <c r="FV502" s="41"/>
      <c r="FW502" s="41"/>
      <c r="FX502" s="41"/>
      <c r="FY502" s="41"/>
      <c r="FZ502" s="41"/>
      <c r="GA502" s="41"/>
      <c r="GB502" s="41"/>
      <c r="GC502" s="41"/>
      <c r="GD502" s="41"/>
      <c r="GE502" s="41"/>
      <c r="GF502" s="41"/>
      <c r="GG502" s="41"/>
    </row>
    <row r="503" spans="1:189">
      <c r="A503" s="171"/>
      <c r="B503" s="171"/>
      <c r="C503" s="42"/>
      <c r="D503" s="43"/>
      <c r="E503" s="39"/>
      <c r="F503" s="39"/>
      <c r="G503" s="39"/>
      <c r="H503" s="39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  <c r="EO503" s="41"/>
      <c r="EP503" s="41"/>
      <c r="EQ503" s="41"/>
      <c r="ER503" s="41"/>
      <c r="ES503" s="41"/>
      <c r="ET503" s="41"/>
      <c r="EU503" s="41"/>
      <c r="EV503" s="41"/>
      <c r="EW503" s="41"/>
      <c r="EX503" s="41"/>
      <c r="EY503" s="41"/>
      <c r="EZ503" s="41"/>
      <c r="FA503" s="41"/>
      <c r="FB503" s="41"/>
      <c r="FC503" s="41"/>
      <c r="FD503" s="41"/>
      <c r="FE503" s="41"/>
      <c r="FF503" s="41"/>
      <c r="FG503" s="41"/>
      <c r="FH503" s="41"/>
      <c r="FI503" s="41"/>
      <c r="FJ503" s="41"/>
      <c r="FK503" s="41"/>
      <c r="FL503" s="41"/>
      <c r="FM503" s="41"/>
      <c r="FN503" s="41"/>
      <c r="FO503" s="41"/>
      <c r="FP503" s="41"/>
      <c r="FQ503" s="41"/>
      <c r="FR503" s="41"/>
      <c r="FS503" s="41"/>
      <c r="FT503" s="41"/>
      <c r="FU503" s="41"/>
      <c r="FV503" s="41"/>
      <c r="FW503" s="41"/>
      <c r="FX503" s="41"/>
      <c r="FY503" s="41"/>
      <c r="FZ503" s="41"/>
      <c r="GA503" s="41"/>
      <c r="GB503" s="41"/>
      <c r="GC503" s="41"/>
      <c r="GD503" s="41"/>
      <c r="GE503" s="41"/>
      <c r="GF503" s="41"/>
      <c r="GG503" s="41"/>
    </row>
    <row r="504" spans="1:189">
      <c r="A504" s="171"/>
      <c r="B504" s="171"/>
      <c r="C504" s="42"/>
      <c r="D504" s="43"/>
      <c r="E504" s="39"/>
      <c r="F504" s="39"/>
      <c r="G504" s="39"/>
      <c r="H504" s="39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  <c r="GE504" s="41"/>
      <c r="GF504" s="41"/>
      <c r="GG504" s="41"/>
    </row>
    <row r="505" spans="1:189">
      <c r="A505" s="171"/>
      <c r="B505" s="171"/>
      <c r="C505" s="42"/>
      <c r="D505" s="43"/>
      <c r="E505" s="39"/>
      <c r="F505" s="39"/>
      <c r="G505" s="39"/>
      <c r="H505" s="39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</row>
    <row r="506" spans="1:189">
      <c r="A506" s="171"/>
      <c r="B506" s="171"/>
      <c r="C506" s="42"/>
      <c r="D506" s="43"/>
      <c r="E506" s="39"/>
      <c r="F506" s="39"/>
      <c r="G506" s="39"/>
      <c r="H506" s="39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</row>
    <row r="507" spans="1:189">
      <c r="A507" s="171"/>
      <c r="B507" s="171"/>
      <c r="C507" s="42"/>
      <c r="D507" s="43"/>
      <c r="E507" s="39"/>
      <c r="F507" s="39"/>
      <c r="G507" s="39"/>
      <c r="H507" s="39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</row>
    <row r="508" spans="1:189">
      <c r="A508" s="171"/>
      <c r="B508" s="171"/>
      <c r="C508" s="42"/>
      <c r="D508" s="43"/>
      <c r="E508" s="39"/>
      <c r="F508" s="39"/>
      <c r="G508" s="39"/>
      <c r="H508" s="39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</row>
    <row r="509" spans="1:189">
      <c r="A509" s="171"/>
      <c r="B509" s="171"/>
      <c r="C509" s="42"/>
      <c r="D509" s="43"/>
      <c r="E509" s="39"/>
      <c r="F509" s="39"/>
      <c r="G509" s="39"/>
      <c r="H509" s="39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</row>
    <row r="510" spans="1:189">
      <c r="A510" s="171"/>
      <c r="B510" s="171"/>
      <c r="C510" s="42"/>
      <c r="D510" s="43"/>
      <c r="E510" s="39"/>
      <c r="F510" s="39"/>
      <c r="G510" s="39"/>
      <c r="H510" s="39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  <c r="EO510" s="41"/>
      <c r="EP510" s="41"/>
      <c r="EQ510" s="41"/>
      <c r="ER510" s="41"/>
      <c r="ES510" s="41"/>
      <c r="ET510" s="41"/>
      <c r="EU510" s="41"/>
      <c r="EV510" s="41"/>
      <c r="EW510" s="41"/>
      <c r="EX510" s="41"/>
      <c r="EY510" s="41"/>
      <c r="EZ510" s="41"/>
      <c r="FA510" s="41"/>
      <c r="FB510" s="41"/>
      <c r="FC510" s="41"/>
      <c r="FD510" s="41"/>
      <c r="FE510" s="41"/>
      <c r="FF510" s="41"/>
      <c r="FG510" s="41"/>
      <c r="FH510" s="41"/>
      <c r="FI510" s="41"/>
      <c r="FJ510" s="41"/>
      <c r="FK510" s="41"/>
      <c r="FL510" s="41"/>
      <c r="FM510" s="41"/>
      <c r="FN510" s="41"/>
      <c r="FO510" s="41"/>
      <c r="FP510" s="41"/>
      <c r="FQ510" s="41"/>
      <c r="FR510" s="41"/>
      <c r="FS510" s="41"/>
      <c r="FT510" s="41"/>
      <c r="FU510" s="41"/>
      <c r="FV510" s="41"/>
      <c r="FW510" s="41"/>
      <c r="FX510" s="41"/>
      <c r="FY510" s="41"/>
      <c r="FZ510" s="41"/>
      <c r="GA510" s="41"/>
      <c r="GB510" s="41"/>
      <c r="GC510" s="41"/>
      <c r="GD510" s="41"/>
      <c r="GE510" s="41"/>
      <c r="GF510" s="41"/>
      <c r="GG510" s="41"/>
    </row>
    <row r="511" spans="1:189">
      <c r="A511" s="171"/>
      <c r="B511" s="171"/>
      <c r="C511" s="42"/>
      <c r="D511" s="43"/>
      <c r="E511" s="39"/>
      <c r="F511" s="39"/>
      <c r="G511" s="39"/>
      <c r="H511" s="39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  <c r="ET511" s="41"/>
      <c r="EU511" s="41"/>
      <c r="EV511" s="41"/>
      <c r="EW511" s="41"/>
      <c r="EX511" s="41"/>
      <c r="EY511" s="41"/>
      <c r="EZ511" s="41"/>
      <c r="FA511" s="41"/>
      <c r="FB511" s="41"/>
      <c r="FC511" s="41"/>
      <c r="FD511" s="41"/>
      <c r="FE511" s="41"/>
      <c r="FF511" s="41"/>
      <c r="FG511" s="41"/>
      <c r="FH511" s="41"/>
      <c r="FI511" s="41"/>
      <c r="FJ511" s="41"/>
      <c r="FK511" s="41"/>
      <c r="FL511" s="41"/>
      <c r="FM511" s="41"/>
      <c r="FN511" s="41"/>
      <c r="FO511" s="41"/>
      <c r="FP511" s="41"/>
      <c r="FQ511" s="41"/>
      <c r="FR511" s="41"/>
      <c r="FS511" s="41"/>
      <c r="FT511" s="41"/>
      <c r="FU511" s="41"/>
      <c r="FV511" s="41"/>
      <c r="FW511" s="41"/>
      <c r="FX511" s="41"/>
      <c r="FY511" s="41"/>
      <c r="FZ511" s="41"/>
      <c r="GA511" s="41"/>
      <c r="GB511" s="41"/>
      <c r="GC511" s="41"/>
      <c r="GD511" s="41"/>
      <c r="GE511" s="41"/>
      <c r="GF511" s="41"/>
      <c r="GG511" s="41"/>
    </row>
    <row r="512" spans="1:189">
      <c r="A512" s="171"/>
      <c r="B512" s="171"/>
      <c r="C512" s="42"/>
      <c r="D512" s="43"/>
      <c r="E512" s="39"/>
      <c r="F512" s="39"/>
      <c r="G512" s="39"/>
      <c r="H512" s="39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</row>
    <row r="513" spans="1:189">
      <c r="A513" s="171"/>
      <c r="B513" s="171"/>
      <c r="C513" s="42"/>
      <c r="D513" s="43"/>
      <c r="E513" s="39"/>
      <c r="F513" s="39"/>
      <c r="G513" s="39"/>
      <c r="H513" s="39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</row>
    <row r="514" spans="1:189">
      <c r="A514" s="171"/>
      <c r="B514" s="171"/>
      <c r="C514" s="42"/>
      <c r="D514" s="43"/>
      <c r="E514" s="39"/>
      <c r="F514" s="39"/>
      <c r="G514" s="39"/>
      <c r="H514" s="39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1"/>
      <c r="FY514" s="41"/>
      <c r="FZ514" s="41"/>
      <c r="GA514" s="41"/>
      <c r="GB514" s="41"/>
      <c r="GC514" s="41"/>
      <c r="GD514" s="41"/>
      <c r="GE514" s="41"/>
      <c r="GF514" s="41"/>
      <c r="GG514" s="41"/>
    </row>
    <row r="515" spans="1:189">
      <c r="A515" s="171"/>
      <c r="B515" s="171"/>
      <c r="C515" s="42"/>
      <c r="D515" s="43"/>
      <c r="E515" s="39"/>
      <c r="F515" s="39"/>
      <c r="G515" s="39"/>
      <c r="H515" s="39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</row>
    <row r="516" spans="1:189">
      <c r="A516" s="171"/>
      <c r="B516" s="171"/>
      <c r="C516" s="42"/>
      <c r="D516" s="43"/>
      <c r="E516" s="39"/>
      <c r="F516" s="39"/>
      <c r="G516" s="39"/>
      <c r="H516" s="39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E516" s="41"/>
      <c r="GF516" s="41"/>
      <c r="GG516" s="41"/>
    </row>
    <row r="517" spans="1:189">
      <c r="A517" s="171"/>
      <c r="B517" s="171"/>
      <c r="C517" s="42"/>
      <c r="D517" s="43"/>
      <c r="E517" s="39"/>
      <c r="F517" s="39"/>
      <c r="G517" s="39"/>
      <c r="H517" s="39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</row>
    <row r="518" spans="1:189">
      <c r="A518" s="171"/>
      <c r="B518" s="171"/>
      <c r="C518" s="42"/>
      <c r="D518" s="43"/>
      <c r="E518" s="39"/>
      <c r="F518" s="39"/>
      <c r="G518" s="39"/>
      <c r="H518" s="39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</row>
    <row r="519" spans="1:189">
      <c r="A519" s="171"/>
      <c r="B519" s="171"/>
      <c r="C519" s="42"/>
      <c r="D519" s="43"/>
      <c r="E519" s="39"/>
      <c r="F519" s="39"/>
      <c r="G519" s="39"/>
      <c r="H519" s="39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</row>
    <row r="520" spans="1:189">
      <c r="A520" s="171"/>
      <c r="B520" s="171"/>
      <c r="C520" s="42"/>
      <c r="D520" s="43"/>
      <c r="E520" s="39"/>
      <c r="F520" s="39"/>
      <c r="G520" s="39"/>
      <c r="H520" s="39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</row>
    <row r="521" spans="1:189">
      <c r="A521" s="171"/>
      <c r="B521" s="171"/>
      <c r="C521" s="42"/>
      <c r="D521" s="43"/>
      <c r="E521" s="39"/>
      <c r="F521" s="39"/>
      <c r="G521" s="39"/>
      <c r="H521" s="39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</row>
    <row r="522" spans="1:189">
      <c r="A522" s="171"/>
      <c r="B522" s="171"/>
      <c r="C522" s="42"/>
      <c r="D522" s="43"/>
      <c r="E522" s="39"/>
      <c r="F522" s="39"/>
      <c r="G522" s="39"/>
      <c r="H522" s="39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</row>
    <row r="523" spans="1:189">
      <c r="A523" s="171"/>
      <c r="B523" s="171"/>
      <c r="C523" s="42"/>
      <c r="D523" s="43"/>
      <c r="E523" s="39"/>
      <c r="F523" s="39"/>
      <c r="G523" s="39"/>
      <c r="H523" s="39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</row>
    <row r="524" spans="1:189">
      <c r="A524" s="171"/>
      <c r="B524" s="171"/>
      <c r="C524" s="42"/>
      <c r="D524" s="43"/>
      <c r="E524" s="39"/>
      <c r="F524" s="39"/>
      <c r="G524" s="39"/>
      <c r="H524" s="39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  <c r="ET524" s="41"/>
      <c r="EU524" s="41"/>
      <c r="EV524" s="41"/>
      <c r="EW524" s="41"/>
      <c r="EX524" s="41"/>
      <c r="EY524" s="41"/>
      <c r="EZ524" s="41"/>
      <c r="FA524" s="41"/>
      <c r="FB524" s="41"/>
      <c r="FC524" s="41"/>
      <c r="FD524" s="41"/>
      <c r="FE524" s="41"/>
      <c r="FF524" s="41"/>
      <c r="FG524" s="41"/>
      <c r="FH524" s="41"/>
      <c r="FI524" s="41"/>
      <c r="FJ524" s="41"/>
      <c r="FK524" s="41"/>
      <c r="FL524" s="41"/>
      <c r="FM524" s="41"/>
      <c r="FN524" s="41"/>
      <c r="FO524" s="41"/>
      <c r="FP524" s="41"/>
      <c r="FQ524" s="41"/>
      <c r="FR524" s="41"/>
      <c r="FS524" s="41"/>
      <c r="FT524" s="41"/>
      <c r="FU524" s="41"/>
      <c r="FV524" s="41"/>
      <c r="FW524" s="41"/>
      <c r="FX524" s="41"/>
      <c r="FY524" s="41"/>
      <c r="FZ524" s="41"/>
      <c r="GA524" s="41"/>
      <c r="GB524" s="41"/>
      <c r="GC524" s="41"/>
      <c r="GD524" s="41"/>
      <c r="GE524" s="41"/>
      <c r="GF524" s="41"/>
      <c r="GG524" s="41"/>
    </row>
    <row r="525" spans="1:189">
      <c r="A525" s="171"/>
      <c r="B525" s="171"/>
      <c r="C525" s="42"/>
      <c r="D525" s="43"/>
      <c r="E525" s="39"/>
      <c r="F525" s="39"/>
      <c r="G525" s="39"/>
      <c r="H525" s="39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</row>
    <row r="526" spans="1:189">
      <c r="A526" s="171"/>
      <c r="B526" s="171"/>
      <c r="C526" s="42"/>
      <c r="D526" s="43"/>
      <c r="E526" s="39"/>
      <c r="F526" s="39"/>
      <c r="G526" s="39"/>
      <c r="H526" s="39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  <c r="ET526" s="41"/>
      <c r="EU526" s="41"/>
      <c r="EV526" s="41"/>
      <c r="EW526" s="41"/>
      <c r="EX526" s="41"/>
      <c r="EY526" s="41"/>
      <c r="EZ526" s="41"/>
      <c r="FA526" s="41"/>
      <c r="FB526" s="41"/>
      <c r="FC526" s="41"/>
      <c r="FD526" s="41"/>
      <c r="FE526" s="41"/>
      <c r="FF526" s="41"/>
      <c r="FG526" s="41"/>
      <c r="FH526" s="41"/>
      <c r="FI526" s="41"/>
      <c r="FJ526" s="41"/>
      <c r="FK526" s="41"/>
      <c r="FL526" s="41"/>
      <c r="FM526" s="41"/>
      <c r="FN526" s="41"/>
      <c r="FO526" s="41"/>
      <c r="FP526" s="41"/>
      <c r="FQ526" s="41"/>
      <c r="FR526" s="41"/>
      <c r="FS526" s="41"/>
      <c r="FT526" s="41"/>
      <c r="FU526" s="41"/>
      <c r="FV526" s="41"/>
      <c r="FW526" s="41"/>
      <c r="FX526" s="41"/>
      <c r="FY526" s="41"/>
      <c r="FZ526" s="41"/>
      <c r="GA526" s="41"/>
      <c r="GB526" s="41"/>
      <c r="GC526" s="41"/>
      <c r="GD526" s="41"/>
      <c r="GE526" s="41"/>
      <c r="GF526" s="41"/>
      <c r="GG526" s="41"/>
    </row>
    <row r="527" spans="1:189">
      <c r="A527" s="171"/>
      <c r="B527" s="171"/>
      <c r="C527" s="42"/>
      <c r="D527" s="43"/>
      <c r="E527" s="39"/>
      <c r="F527" s="39"/>
      <c r="G527" s="39"/>
      <c r="H527" s="39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</row>
    <row r="528" spans="1:189">
      <c r="A528" s="171"/>
      <c r="B528" s="171"/>
      <c r="C528" s="42"/>
      <c r="D528" s="43"/>
      <c r="E528" s="39"/>
      <c r="F528" s="39"/>
      <c r="G528" s="39"/>
      <c r="H528" s="39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</row>
    <row r="529" spans="1:189">
      <c r="A529" s="171"/>
      <c r="B529" s="171"/>
      <c r="C529" s="42"/>
      <c r="D529" s="43"/>
      <c r="E529" s="39"/>
      <c r="F529" s="39"/>
      <c r="G529" s="39"/>
      <c r="H529" s="39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  <c r="ET529" s="41"/>
      <c r="EU529" s="41"/>
      <c r="EV529" s="41"/>
      <c r="EW529" s="41"/>
      <c r="EX529" s="41"/>
      <c r="EY529" s="41"/>
      <c r="EZ529" s="41"/>
      <c r="FA529" s="41"/>
      <c r="FB529" s="41"/>
      <c r="FC529" s="41"/>
      <c r="FD529" s="41"/>
      <c r="FE529" s="41"/>
      <c r="FF529" s="41"/>
      <c r="FG529" s="41"/>
      <c r="FH529" s="41"/>
      <c r="FI529" s="41"/>
      <c r="FJ529" s="41"/>
      <c r="FK529" s="41"/>
      <c r="FL529" s="41"/>
      <c r="FM529" s="41"/>
      <c r="FN529" s="41"/>
      <c r="FO529" s="41"/>
      <c r="FP529" s="41"/>
      <c r="FQ529" s="41"/>
      <c r="FR529" s="41"/>
      <c r="FS529" s="41"/>
      <c r="FT529" s="41"/>
      <c r="FU529" s="41"/>
      <c r="FV529" s="41"/>
      <c r="FW529" s="41"/>
      <c r="FX529" s="41"/>
      <c r="FY529" s="41"/>
      <c r="FZ529" s="41"/>
      <c r="GA529" s="41"/>
      <c r="GB529" s="41"/>
      <c r="GC529" s="41"/>
      <c r="GD529" s="41"/>
      <c r="GE529" s="41"/>
      <c r="GF529" s="41"/>
      <c r="GG529" s="41"/>
    </row>
    <row r="530" spans="1:189">
      <c r="A530" s="171"/>
      <c r="B530" s="171"/>
      <c r="C530" s="42"/>
      <c r="D530" s="43"/>
      <c r="E530" s="39"/>
      <c r="F530" s="39"/>
      <c r="G530" s="39"/>
      <c r="H530" s="39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  <c r="EO530" s="41"/>
      <c r="EP530" s="41"/>
      <c r="EQ530" s="41"/>
      <c r="ER530" s="41"/>
      <c r="ES530" s="41"/>
      <c r="ET530" s="41"/>
      <c r="EU530" s="41"/>
      <c r="EV530" s="41"/>
      <c r="EW530" s="41"/>
      <c r="EX530" s="41"/>
      <c r="EY530" s="41"/>
      <c r="EZ530" s="41"/>
      <c r="FA530" s="41"/>
      <c r="FB530" s="41"/>
      <c r="FC530" s="41"/>
      <c r="FD530" s="41"/>
      <c r="FE530" s="41"/>
      <c r="FF530" s="41"/>
      <c r="FG530" s="41"/>
      <c r="FH530" s="41"/>
      <c r="FI530" s="41"/>
      <c r="FJ530" s="41"/>
      <c r="FK530" s="41"/>
      <c r="FL530" s="41"/>
      <c r="FM530" s="41"/>
      <c r="FN530" s="41"/>
      <c r="FO530" s="41"/>
      <c r="FP530" s="41"/>
      <c r="FQ530" s="41"/>
      <c r="FR530" s="41"/>
      <c r="FS530" s="41"/>
      <c r="FT530" s="41"/>
      <c r="FU530" s="41"/>
      <c r="FV530" s="41"/>
      <c r="FW530" s="41"/>
      <c r="FX530" s="41"/>
      <c r="FY530" s="41"/>
      <c r="FZ530" s="41"/>
      <c r="GA530" s="41"/>
      <c r="GB530" s="41"/>
      <c r="GC530" s="41"/>
      <c r="GD530" s="41"/>
      <c r="GE530" s="41"/>
      <c r="GF530" s="41"/>
      <c r="GG530" s="41"/>
    </row>
    <row r="531" spans="1:189">
      <c r="A531" s="171"/>
      <c r="B531" s="171"/>
      <c r="C531" s="42"/>
      <c r="D531" s="43"/>
      <c r="E531" s="39"/>
      <c r="F531" s="39"/>
      <c r="G531" s="39"/>
      <c r="H531" s="39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FX531" s="41"/>
      <c r="FY531" s="41"/>
      <c r="FZ531" s="41"/>
      <c r="GA531" s="41"/>
      <c r="GB531" s="41"/>
      <c r="GC531" s="41"/>
      <c r="GD531" s="41"/>
      <c r="GE531" s="41"/>
      <c r="GF531" s="41"/>
      <c r="GG531" s="41"/>
    </row>
    <row r="532" spans="1:189">
      <c r="A532" s="171"/>
      <c r="B532" s="171"/>
      <c r="C532" s="42"/>
      <c r="D532" s="43"/>
      <c r="E532" s="39"/>
      <c r="F532" s="39"/>
      <c r="G532" s="39"/>
      <c r="H532" s="39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</row>
    <row r="533" spans="1:189">
      <c r="A533" s="171"/>
      <c r="B533" s="171"/>
      <c r="C533" s="42"/>
      <c r="D533" s="43"/>
      <c r="E533" s="39"/>
      <c r="F533" s="39"/>
      <c r="G533" s="39"/>
      <c r="H533" s="39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</row>
    <row r="534" spans="1:189">
      <c r="A534" s="171"/>
      <c r="B534" s="171"/>
      <c r="C534" s="42"/>
      <c r="D534" s="43"/>
      <c r="E534" s="39"/>
      <c r="F534" s="39"/>
      <c r="G534" s="39"/>
      <c r="H534" s="39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</row>
    <row r="535" spans="1:189">
      <c r="A535" s="171"/>
      <c r="B535" s="171"/>
      <c r="C535" s="42"/>
      <c r="D535" s="43"/>
      <c r="E535" s="39"/>
      <c r="F535" s="39"/>
      <c r="G535" s="39"/>
      <c r="H535" s="39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FX535" s="41"/>
      <c r="FY535" s="41"/>
      <c r="FZ535" s="41"/>
      <c r="GA535" s="41"/>
      <c r="GB535" s="41"/>
      <c r="GC535" s="41"/>
      <c r="GD535" s="41"/>
      <c r="GE535" s="41"/>
      <c r="GF535" s="41"/>
      <c r="GG535" s="41"/>
    </row>
    <row r="536" spans="1:189">
      <c r="A536" s="171"/>
      <c r="B536" s="171"/>
      <c r="C536" s="42"/>
      <c r="D536" s="43"/>
      <c r="E536" s="39"/>
      <c r="F536" s="39"/>
      <c r="G536" s="39"/>
      <c r="H536" s="39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</row>
    <row r="537" spans="1:189">
      <c r="A537" s="171"/>
      <c r="B537" s="171"/>
      <c r="C537" s="42"/>
      <c r="D537" s="43"/>
      <c r="E537" s="39"/>
      <c r="F537" s="39"/>
      <c r="G537" s="39"/>
      <c r="H537" s="39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</row>
    <row r="538" spans="1:189">
      <c r="A538" s="171"/>
      <c r="B538" s="171"/>
      <c r="C538" s="42"/>
      <c r="D538" s="43"/>
      <c r="E538" s="39"/>
      <c r="F538" s="39"/>
      <c r="G538" s="39"/>
      <c r="H538" s="39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FX538" s="41"/>
      <c r="FY538" s="41"/>
      <c r="FZ538" s="41"/>
      <c r="GA538" s="41"/>
      <c r="GB538" s="41"/>
      <c r="GC538" s="41"/>
      <c r="GD538" s="41"/>
      <c r="GE538" s="41"/>
      <c r="GF538" s="41"/>
      <c r="GG538" s="41"/>
    </row>
    <row r="539" spans="1:189">
      <c r="A539" s="171"/>
      <c r="B539" s="171"/>
      <c r="C539" s="42"/>
      <c r="D539" s="43"/>
      <c r="E539" s="39"/>
      <c r="F539" s="39"/>
      <c r="G539" s="39"/>
      <c r="H539" s="39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41"/>
      <c r="DN539" s="41"/>
      <c r="DO539" s="41"/>
      <c r="DP539" s="41"/>
      <c r="DQ539" s="41"/>
      <c r="DR539" s="41"/>
      <c r="DS539" s="41"/>
      <c r="DT539" s="41"/>
      <c r="DU539" s="41"/>
      <c r="DV539" s="41"/>
      <c r="DW539" s="41"/>
      <c r="DX539" s="41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  <c r="EO539" s="41"/>
      <c r="EP539" s="41"/>
      <c r="EQ539" s="41"/>
      <c r="ER539" s="41"/>
      <c r="ES539" s="41"/>
      <c r="ET539" s="41"/>
      <c r="EU539" s="41"/>
      <c r="EV539" s="41"/>
      <c r="EW539" s="41"/>
      <c r="EX539" s="41"/>
      <c r="EY539" s="41"/>
      <c r="EZ539" s="41"/>
      <c r="FA539" s="41"/>
      <c r="FB539" s="41"/>
      <c r="FC539" s="41"/>
      <c r="FD539" s="41"/>
      <c r="FE539" s="41"/>
      <c r="FF539" s="41"/>
      <c r="FG539" s="41"/>
      <c r="FH539" s="41"/>
      <c r="FI539" s="41"/>
      <c r="FJ539" s="41"/>
      <c r="FK539" s="41"/>
      <c r="FL539" s="41"/>
      <c r="FM539" s="41"/>
      <c r="FN539" s="41"/>
      <c r="FO539" s="41"/>
      <c r="FP539" s="41"/>
      <c r="FQ539" s="41"/>
      <c r="FR539" s="41"/>
      <c r="FS539" s="41"/>
      <c r="FT539" s="41"/>
      <c r="FU539" s="41"/>
      <c r="FV539" s="41"/>
      <c r="FW539" s="41"/>
      <c r="FX539" s="41"/>
      <c r="FY539" s="41"/>
      <c r="FZ539" s="41"/>
      <c r="GA539" s="41"/>
      <c r="GB539" s="41"/>
      <c r="GC539" s="41"/>
      <c r="GD539" s="41"/>
      <c r="GE539" s="41"/>
      <c r="GF539" s="41"/>
      <c r="GG539" s="41"/>
    </row>
    <row r="540" spans="1:189">
      <c r="A540" s="171"/>
      <c r="B540" s="171"/>
      <c r="C540" s="42"/>
      <c r="D540" s="43"/>
      <c r="E540" s="39"/>
      <c r="F540" s="39"/>
      <c r="G540" s="39"/>
      <c r="H540" s="39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</row>
    <row r="541" spans="1:189">
      <c r="A541" s="171"/>
      <c r="B541" s="171"/>
      <c r="C541" s="42"/>
      <c r="D541" s="43"/>
      <c r="E541" s="39"/>
      <c r="F541" s="39"/>
      <c r="G541" s="39"/>
      <c r="H541" s="39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FX541" s="41"/>
      <c r="FY541" s="41"/>
      <c r="FZ541" s="41"/>
      <c r="GA541" s="41"/>
      <c r="GB541" s="41"/>
      <c r="GC541" s="41"/>
      <c r="GD541" s="41"/>
      <c r="GE541" s="41"/>
      <c r="GF541" s="41"/>
      <c r="GG541" s="41"/>
    </row>
    <row r="542" spans="1:189">
      <c r="A542" s="171"/>
      <c r="B542" s="171"/>
      <c r="C542" s="42"/>
      <c r="D542" s="43"/>
      <c r="E542" s="39"/>
      <c r="F542" s="39"/>
      <c r="G542" s="39"/>
      <c r="H542" s="39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1"/>
      <c r="FY542" s="41"/>
      <c r="FZ542" s="41"/>
      <c r="GA542" s="41"/>
      <c r="GB542" s="41"/>
      <c r="GC542" s="41"/>
      <c r="GD542" s="41"/>
      <c r="GE542" s="41"/>
      <c r="GF542" s="41"/>
      <c r="GG542" s="41"/>
    </row>
    <row r="543" spans="1:189">
      <c r="A543" s="171"/>
      <c r="B543" s="171"/>
      <c r="C543" s="42"/>
      <c r="D543" s="43"/>
      <c r="E543" s="39"/>
      <c r="F543" s="39"/>
      <c r="G543" s="39"/>
      <c r="H543" s="39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FX543" s="41"/>
      <c r="FY543" s="41"/>
      <c r="FZ543" s="41"/>
      <c r="GA543" s="41"/>
      <c r="GB543" s="41"/>
      <c r="GC543" s="41"/>
      <c r="GD543" s="41"/>
      <c r="GE543" s="41"/>
      <c r="GF543" s="41"/>
      <c r="GG543" s="41"/>
    </row>
    <row r="544" spans="1:189">
      <c r="A544" s="171"/>
      <c r="B544" s="171"/>
      <c r="C544" s="42"/>
      <c r="D544" s="43"/>
      <c r="E544" s="39"/>
      <c r="F544" s="39"/>
      <c r="G544" s="39"/>
      <c r="H544" s="39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FX544" s="41"/>
      <c r="FY544" s="41"/>
      <c r="FZ544" s="41"/>
      <c r="GA544" s="41"/>
      <c r="GB544" s="41"/>
      <c r="GC544" s="41"/>
      <c r="GD544" s="41"/>
      <c r="GE544" s="41"/>
      <c r="GF544" s="41"/>
      <c r="GG544" s="41"/>
    </row>
    <row r="545" spans="1:189">
      <c r="A545" s="171"/>
      <c r="B545" s="171"/>
      <c r="C545" s="42"/>
      <c r="D545" s="43"/>
      <c r="E545" s="39"/>
      <c r="F545" s="39"/>
      <c r="G545" s="39"/>
      <c r="H545" s="39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</row>
    <row r="546" spans="1:189">
      <c r="A546" s="171"/>
      <c r="B546" s="171"/>
      <c r="C546" s="42"/>
      <c r="D546" s="43"/>
      <c r="E546" s="39"/>
      <c r="F546" s="39"/>
      <c r="G546" s="39"/>
      <c r="H546" s="39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</row>
    <row r="547" spans="1:189">
      <c r="A547" s="171"/>
      <c r="B547" s="171"/>
      <c r="C547" s="42"/>
      <c r="D547" s="43"/>
      <c r="E547" s="39"/>
      <c r="F547" s="39"/>
      <c r="G547" s="39"/>
      <c r="H547" s="39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</row>
    <row r="548" spans="1:189">
      <c r="A548" s="171"/>
      <c r="B548" s="171"/>
      <c r="C548" s="42"/>
      <c r="D548" s="43"/>
      <c r="E548" s="39"/>
      <c r="F548" s="39"/>
      <c r="G548" s="39"/>
      <c r="H548" s="39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</row>
    <row r="549" spans="1:189">
      <c r="A549" s="171"/>
      <c r="B549" s="171"/>
      <c r="C549" s="42"/>
      <c r="D549" s="43"/>
      <c r="E549" s="39"/>
      <c r="F549" s="39"/>
      <c r="G549" s="39"/>
      <c r="H549" s="39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1"/>
      <c r="FY549" s="41"/>
      <c r="FZ549" s="41"/>
      <c r="GA549" s="41"/>
      <c r="GB549" s="41"/>
      <c r="GC549" s="41"/>
      <c r="GD549" s="41"/>
      <c r="GE549" s="41"/>
      <c r="GF549" s="41"/>
      <c r="GG549" s="41"/>
    </row>
    <row r="550" spans="1:189">
      <c r="A550" s="171"/>
      <c r="B550" s="171"/>
      <c r="C550" s="42"/>
      <c r="D550" s="43"/>
      <c r="E550" s="39"/>
      <c r="F550" s="39"/>
      <c r="G550" s="39"/>
      <c r="H550" s="39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41"/>
      <c r="FU550" s="41"/>
      <c r="FV550" s="41"/>
      <c r="FW550" s="41"/>
      <c r="FX550" s="41"/>
      <c r="FY550" s="41"/>
      <c r="FZ550" s="41"/>
      <c r="GA550" s="41"/>
      <c r="GB550" s="41"/>
      <c r="GC550" s="41"/>
      <c r="GD550" s="41"/>
      <c r="GE550" s="41"/>
      <c r="GF550" s="41"/>
      <c r="GG550" s="41"/>
    </row>
    <row r="551" spans="1:189">
      <c r="A551" s="171"/>
      <c r="B551" s="171"/>
      <c r="C551" s="42"/>
      <c r="D551" s="43"/>
      <c r="E551" s="39"/>
      <c r="F551" s="39"/>
      <c r="G551" s="39"/>
      <c r="H551" s="39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</row>
    <row r="552" spans="1:189">
      <c r="A552" s="171"/>
      <c r="B552" s="171"/>
      <c r="C552" s="42"/>
      <c r="D552" s="43"/>
      <c r="E552" s="39"/>
      <c r="F552" s="39"/>
      <c r="G552" s="39"/>
      <c r="H552" s="39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  <c r="EO552" s="41"/>
      <c r="EP552" s="41"/>
      <c r="EQ552" s="41"/>
      <c r="ER552" s="41"/>
      <c r="ES552" s="41"/>
      <c r="ET552" s="41"/>
      <c r="EU552" s="41"/>
      <c r="EV552" s="41"/>
      <c r="EW552" s="41"/>
      <c r="EX552" s="41"/>
      <c r="EY552" s="41"/>
      <c r="EZ552" s="41"/>
      <c r="FA552" s="41"/>
      <c r="FB552" s="41"/>
      <c r="FC552" s="41"/>
      <c r="FD552" s="41"/>
      <c r="FE552" s="41"/>
      <c r="FF552" s="41"/>
      <c r="FG552" s="41"/>
      <c r="FH552" s="41"/>
      <c r="FI552" s="41"/>
      <c r="FJ552" s="41"/>
      <c r="FK552" s="41"/>
      <c r="FL552" s="41"/>
      <c r="FM552" s="41"/>
      <c r="FN552" s="41"/>
      <c r="FO552" s="41"/>
      <c r="FP552" s="41"/>
      <c r="FQ552" s="41"/>
      <c r="FR552" s="41"/>
      <c r="FS552" s="41"/>
      <c r="FT552" s="41"/>
      <c r="FU552" s="41"/>
      <c r="FV552" s="41"/>
      <c r="FW552" s="41"/>
      <c r="FX552" s="41"/>
      <c r="FY552" s="41"/>
      <c r="FZ552" s="41"/>
      <c r="GA552" s="41"/>
      <c r="GB552" s="41"/>
      <c r="GC552" s="41"/>
      <c r="GD552" s="41"/>
      <c r="GE552" s="41"/>
      <c r="GF552" s="41"/>
      <c r="GG552" s="41"/>
    </row>
    <row r="553" spans="1:189">
      <c r="A553" s="171"/>
      <c r="B553" s="171"/>
      <c r="C553" s="42"/>
      <c r="D553" s="43"/>
      <c r="E553" s="39"/>
      <c r="F553" s="39"/>
      <c r="G553" s="39"/>
      <c r="H553" s="39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</row>
    <row r="554" spans="1:189">
      <c r="A554" s="171"/>
      <c r="B554" s="171"/>
      <c r="C554" s="42"/>
      <c r="D554" s="43"/>
      <c r="E554" s="39"/>
      <c r="F554" s="39"/>
      <c r="G554" s="39"/>
      <c r="H554" s="39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1"/>
      <c r="FY554" s="41"/>
      <c r="FZ554" s="41"/>
      <c r="GA554" s="41"/>
      <c r="GB554" s="41"/>
      <c r="GC554" s="41"/>
      <c r="GD554" s="41"/>
      <c r="GE554" s="41"/>
      <c r="GF554" s="41"/>
      <c r="GG554" s="41"/>
    </row>
    <row r="555" spans="1:189">
      <c r="A555" s="171"/>
      <c r="B555" s="171"/>
      <c r="C555" s="42"/>
      <c r="D555" s="43"/>
      <c r="E555" s="39"/>
      <c r="F555" s="39"/>
      <c r="G555" s="39"/>
      <c r="H555" s="39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</row>
    <row r="556" spans="1:189">
      <c r="A556" s="171"/>
      <c r="B556" s="171"/>
      <c r="C556" s="42"/>
      <c r="D556" s="43"/>
      <c r="E556" s="39"/>
      <c r="F556" s="39"/>
      <c r="G556" s="39"/>
      <c r="H556" s="39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</row>
    <row r="557" spans="1:189">
      <c r="A557" s="171"/>
      <c r="B557" s="171"/>
      <c r="C557" s="42"/>
      <c r="D557" s="43"/>
      <c r="E557" s="39"/>
      <c r="F557" s="39"/>
      <c r="G557" s="39"/>
      <c r="H557" s="39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</row>
    <row r="558" spans="1:189">
      <c r="A558" s="171"/>
      <c r="B558" s="171"/>
      <c r="C558" s="42"/>
      <c r="D558" s="43"/>
      <c r="E558" s="39"/>
      <c r="F558" s="39"/>
      <c r="G558" s="39"/>
      <c r="H558" s="39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  <c r="GE558" s="41"/>
      <c r="GF558" s="41"/>
      <c r="GG558" s="41"/>
    </row>
    <row r="559" spans="1:189">
      <c r="A559" s="171"/>
      <c r="B559" s="171"/>
      <c r="C559" s="42"/>
      <c r="D559" s="43"/>
      <c r="E559" s="39"/>
      <c r="F559" s="39"/>
      <c r="G559" s="39"/>
      <c r="H559" s="39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</row>
    <row r="560" spans="1:189">
      <c r="A560" s="171"/>
      <c r="B560" s="171"/>
      <c r="C560" s="42"/>
      <c r="D560" s="43"/>
      <c r="E560" s="39"/>
      <c r="F560" s="39"/>
      <c r="G560" s="39"/>
      <c r="H560" s="39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  <c r="GE560" s="41"/>
      <c r="GF560" s="41"/>
      <c r="GG560" s="41"/>
    </row>
    <row r="561" spans="1:189">
      <c r="A561" s="171"/>
      <c r="B561" s="171"/>
      <c r="C561" s="42"/>
      <c r="D561" s="43"/>
      <c r="E561" s="39"/>
      <c r="F561" s="39"/>
      <c r="G561" s="39"/>
      <c r="H561" s="39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</row>
    <row r="562" spans="1:189">
      <c r="A562" s="171"/>
      <c r="B562" s="171"/>
      <c r="C562" s="42"/>
      <c r="D562" s="43"/>
      <c r="E562" s="39"/>
      <c r="F562" s="39"/>
      <c r="G562" s="39"/>
      <c r="H562" s="39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</row>
    <row r="563" spans="1:189">
      <c r="A563" s="171"/>
      <c r="B563" s="171"/>
      <c r="C563" s="42"/>
      <c r="D563" s="43"/>
      <c r="E563" s="39"/>
      <c r="F563" s="39"/>
      <c r="G563" s="39"/>
      <c r="H563" s="39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  <c r="GE563" s="41"/>
      <c r="GF563" s="41"/>
      <c r="GG563" s="41"/>
    </row>
    <row r="564" spans="1:189">
      <c r="A564" s="171"/>
      <c r="B564" s="171"/>
      <c r="C564" s="42"/>
      <c r="D564" s="43"/>
      <c r="E564" s="39"/>
      <c r="F564" s="39"/>
      <c r="G564" s="39"/>
      <c r="H564" s="39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</row>
    <row r="565" spans="1:189">
      <c r="A565" s="171"/>
      <c r="B565" s="171"/>
      <c r="C565" s="42"/>
      <c r="D565" s="43"/>
      <c r="E565" s="39"/>
      <c r="F565" s="39"/>
      <c r="G565" s="39"/>
      <c r="H565" s="39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</row>
    <row r="566" spans="1:189">
      <c r="A566" s="171"/>
      <c r="B566" s="171"/>
      <c r="C566" s="42"/>
      <c r="D566" s="43"/>
      <c r="E566" s="39"/>
      <c r="F566" s="39"/>
      <c r="G566" s="39"/>
      <c r="H566" s="39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</row>
    <row r="567" spans="1:189">
      <c r="A567" s="171"/>
      <c r="B567" s="171"/>
      <c r="C567" s="42"/>
      <c r="D567" s="43"/>
      <c r="E567" s="39"/>
      <c r="F567" s="39"/>
      <c r="G567" s="39"/>
      <c r="H567" s="39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  <c r="EO567" s="41"/>
      <c r="EP567" s="41"/>
      <c r="EQ567" s="41"/>
      <c r="ER567" s="41"/>
      <c r="ES567" s="41"/>
      <c r="ET567" s="41"/>
      <c r="EU567" s="41"/>
      <c r="EV567" s="41"/>
      <c r="EW567" s="41"/>
      <c r="EX567" s="41"/>
      <c r="EY567" s="41"/>
      <c r="EZ567" s="41"/>
      <c r="FA567" s="41"/>
      <c r="FB567" s="41"/>
      <c r="FC567" s="41"/>
      <c r="FD567" s="41"/>
      <c r="FE567" s="41"/>
      <c r="FF567" s="41"/>
      <c r="FG567" s="41"/>
      <c r="FH567" s="41"/>
      <c r="FI567" s="41"/>
      <c r="FJ567" s="41"/>
      <c r="FK567" s="41"/>
      <c r="FL567" s="41"/>
      <c r="FM567" s="41"/>
      <c r="FN567" s="41"/>
      <c r="FO567" s="41"/>
      <c r="FP567" s="41"/>
      <c r="FQ567" s="41"/>
      <c r="FR567" s="41"/>
      <c r="FS567" s="41"/>
      <c r="FT567" s="41"/>
      <c r="FU567" s="41"/>
      <c r="FV567" s="41"/>
      <c r="FW567" s="41"/>
      <c r="FX567" s="41"/>
      <c r="FY567" s="41"/>
      <c r="FZ567" s="41"/>
      <c r="GA567" s="41"/>
      <c r="GB567" s="41"/>
      <c r="GC567" s="41"/>
      <c r="GD567" s="41"/>
      <c r="GE567" s="41"/>
      <c r="GF567" s="41"/>
      <c r="GG567" s="41"/>
    </row>
    <row r="568" spans="1:189">
      <c r="A568" s="171"/>
      <c r="B568" s="171"/>
      <c r="C568" s="42"/>
      <c r="D568" s="43"/>
      <c r="E568" s="39"/>
      <c r="F568" s="39"/>
      <c r="G568" s="39"/>
      <c r="H568" s="39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1"/>
      <c r="GC568" s="41"/>
      <c r="GD568" s="41"/>
      <c r="GE568" s="41"/>
      <c r="GF568" s="41"/>
      <c r="GG568" s="41"/>
    </row>
    <row r="569" spans="1:189">
      <c r="A569" s="171"/>
      <c r="B569" s="171"/>
      <c r="C569" s="42"/>
      <c r="D569" s="43"/>
      <c r="E569" s="39"/>
      <c r="F569" s="39"/>
      <c r="G569" s="39"/>
      <c r="H569" s="39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1"/>
      <c r="FY569" s="41"/>
      <c r="FZ569" s="41"/>
      <c r="GA569" s="41"/>
      <c r="GB569" s="41"/>
      <c r="GC569" s="41"/>
      <c r="GD569" s="41"/>
      <c r="GE569" s="41"/>
      <c r="GF569" s="41"/>
      <c r="GG569" s="41"/>
    </row>
    <row r="570" spans="1:189">
      <c r="A570" s="171"/>
      <c r="B570" s="171"/>
      <c r="C570" s="42"/>
      <c r="D570" s="43"/>
      <c r="E570" s="39"/>
      <c r="F570" s="39"/>
      <c r="G570" s="39"/>
      <c r="H570" s="39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1"/>
      <c r="GF570" s="41"/>
      <c r="GG570" s="41"/>
    </row>
    <row r="571" spans="1:189">
      <c r="A571" s="171"/>
      <c r="B571" s="171"/>
      <c r="C571" s="42"/>
      <c r="D571" s="43"/>
      <c r="E571" s="39"/>
      <c r="F571" s="39"/>
      <c r="G571" s="39"/>
      <c r="H571" s="39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  <c r="GE571" s="41"/>
      <c r="GF571" s="41"/>
      <c r="GG571" s="41"/>
    </row>
  </sheetData>
  <conditionalFormatting sqref="B392:B1048576 B2:B316">
    <cfRule type="duplicateValues" dxfId="7" priority="8"/>
  </conditionalFormatting>
  <conditionalFormatting sqref="B318:B338">
    <cfRule type="duplicateValues" dxfId="6" priority="7"/>
  </conditionalFormatting>
  <conditionalFormatting sqref="C317">
    <cfRule type="duplicateValues" dxfId="5" priority="4"/>
  </conditionalFormatting>
  <conditionalFormatting sqref="B317">
    <cfRule type="duplicateValues" dxfId="4" priority="5"/>
  </conditionalFormatting>
  <conditionalFormatting sqref="B339">
    <cfRule type="duplicateValues" dxfId="3" priority="3"/>
  </conditionalFormatting>
  <conditionalFormatting sqref="C339">
    <cfRule type="duplicateValues" dxfId="2" priority="2"/>
  </conditionalFormatting>
  <conditionalFormatting sqref="B343:B388 B340:B341">
    <cfRule type="duplicateValues" dxfId="1" priority="187"/>
  </conditionalFormatting>
  <conditionalFormatting sqref="B389:B391">
    <cfRule type="duplicateValues" dxfId="0" priority="1"/>
  </conditionalFormatting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253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496" t="s">
        <v>1938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2" ht="13.5" thickBot="1"/>
    <row r="3" spans="1:12" ht="16.899999999999999" customHeight="1" thickTop="1">
      <c r="A3" s="500" t="s">
        <v>1841</v>
      </c>
      <c r="B3" s="306"/>
      <c r="C3" s="502" t="s">
        <v>1842</v>
      </c>
      <c r="D3" s="497" t="s">
        <v>1833</v>
      </c>
      <c r="E3" s="497" t="s">
        <v>1834</v>
      </c>
      <c r="F3" s="498" t="s">
        <v>1835</v>
      </c>
      <c r="G3" s="498"/>
      <c r="H3" s="499" t="s">
        <v>1829</v>
      </c>
      <c r="I3" s="497" t="s">
        <v>1830</v>
      </c>
      <c r="J3" s="497" t="s">
        <v>1831</v>
      </c>
      <c r="K3" s="497" t="s">
        <v>1827</v>
      </c>
      <c r="L3" s="497" t="s">
        <v>1828</v>
      </c>
    </row>
    <row r="4" spans="1:12" ht="93" customHeight="1">
      <c r="A4" s="501"/>
      <c r="B4" s="307"/>
      <c r="C4" s="503"/>
      <c r="D4" s="497"/>
      <c r="E4" s="497"/>
      <c r="F4" s="497" t="s">
        <v>1836</v>
      </c>
      <c r="G4" s="497" t="s">
        <v>1837</v>
      </c>
      <c r="H4" s="499"/>
      <c r="I4" s="497"/>
      <c r="J4" s="497"/>
      <c r="K4" s="497"/>
      <c r="L4" s="497"/>
    </row>
    <row r="5" spans="1:12" ht="15.75">
      <c r="A5" s="259" t="s">
        <v>1843</v>
      </c>
      <c r="B5" s="308"/>
      <c r="C5" s="504"/>
      <c r="D5" s="497"/>
      <c r="E5" s="497"/>
      <c r="F5" s="497"/>
      <c r="G5" s="497"/>
      <c r="H5" s="499"/>
      <c r="I5" s="497"/>
      <c r="J5" s="497"/>
      <c r="K5" s="497"/>
      <c r="L5" s="497"/>
    </row>
    <row r="6" spans="1:12" ht="25.5">
      <c r="A6" s="260" t="s">
        <v>1844</v>
      </c>
      <c r="B6" s="309" t="s">
        <v>1845</v>
      </c>
      <c r="C6" s="288" t="s">
        <v>1846</v>
      </c>
      <c r="D6" s="294" t="e">
        <f>+'CE Min'!#REF!</f>
        <v>#REF!</v>
      </c>
      <c r="E6" s="294" t="e">
        <f>+'CE Min'!#REF!</f>
        <v>#REF!</v>
      </c>
      <c r="F6" s="294" t="e">
        <f>+'CE Min'!#REF!</f>
        <v>#REF!</v>
      </c>
      <c r="G6" s="294" t="e">
        <f>+'CE Min'!#REF!</f>
        <v>#REF!</v>
      </c>
      <c r="H6" s="294" t="e">
        <f>+'CE Min'!#REF!</f>
        <v>#REF!</v>
      </c>
      <c r="I6" s="294" t="e">
        <f>+'CE Min'!#REF!</f>
        <v>#REF!</v>
      </c>
      <c r="J6" s="294" t="e">
        <f>+'CE Min'!#REF!</f>
        <v>#REF!</v>
      </c>
      <c r="K6" s="294" t="e">
        <f>+'CE Min'!#REF!</f>
        <v>#REF!</v>
      </c>
      <c r="L6" s="294" t="e">
        <f>+'CE Min'!#REF!</f>
        <v>#REF!</v>
      </c>
    </row>
    <row r="7" spans="1:12" ht="25.5">
      <c r="A7" s="261" t="s">
        <v>1847</v>
      </c>
      <c r="B7" s="310">
        <f>+B6+1</f>
        <v>2</v>
      </c>
      <c r="C7" s="289" t="s">
        <v>183</v>
      </c>
      <c r="D7" s="294" t="e">
        <f>+'CE Min'!#REF!</f>
        <v>#REF!</v>
      </c>
      <c r="E7" s="294" t="e">
        <f>+'CE Min'!#REF!</f>
        <v>#REF!</v>
      </c>
      <c r="F7" s="294" t="e">
        <f>+'CE Min'!#REF!</f>
        <v>#REF!</v>
      </c>
      <c r="G7" s="294" t="e">
        <f>+'CE Min'!#REF!</f>
        <v>#REF!</v>
      </c>
      <c r="H7" s="294" t="e">
        <f>+'CE Min'!#REF!</f>
        <v>#REF!</v>
      </c>
      <c r="I7" s="294" t="e">
        <f>+'CE Min'!#REF!</f>
        <v>#REF!</v>
      </c>
      <c r="J7" s="294" t="e">
        <f>+'CE Min'!#REF!</f>
        <v>#REF!</v>
      </c>
      <c r="K7" s="294" t="e">
        <f>+'CE Min'!#REF!</f>
        <v>#REF!</v>
      </c>
      <c r="L7" s="294" t="e">
        <f>+'CE Min'!#REF!</f>
        <v>#REF!</v>
      </c>
    </row>
    <row r="8" spans="1:12">
      <c r="A8" s="261" t="s">
        <v>1848</v>
      </c>
      <c r="B8" s="310">
        <f t="shared" ref="B8:B18" si="0">+B7+1</f>
        <v>3</v>
      </c>
      <c r="C8" s="289" t="s">
        <v>144</v>
      </c>
      <c r="D8" s="294" t="e">
        <f>+'CE Min'!#REF!</f>
        <v>#REF!</v>
      </c>
      <c r="E8" s="294" t="e">
        <f>+'CE Min'!#REF!</f>
        <v>#REF!</v>
      </c>
      <c r="F8" s="294" t="e">
        <f>+'CE Min'!#REF!</f>
        <v>#REF!</v>
      </c>
      <c r="G8" s="294" t="e">
        <f>+'CE Min'!#REF!</f>
        <v>#REF!</v>
      </c>
      <c r="H8" s="294" t="e">
        <f>+'CE Min'!#REF!</f>
        <v>#REF!</v>
      </c>
      <c r="I8" s="294" t="e">
        <f>+'CE Min'!#REF!</f>
        <v>#REF!</v>
      </c>
      <c r="J8" s="294" t="e">
        <f>+'CE Min'!#REF!</f>
        <v>#REF!</v>
      </c>
      <c r="K8" s="294" t="e">
        <f>+'CE Min'!#REF!</f>
        <v>#REF!</v>
      </c>
      <c r="L8" s="294" t="e">
        <f>+'CE Min'!#REF!</f>
        <v>#REF!</v>
      </c>
    </row>
    <row r="9" spans="1:12">
      <c r="A9" s="261" t="s">
        <v>1849</v>
      </c>
      <c r="B9" s="310">
        <f t="shared" si="0"/>
        <v>4</v>
      </c>
      <c r="C9" s="289" t="s">
        <v>145</v>
      </c>
      <c r="D9" s="294" t="e">
        <f>+'CE Min'!#REF!</f>
        <v>#REF!</v>
      </c>
      <c r="E9" s="294" t="e">
        <f>+'CE Min'!#REF!</f>
        <v>#REF!</v>
      </c>
      <c r="F9" s="294" t="e">
        <f>+'CE Min'!#REF!</f>
        <v>#REF!</v>
      </c>
      <c r="G9" s="294" t="e">
        <f>+'CE Min'!#REF!</f>
        <v>#REF!</v>
      </c>
      <c r="H9" s="294" t="e">
        <f>+'CE Min'!#REF!</f>
        <v>#REF!</v>
      </c>
      <c r="I9" s="294" t="e">
        <f>+'CE Min'!#REF!</f>
        <v>#REF!</v>
      </c>
      <c r="J9" s="294" t="e">
        <f>+'CE Min'!#REF!</f>
        <v>#REF!</v>
      </c>
      <c r="K9" s="294" t="e">
        <f>+'CE Min'!#REF!</f>
        <v>#REF!</v>
      </c>
      <c r="L9" s="294" t="e">
        <f>+'CE Min'!#REF!</f>
        <v>#REF!</v>
      </c>
    </row>
    <row r="10" spans="1:12" ht="25.5">
      <c r="A10" s="262" t="s">
        <v>1850</v>
      </c>
      <c r="B10" s="310">
        <f t="shared" si="0"/>
        <v>5</v>
      </c>
      <c r="C10" s="289" t="s">
        <v>186</v>
      </c>
      <c r="D10" s="294" t="e">
        <f>+'CE Min'!#REF!</f>
        <v>#REF!</v>
      </c>
      <c r="E10" s="294" t="e">
        <f>+'CE Min'!#REF!</f>
        <v>#REF!</v>
      </c>
      <c r="F10" s="294" t="e">
        <f>+'CE Min'!#REF!</f>
        <v>#REF!</v>
      </c>
      <c r="G10" s="294" t="e">
        <f>+'CE Min'!#REF!</f>
        <v>#REF!</v>
      </c>
      <c r="H10" s="294" t="e">
        <f>+'CE Min'!#REF!</f>
        <v>#REF!</v>
      </c>
      <c r="I10" s="294" t="e">
        <f>+'CE Min'!#REF!</f>
        <v>#REF!</v>
      </c>
      <c r="J10" s="294" t="e">
        <f>+'CE Min'!#REF!</f>
        <v>#REF!</v>
      </c>
      <c r="K10" s="294" t="e">
        <f>+'CE Min'!#REF!</f>
        <v>#REF!</v>
      </c>
      <c r="L10" s="294" t="e">
        <f>+'CE Min'!#REF!</f>
        <v>#REF!</v>
      </c>
    </row>
    <row r="11" spans="1:12" ht="25.5">
      <c r="A11" s="262" t="s">
        <v>1851</v>
      </c>
      <c r="B11" s="310">
        <f t="shared" si="0"/>
        <v>6</v>
      </c>
      <c r="C11" s="289" t="s">
        <v>1852</v>
      </c>
      <c r="D11" s="294" t="e">
        <f>+'CE Min'!#REF!-'ce art. 44'!D8-'ce art. 44'!D9+'CE Min'!#REF!+'CE Min'!#REF!</f>
        <v>#REF!</v>
      </c>
      <c r="E11" s="294" t="e">
        <f>+'CE Min'!#REF!-'ce art. 44'!E8-'ce art. 44'!E9+'CE Min'!#REF!+'CE Min'!#REF!</f>
        <v>#REF!</v>
      </c>
      <c r="F11" s="294" t="e">
        <f>+'CE Min'!#REF!-'ce art. 44'!F8-'ce art. 44'!F9+'CE Min'!#REF!+'CE Min'!#REF!</f>
        <v>#REF!</v>
      </c>
      <c r="G11" s="294" t="e">
        <f>+'CE Min'!#REF!-'ce art. 44'!G8-'ce art. 44'!G9+'CE Min'!#REF!+'CE Min'!#REF!</f>
        <v>#REF!</v>
      </c>
      <c r="H11" s="294" t="e">
        <f>+'CE Min'!#REF!-'ce art. 44'!H8-'ce art. 44'!H9+'CE Min'!#REF!+'CE Min'!#REF!</f>
        <v>#REF!</v>
      </c>
      <c r="I11" s="294" t="e">
        <f>+'CE Min'!#REF!-'ce art. 44'!I8-'ce art. 44'!I9+'CE Min'!#REF!+'CE Min'!#REF!</f>
        <v>#REF!</v>
      </c>
      <c r="J11" s="294" t="e">
        <f>+'CE Min'!#REF!-'ce art. 44'!J8-'ce art. 44'!J9+'CE Min'!#REF!+'CE Min'!#REF!</f>
        <v>#REF!</v>
      </c>
      <c r="K11" s="294" t="e">
        <f>+'CE Min'!#REF!-'ce art. 44'!K8-'ce art. 44'!K9+'CE Min'!#REF!+'CE Min'!#REF!</f>
        <v>#REF!</v>
      </c>
      <c r="L11" s="294" t="e">
        <f>+'CE Min'!#REF!-'ce art. 44'!L8-'ce art. 44'!L9+'CE Min'!#REF!+'CE Min'!#REF!</f>
        <v>#REF!</v>
      </c>
    </row>
    <row r="12" spans="1:12">
      <c r="A12" s="262" t="s">
        <v>1853</v>
      </c>
      <c r="B12" s="310">
        <f t="shared" si="0"/>
        <v>7</v>
      </c>
      <c r="C12" s="289" t="s">
        <v>364</v>
      </c>
      <c r="D12" s="294" t="e">
        <f>+'CE Min'!#REF!</f>
        <v>#REF!</v>
      </c>
      <c r="E12" s="294" t="e">
        <f>+'CE Min'!#REF!</f>
        <v>#REF!</v>
      </c>
      <c r="F12" s="294" t="e">
        <f>+'CE Min'!#REF!</f>
        <v>#REF!</v>
      </c>
      <c r="G12" s="294" t="e">
        <f>+'CE Min'!#REF!</f>
        <v>#REF!</v>
      </c>
      <c r="H12" s="294" t="e">
        <f>+'CE Min'!#REF!</f>
        <v>#REF!</v>
      </c>
      <c r="I12" s="294" t="e">
        <f>+'CE Min'!#REF!</f>
        <v>#REF!</v>
      </c>
      <c r="J12" s="294" t="e">
        <f>+'CE Min'!#REF!</f>
        <v>#REF!</v>
      </c>
      <c r="K12" s="294" t="e">
        <f>+'CE Min'!#REF!</f>
        <v>#REF!</v>
      </c>
      <c r="L12" s="294" t="e">
        <f>+'CE Min'!#REF!</f>
        <v>#REF!</v>
      </c>
    </row>
    <row r="13" spans="1:12">
      <c r="A13" s="262" t="s">
        <v>1854</v>
      </c>
      <c r="B13" s="310">
        <f t="shared" si="0"/>
        <v>8</v>
      </c>
      <c r="C13" s="290" t="s">
        <v>341</v>
      </c>
      <c r="D13" s="294" t="e">
        <f>+'CE Min'!#REF!</f>
        <v>#REF!</v>
      </c>
      <c r="E13" s="294" t="e">
        <f>+'CE Min'!#REF!</f>
        <v>#REF!</v>
      </c>
      <c r="F13" s="294" t="e">
        <f>+'CE Min'!#REF!</f>
        <v>#REF!</v>
      </c>
      <c r="G13" s="294" t="e">
        <f>+'CE Min'!#REF!</f>
        <v>#REF!</v>
      </c>
      <c r="H13" s="294" t="e">
        <f>+'CE Min'!#REF!</f>
        <v>#REF!</v>
      </c>
      <c r="I13" s="294" t="e">
        <f>+'CE Min'!#REF!</f>
        <v>#REF!</v>
      </c>
      <c r="J13" s="294" t="e">
        <f>+'CE Min'!#REF!</f>
        <v>#REF!</v>
      </c>
      <c r="K13" s="294" t="e">
        <f>+'CE Min'!#REF!</f>
        <v>#REF!</v>
      </c>
      <c r="L13" s="294" t="e">
        <f>+'CE Min'!#REF!</f>
        <v>#REF!</v>
      </c>
    </row>
    <row r="14" spans="1:12" ht="66.599999999999994" customHeight="1">
      <c r="A14" s="262" t="s">
        <v>1855</v>
      </c>
      <c r="B14" s="310">
        <f t="shared" si="0"/>
        <v>9</v>
      </c>
      <c r="C14" s="291" t="s">
        <v>1856</v>
      </c>
      <c r="D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294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263" t="s">
        <v>1857</v>
      </c>
      <c r="B15" s="310">
        <f t="shared" si="0"/>
        <v>10</v>
      </c>
      <c r="C15" s="289" t="s">
        <v>185</v>
      </c>
      <c r="D15" s="294" t="e">
        <f>+'CE Min'!#REF!</f>
        <v>#REF!</v>
      </c>
      <c r="E15" s="294" t="e">
        <f>+'CE Min'!#REF!</f>
        <v>#REF!</v>
      </c>
      <c r="F15" s="294" t="e">
        <f>+'CE Min'!#REF!</f>
        <v>#REF!</v>
      </c>
      <c r="G15" s="294" t="e">
        <f>+'CE Min'!#REF!</f>
        <v>#REF!</v>
      </c>
      <c r="H15" s="294" t="e">
        <f>+'CE Min'!#REF!</f>
        <v>#REF!</v>
      </c>
      <c r="I15" s="294" t="e">
        <f>+'CE Min'!#REF!</f>
        <v>#REF!</v>
      </c>
      <c r="J15" s="294" t="e">
        <f>+'CE Min'!#REF!</f>
        <v>#REF!</v>
      </c>
      <c r="K15" s="294" t="e">
        <f>+'CE Min'!#REF!</f>
        <v>#REF!</v>
      </c>
      <c r="L15" s="294" t="e">
        <f>+'CE Min'!#REF!</f>
        <v>#REF!</v>
      </c>
    </row>
    <row r="16" spans="1:12">
      <c r="A16" s="262" t="s">
        <v>1858</v>
      </c>
      <c r="B16" s="310">
        <f t="shared" si="0"/>
        <v>11</v>
      </c>
      <c r="C16" s="289" t="s">
        <v>1859</v>
      </c>
      <c r="D16" s="294" t="e">
        <f>+'CE Min'!#REF!+'CE Min'!#REF!</f>
        <v>#REF!</v>
      </c>
      <c r="E16" s="294" t="e">
        <f>+'CE Min'!#REF!+'CE Min'!#REF!</f>
        <v>#REF!</v>
      </c>
      <c r="F16" s="294" t="e">
        <f>+'CE Min'!#REF!+'CE Min'!#REF!</f>
        <v>#REF!</v>
      </c>
      <c r="G16" s="294" t="e">
        <f>+'CE Min'!#REF!+'CE Min'!#REF!</f>
        <v>#REF!</v>
      </c>
      <c r="H16" s="294" t="e">
        <f>+'CE Min'!#REF!+'CE Min'!#REF!</f>
        <v>#REF!</v>
      </c>
      <c r="I16" s="294" t="e">
        <f>+'CE Min'!#REF!+'CE Min'!#REF!</f>
        <v>#REF!</v>
      </c>
      <c r="J16" s="294" t="e">
        <f>+'CE Min'!#REF!+'CE Min'!#REF!</f>
        <v>#REF!</v>
      </c>
      <c r="K16" s="294" t="e">
        <f>+'CE Min'!#REF!+'CE Min'!#REF!</f>
        <v>#REF!</v>
      </c>
      <c r="L16" s="294" t="e">
        <f>+'CE Min'!#REF!+'CE Min'!#REF!</f>
        <v>#REF!</v>
      </c>
    </row>
    <row r="17" spans="1:12">
      <c r="A17" s="264" t="s">
        <v>1860</v>
      </c>
      <c r="B17" s="310">
        <f>+B16+1</f>
        <v>12</v>
      </c>
      <c r="C17" s="291" t="s">
        <v>198</v>
      </c>
      <c r="D17" s="294" t="e">
        <f>+'CE Min'!#REF!</f>
        <v>#REF!</v>
      </c>
      <c r="E17" s="294" t="e">
        <f>+'CE Min'!#REF!</f>
        <v>#REF!</v>
      </c>
      <c r="F17" s="294" t="e">
        <f>+'CE Min'!#REF!</f>
        <v>#REF!</v>
      </c>
      <c r="G17" s="294" t="e">
        <f>+'CE Min'!#REF!</f>
        <v>#REF!</v>
      </c>
      <c r="H17" s="294" t="e">
        <f>+'CE Min'!#REF!</f>
        <v>#REF!</v>
      </c>
      <c r="I17" s="294" t="e">
        <f>+'CE Min'!#REF!</f>
        <v>#REF!</v>
      </c>
      <c r="J17" s="294" t="e">
        <f>+'CE Min'!#REF!</f>
        <v>#REF!</v>
      </c>
      <c r="K17" s="294" t="e">
        <f>+'CE Min'!#REF!</f>
        <v>#REF!</v>
      </c>
      <c r="L17" s="294" t="e">
        <f>+'CE Min'!#REF!</f>
        <v>#REF!</v>
      </c>
    </row>
    <row r="18" spans="1:12" ht="65.650000000000006" customHeight="1">
      <c r="A18" s="265" t="s">
        <v>1861</v>
      </c>
      <c r="B18" s="311">
        <f t="shared" si="0"/>
        <v>13</v>
      </c>
      <c r="C18" s="292" t="s">
        <v>1862</v>
      </c>
      <c r="D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294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266" t="s">
        <v>1863</v>
      </c>
      <c r="B19" s="312" t="s">
        <v>1864</v>
      </c>
      <c r="C19" s="293"/>
      <c r="D19" s="294" t="e">
        <f>D6+D7+D8+D9+D10+D11+D12+D13+D14+D15+D16+D17+D18</f>
        <v>#REF!</v>
      </c>
      <c r="E19" s="294" t="e">
        <f t="shared" ref="E19:L19" si="1">E6+E7+E8+E9+E10+E11+E12+E13+E14+E15+E16+E17+E18</f>
        <v>#REF!</v>
      </c>
      <c r="F19" s="294" t="e">
        <f t="shared" si="1"/>
        <v>#REF!</v>
      </c>
      <c r="G19" s="294" t="e">
        <f t="shared" si="1"/>
        <v>#REF!</v>
      </c>
      <c r="H19" s="294" t="e">
        <f t="shared" si="1"/>
        <v>#REF!</v>
      </c>
      <c r="I19" s="294" t="e">
        <f t="shared" si="1"/>
        <v>#REF!</v>
      </c>
      <c r="J19" s="294" t="e">
        <f t="shared" si="1"/>
        <v>#REF!</v>
      </c>
      <c r="K19" s="294" t="e">
        <f t="shared" si="1"/>
        <v>#REF!</v>
      </c>
      <c r="L19" s="294" t="e">
        <f t="shared" si="1"/>
        <v>#REF!</v>
      </c>
    </row>
    <row r="20" spans="1:12" ht="13.5" thickTop="1">
      <c r="A20" s="267"/>
      <c r="B20" s="313"/>
      <c r="C20" s="268"/>
    </row>
    <row r="21" spans="1:12" ht="13.5" thickBot="1">
      <c r="A21" s="269"/>
      <c r="B21" s="314"/>
      <c r="C21" s="270"/>
    </row>
    <row r="22" spans="1:12" ht="23.65" customHeight="1" thickTop="1">
      <c r="A22" s="500" t="s">
        <v>1865</v>
      </c>
      <c r="B22" s="306"/>
      <c r="C22" s="505" t="s">
        <v>1842</v>
      </c>
      <c r="D22" s="497" t="s">
        <v>1833</v>
      </c>
      <c r="E22" s="497" t="s">
        <v>1834</v>
      </c>
      <c r="F22" s="498" t="s">
        <v>1835</v>
      </c>
      <c r="G22" s="498"/>
      <c r="H22" s="499" t="s">
        <v>1829</v>
      </c>
      <c r="I22" s="497" t="s">
        <v>1830</v>
      </c>
      <c r="J22" s="497" t="s">
        <v>1831</v>
      </c>
      <c r="K22" s="497" t="s">
        <v>1827</v>
      </c>
      <c r="L22" s="497" t="s">
        <v>1828</v>
      </c>
    </row>
    <row r="23" spans="1:12" ht="28.9" customHeight="1">
      <c r="A23" s="501"/>
      <c r="B23" s="307"/>
      <c r="C23" s="506"/>
      <c r="D23" s="497"/>
      <c r="E23" s="497"/>
      <c r="F23" s="497" t="s">
        <v>1836</v>
      </c>
      <c r="G23" s="497" t="s">
        <v>1837</v>
      </c>
      <c r="H23" s="499"/>
      <c r="I23" s="497"/>
      <c r="J23" s="497"/>
      <c r="K23" s="497"/>
      <c r="L23" s="497"/>
    </row>
    <row r="24" spans="1:12" ht="28.15" customHeight="1">
      <c r="A24" s="259" t="s">
        <v>1843</v>
      </c>
      <c r="B24" s="315"/>
      <c r="C24" s="507"/>
      <c r="D24" s="497"/>
      <c r="E24" s="497"/>
      <c r="F24" s="497"/>
      <c r="G24" s="497"/>
      <c r="H24" s="499"/>
      <c r="I24" s="497"/>
      <c r="J24" s="497"/>
      <c r="K24" s="497"/>
      <c r="L24" s="497"/>
    </row>
    <row r="25" spans="1:12" ht="22.5">
      <c r="A25" s="271" t="s">
        <v>1866</v>
      </c>
      <c r="B25" s="316" t="s">
        <v>1867</v>
      </c>
      <c r="C25" s="295"/>
      <c r="D25" s="294" t="e">
        <f>+D26+D27+D28+D29+D30</f>
        <v>#REF!</v>
      </c>
      <c r="E25" s="294" t="e">
        <f t="shared" ref="E25:L25" si="2">+E26+E27+E28+E29+E30</f>
        <v>#REF!</v>
      </c>
      <c r="F25" s="294" t="e">
        <f t="shared" si="2"/>
        <v>#REF!</v>
      </c>
      <c r="G25" s="294" t="e">
        <f t="shared" si="2"/>
        <v>#REF!</v>
      </c>
      <c r="H25" s="294" t="e">
        <f t="shared" si="2"/>
        <v>#REF!</v>
      </c>
      <c r="I25" s="294" t="e">
        <f t="shared" si="2"/>
        <v>#REF!</v>
      </c>
      <c r="J25" s="294" t="e">
        <f t="shared" si="2"/>
        <v>#REF!</v>
      </c>
      <c r="K25" s="294" t="e">
        <f t="shared" si="2"/>
        <v>#REF!</v>
      </c>
      <c r="L25" s="294" t="e">
        <f t="shared" si="2"/>
        <v>#REF!</v>
      </c>
    </row>
    <row r="26" spans="1:12">
      <c r="A26" s="272" t="s">
        <v>1868</v>
      </c>
      <c r="B26" s="273" t="s">
        <v>1869</v>
      </c>
      <c r="C26" s="296" t="s">
        <v>906</v>
      </c>
      <c r="D26" s="294" t="e">
        <f>+'CE Min'!#REF!</f>
        <v>#REF!</v>
      </c>
      <c r="E26" s="294" t="e">
        <f>+'CE Min'!#REF!</f>
        <v>#REF!</v>
      </c>
      <c r="F26" s="294" t="e">
        <f>+'CE Min'!#REF!</f>
        <v>#REF!</v>
      </c>
      <c r="G26" s="294" t="e">
        <f>+'CE Min'!#REF!</f>
        <v>#REF!</v>
      </c>
      <c r="H26" s="294" t="e">
        <f>+'CE Min'!#REF!</f>
        <v>#REF!</v>
      </c>
      <c r="I26" s="294" t="e">
        <f>+'CE Min'!#REF!</f>
        <v>#REF!</v>
      </c>
      <c r="J26" s="294" t="e">
        <f>+'CE Min'!#REF!</f>
        <v>#REF!</v>
      </c>
      <c r="K26" s="294" t="e">
        <f>+'CE Min'!#REF!</f>
        <v>#REF!</v>
      </c>
      <c r="L26" s="294" t="e">
        <f>+'CE Min'!#REF!</f>
        <v>#REF!</v>
      </c>
    </row>
    <row r="27" spans="1:12">
      <c r="A27" s="272" t="s">
        <v>1870</v>
      </c>
      <c r="B27" s="273" t="s">
        <v>1871</v>
      </c>
      <c r="C27" s="296" t="s">
        <v>922</v>
      </c>
      <c r="D27" s="294" t="e">
        <f>+'CE Min'!#REF!</f>
        <v>#REF!</v>
      </c>
      <c r="E27" s="294" t="e">
        <f>+'CE Min'!#REF!</f>
        <v>#REF!</v>
      </c>
      <c r="F27" s="294" t="e">
        <f>+'CE Min'!#REF!</f>
        <v>#REF!</v>
      </c>
      <c r="G27" s="294" t="e">
        <f>+'CE Min'!#REF!</f>
        <v>#REF!</v>
      </c>
      <c r="H27" s="294" t="e">
        <f>+'CE Min'!#REF!</f>
        <v>#REF!</v>
      </c>
      <c r="I27" s="294" t="e">
        <f>+'CE Min'!#REF!</f>
        <v>#REF!</v>
      </c>
      <c r="J27" s="294" t="e">
        <f>+'CE Min'!#REF!</f>
        <v>#REF!</v>
      </c>
      <c r="K27" s="294" t="e">
        <f>+'CE Min'!#REF!</f>
        <v>#REF!</v>
      </c>
      <c r="L27" s="294" t="e">
        <f>+'CE Min'!#REF!</f>
        <v>#REF!</v>
      </c>
    </row>
    <row r="28" spans="1:12">
      <c r="A28" s="272" t="s">
        <v>1872</v>
      </c>
      <c r="B28" s="273" t="s">
        <v>1873</v>
      </c>
      <c r="C28" s="296" t="s">
        <v>933</v>
      </c>
      <c r="D28" s="294" t="e">
        <f>+'CE Min'!#REF!</f>
        <v>#REF!</v>
      </c>
      <c r="E28" s="294" t="e">
        <f>+'CE Min'!#REF!</f>
        <v>#REF!</v>
      </c>
      <c r="F28" s="294" t="e">
        <f>+'CE Min'!#REF!</f>
        <v>#REF!</v>
      </c>
      <c r="G28" s="294" t="e">
        <f>+'CE Min'!#REF!</f>
        <v>#REF!</v>
      </c>
      <c r="H28" s="294" t="e">
        <f>+'CE Min'!#REF!</f>
        <v>#REF!</v>
      </c>
      <c r="I28" s="294" t="e">
        <f>+'CE Min'!#REF!</f>
        <v>#REF!</v>
      </c>
      <c r="J28" s="294" t="e">
        <f>+'CE Min'!#REF!</f>
        <v>#REF!</v>
      </c>
      <c r="K28" s="294" t="e">
        <f>+'CE Min'!#REF!</f>
        <v>#REF!</v>
      </c>
      <c r="L28" s="294" t="e">
        <f>+'CE Min'!#REF!</f>
        <v>#REF!</v>
      </c>
    </row>
    <row r="29" spans="1:12">
      <c r="A29" s="272" t="s">
        <v>1874</v>
      </c>
      <c r="B29" s="273" t="s">
        <v>1875</v>
      </c>
      <c r="C29" s="296" t="s">
        <v>944</v>
      </c>
      <c r="D29" s="294" t="e">
        <f>+'CE Min'!#REF!</f>
        <v>#REF!</v>
      </c>
      <c r="E29" s="294" t="e">
        <f>+'CE Min'!#REF!</f>
        <v>#REF!</v>
      </c>
      <c r="F29" s="294" t="e">
        <f>+'CE Min'!#REF!</f>
        <v>#REF!</v>
      </c>
      <c r="G29" s="294" t="e">
        <f>+'CE Min'!#REF!</f>
        <v>#REF!</v>
      </c>
      <c r="H29" s="294" t="e">
        <f>+'CE Min'!#REF!</f>
        <v>#REF!</v>
      </c>
      <c r="I29" s="294" t="e">
        <f>+'CE Min'!#REF!</f>
        <v>#REF!</v>
      </c>
      <c r="J29" s="294" t="e">
        <f>+'CE Min'!#REF!</f>
        <v>#REF!</v>
      </c>
      <c r="K29" s="294" t="e">
        <f>+'CE Min'!#REF!</f>
        <v>#REF!</v>
      </c>
      <c r="L29" s="294" t="e">
        <f>+'CE Min'!#REF!</f>
        <v>#REF!</v>
      </c>
    </row>
    <row r="30" spans="1:12">
      <c r="A30" s="274" t="s">
        <v>1876</v>
      </c>
      <c r="B30" s="273" t="s">
        <v>1877</v>
      </c>
      <c r="C30" s="296" t="s">
        <v>1878</v>
      </c>
      <c r="D30" s="294" t="e">
        <f>+'CE Min'!#REF!+'CE Min'!#REF!</f>
        <v>#REF!</v>
      </c>
      <c r="E30" s="294" t="e">
        <f>+'CE Min'!#REF!+'CE Min'!#REF!</f>
        <v>#REF!</v>
      </c>
      <c r="F30" s="294" t="e">
        <f>+'CE Min'!#REF!+'CE Min'!#REF!</f>
        <v>#REF!</v>
      </c>
      <c r="G30" s="294" t="e">
        <f>+'CE Min'!#REF!+'CE Min'!#REF!</f>
        <v>#REF!</v>
      </c>
      <c r="H30" s="294" t="e">
        <f>+'CE Min'!#REF!+'CE Min'!#REF!</f>
        <v>#REF!</v>
      </c>
      <c r="I30" s="294" t="e">
        <f>+'CE Min'!#REF!+'CE Min'!#REF!</f>
        <v>#REF!</v>
      </c>
      <c r="J30" s="294" t="e">
        <f>+'CE Min'!#REF!+'CE Min'!#REF!</f>
        <v>#REF!</v>
      </c>
      <c r="K30" s="294" t="e">
        <f>+'CE Min'!#REF!+'CE Min'!#REF!</f>
        <v>#REF!</v>
      </c>
      <c r="L30" s="294" t="e">
        <f>+'CE Min'!#REF!+'CE Min'!#REF!</f>
        <v>#REF!</v>
      </c>
    </row>
    <row r="31" spans="1:12">
      <c r="A31" s="275" t="s">
        <v>1879</v>
      </c>
      <c r="B31" s="317">
        <v>16</v>
      </c>
      <c r="C31" s="297" t="s">
        <v>1207</v>
      </c>
      <c r="D31" s="294" t="e">
        <f>+'CE Min'!#REF!</f>
        <v>#REF!</v>
      </c>
      <c r="E31" s="294" t="e">
        <f>+'CE Min'!#REF!</f>
        <v>#REF!</v>
      </c>
      <c r="F31" s="294" t="e">
        <f>+'CE Min'!#REF!</f>
        <v>#REF!</v>
      </c>
      <c r="G31" s="294" t="e">
        <f>+'CE Min'!#REF!</f>
        <v>#REF!</v>
      </c>
      <c r="H31" s="294" t="e">
        <f>+'CE Min'!#REF!</f>
        <v>#REF!</v>
      </c>
      <c r="I31" s="294" t="e">
        <f>+'CE Min'!#REF!</f>
        <v>#REF!</v>
      </c>
      <c r="J31" s="294" t="e">
        <f>+'CE Min'!#REF!</f>
        <v>#REF!</v>
      </c>
      <c r="K31" s="294" t="e">
        <f>+'CE Min'!#REF!</f>
        <v>#REF!</v>
      </c>
      <c r="L31" s="294" t="e">
        <f>+'CE Min'!#REF!</f>
        <v>#REF!</v>
      </c>
    </row>
    <row r="32" spans="1:12">
      <c r="A32" s="275" t="s">
        <v>1880</v>
      </c>
      <c r="B32" s="317" t="s">
        <v>1881</v>
      </c>
      <c r="C32" s="298"/>
      <c r="D32" s="294" t="e">
        <f>+D33+D34</f>
        <v>#REF!</v>
      </c>
      <c r="E32" s="294" t="e">
        <f t="shared" ref="E32:L32" si="3">+E33+E34</f>
        <v>#REF!</v>
      </c>
      <c r="F32" s="294" t="e">
        <f t="shared" si="3"/>
        <v>#REF!</v>
      </c>
      <c r="G32" s="294" t="e">
        <f t="shared" si="3"/>
        <v>#REF!</v>
      </c>
      <c r="H32" s="294" t="e">
        <f t="shared" si="3"/>
        <v>#REF!</v>
      </c>
      <c r="I32" s="294" t="e">
        <f t="shared" si="3"/>
        <v>#REF!</v>
      </c>
      <c r="J32" s="294" t="e">
        <f t="shared" si="3"/>
        <v>#REF!</v>
      </c>
      <c r="K32" s="294" t="e">
        <f t="shared" si="3"/>
        <v>#REF!</v>
      </c>
      <c r="L32" s="294" t="e">
        <f t="shared" si="3"/>
        <v>#REF!</v>
      </c>
    </row>
    <row r="33" spans="1:12" ht="30" customHeight="1">
      <c r="A33" s="276" t="s">
        <v>1882</v>
      </c>
      <c r="B33" s="277" t="s">
        <v>1883</v>
      </c>
      <c r="C33" s="296" t="s">
        <v>1884</v>
      </c>
      <c r="D33" s="294" t="e">
        <f>+'CE Min'!#REF!-'CE Min'!#REF!-'CE Min'!#REF!-'CE Min'!#REF!-'CE Min'!#REF!</f>
        <v>#REF!</v>
      </c>
      <c r="E33" s="294" t="e">
        <f>+'CE Min'!#REF!-'CE Min'!#REF!-'CE Min'!#REF!-'CE Min'!#REF!-'CE Min'!#REF!</f>
        <v>#REF!</v>
      </c>
      <c r="F33" s="294" t="e">
        <f>+'CE Min'!#REF!-'CE Min'!#REF!-'CE Min'!#REF!-'CE Min'!#REF!-'CE Min'!#REF!</f>
        <v>#REF!</v>
      </c>
      <c r="G33" s="294" t="e">
        <f>+'CE Min'!#REF!-'CE Min'!#REF!-'CE Min'!#REF!-'CE Min'!#REF!-'CE Min'!#REF!</f>
        <v>#REF!</v>
      </c>
      <c r="H33" s="294" t="e">
        <f>+'CE Min'!#REF!-'CE Min'!#REF!-'CE Min'!#REF!-'CE Min'!#REF!-'CE Min'!#REF!</f>
        <v>#REF!</v>
      </c>
      <c r="I33" s="294" t="e">
        <f>+'CE Min'!#REF!-'CE Min'!#REF!-'CE Min'!#REF!-'CE Min'!#REF!-'CE Min'!#REF!</f>
        <v>#REF!</v>
      </c>
      <c r="J33" s="294" t="e">
        <f>+'CE Min'!#REF!-'CE Min'!#REF!-'CE Min'!#REF!-'CE Min'!#REF!-'CE Min'!#REF!</f>
        <v>#REF!</v>
      </c>
      <c r="K33" s="294" t="e">
        <f>+'CE Min'!#REF!-'CE Min'!#REF!-'CE Min'!#REF!-'CE Min'!#REF!-'CE Min'!#REF!</f>
        <v>#REF!</v>
      </c>
      <c r="L33" s="294" t="e">
        <f>+'CE Min'!#REF!-'CE Min'!#REF!-'CE Min'!#REF!-'CE Min'!#REF!-'CE Min'!#REF!</f>
        <v>#REF!</v>
      </c>
    </row>
    <row r="34" spans="1:12">
      <c r="A34" s="276" t="s">
        <v>1885</v>
      </c>
      <c r="B34" s="277" t="s">
        <v>1886</v>
      </c>
      <c r="C34" s="297" t="s">
        <v>509</v>
      </c>
      <c r="D34" s="294" t="e">
        <f>+'CE Min'!#REF!</f>
        <v>#REF!</v>
      </c>
      <c r="E34" s="294" t="e">
        <f>+'CE Min'!#REF!</f>
        <v>#REF!</v>
      </c>
      <c r="F34" s="294" t="e">
        <f>+'CE Min'!#REF!</f>
        <v>#REF!</v>
      </c>
      <c r="G34" s="294" t="e">
        <f>+'CE Min'!#REF!</f>
        <v>#REF!</v>
      </c>
      <c r="H34" s="294" t="e">
        <f>+'CE Min'!#REF!</f>
        <v>#REF!</v>
      </c>
      <c r="I34" s="294" t="e">
        <f>+'CE Min'!#REF!</f>
        <v>#REF!</v>
      </c>
      <c r="J34" s="294" t="e">
        <f>+'CE Min'!#REF!</f>
        <v>#REF!</v>
      </c>
      <c r="K34" s="294" t="e">
        <f>+'CE Min'!#REF!</f>
        <v>#REF!</v>
      </c>
      <c r="L34" s="294" t="e">
        <f>+'CE Min'!#REF!</f>
        <v>#REF!</v>
      </c>
    </row>
    <row r="35" spans="1:12">
      <c r="A35" s="275" t="s">
        <v>1887</v>
      </c>
      <c r="B35" s="317" t="s">
        <v>1888</v>
      </c>
      <c r="C35" s="298"/>
      <c r="D35" s="294" t="e">
        <f>+D36+D37</f>
        <v>#REF!</v>
      </c>
      <c r="E35" s="294" t="e">
        <f t="shared" ref="E35:L35" si="4">+E36+E37</f>
        <v>#REF!</v>
      </c>
      <c r="F35" s="294" t="e">
        <f t="shared" si="4"/>
        <v>#REF!</v>
      </c>
      <c r="G35" s="294" t="e">
        <f t="shared" si="4"/>
        <v>#REF!</v>
      </c>
      <c r="H35" s="294" t="e">
        <f t="shared" si="4"/>
        <v>#REF!</v>
      </c>
      <c r="I35" s="294" t="e">
        <f t="shared" si="4"/>
        <v>#REF!</v>
      </c>
      <c r="J35" s="294" t="e">
        <f t="shared" si="4"/>
        <v>#REF!</v>
      </c>
      <c r="K35" s="294" t="e">
        <f t="shared" si="4"/>
        <v>#REF!</v>
      </c>
      <c r="L35" s="294" t="e">
        <f t="shared" si="4"/>
        <v>#REF!</v>
      </c>
    </row>
    <row r="36" spans="1:12">
      <c r="A36" s="276" t="s">
        <v>1889</v>
      </c>
      <c r="B36" s="277" t="s">
        <v>1890</v>
      </c>
      <c r="C36" s="297" t="s">
        <v>1891</v>
      </c>
      <c r="D36" s="294" t="e">
        <f>+'CE Min'!#REF!+'CE Min'!#REF!-'CE Min'!#REF!+'CE Min'!#REF!</f>
        <v>#REF!</v>
      </c>
      <c r="E36" s="294" t="e">
        <f>+'CE Min'!#REF!+'CE Min'!#REF!-'CE Min'!#REF!+'CE Min'!#REF!</f>
        <v>#REF!</v>
      </c>
      <c r="F36" s="294" t="e">
        <f>+'CE Min'!#REF!+'CE Min'!#REF!-'CE Min'!#REF!+'CE Min'!#REF!</f>
        <v>#REF!</v>
      </c>
      <c r="G36" s="294" t="e">
        <f>+'CE Min'!#REF!+'CE Min'!#REF!-'CE Min'!#REF!+'CE Min'!#REF!</f>
        <v>#REF!</v>
      </c>
      <c r="H36" s="294" t="e">
        <f>+'CE Min'!#REF!+'CE Min'!#REF!-'CE Min'!#REF!+'CE Min'!#REF!</f>
        <v>#REF!</v>
      </c>
      <c r="I36" s="294" t="e">
        <f>+'CE Min'!#REF!+'CE Min'!#REF!-'CE Min'!#REF!+'CE Min'!#REF!</f>
        <v>#REF!</v>
      </c>
      <c r="J36" s="294" t="e">
        <f>+'CE Min'!#REF!+'CE Min'!#REF!-'CE Min'!#REF!+'CE Min'!#REF!</f>
        <v>#REF!</v>
      </c>
      <c r="K36" s="294" t="e">
        <f>+'CE Min'!#REF!+'CE Min'!#REF!-'CE Min'!#REF!+'CE Min'!#REF!</f>
        <v>#REF!</v>
      </c>
      <c r="L36" s="294" t="e">
        <f>+'CE Min'!#REF!+'CE Min'!#REF!-'CE Min'!#REF!+'CE Min'!#REF!</f>
        <v>#REF!</v>
      </c>
    </row>
    <row r="37" spans="1:12" ht="33.6" customHeight="1">
      <c r="A37" s="276" t="s">
        <v>1892</v>
      </c>
      <c r="B37" s="277" t="s">
        <v>1893</v>
      </c>
      <c r="C37" s="296" t="s">
        <v>1894</v>
      </c>
      <c r="D37" s="294" t="e">
        <f>+'CE Min'!#REF!+'CE Min'!#REF!+'CE Min'!#REF!+'CE Min'!#REF!+'CE Min'!#REF!-'CE Min'!#REF!+'CE Min'!#REF!</f>
        <v>#REF!</v>
      </c>
      <c r="E37" s="294" t="e">
        <f>+'CE Min'!#REF!+'CE Min'!#REF!+'CE Min'!#REF!+'CE Min'!#REF!+'CE Min'!#REF!-'CE Min'!#REF!+'CE Min'!#REF!</f>
        <v>#REF!</v>
      </c>
      <c r="F37" s="294" t="e">
        <f>+'CE Min'!#REF!+'CE Min'!#REF!+'CE Min'!#REF!+'CE Min'!#REF!+'CE Min'!#REF!-'CE Min'!#REF!+'CE Min'!#REF!</f>
        <v>#REF!</v>
      </c>
      <c r="G37" s="294" t="e">
        <f>+'CE Min'!#REF!+'CE Min'!#REF!+'CE Min'!#REF!+'CE Min'!#REF!+'CE Min'!#REF!-'CE Min'!#REF!+'CE Min'!#REF!</f>
        <v>#REF!</v>
      </c>
      <c r="H37" s="294" t="e">
        <f>+'CE Min'!#REF!+'CE Min'!#REF!+'CE Min'!#REF!+'CE Min'!#REF!+'CE Min'!#REF!-'CE Min'!#REF!+'CE Min'!#REF!</f>
        <v>#REF!</v>
      </c>
      <c r="I37" s="294" t="e">
        <f>+'CE Min'!#REF!+'CE Min'!#REF!+'CE Min'!#REF!+'CE Min'!#REF!+'CE Min'!#REF!-'CE Min'!#REF!+'CE Min'!#REF!</f>
        <v>#REF!</v>
      </c>
      <c r="J37" s="294" t="e">
        <f>+'CE Min'!#REF!+'CE Min'!#REF!+'CE Min'!#REF!+'CE Min'!#REF!+'CE Min'!#REF!-'CE Min'!#REF!+'CE Min'!#REF!</f>
        <v>#REF!</v>
      </c>
      <c r="K37" s="294" t="e">
        <f>+'CE Min'!#REF!+'CE Min'!#REF!+'CE Min'!#REF!+'CE Min'!#REF!+'CE Min'!#REF!-'CE Min'!#REF!+'CE Min'!#REF!</f>
        <v>#REF!</v>
      </c>
      <c r="L37" s="294" t="e">
        <f>+'CE Min'!#REF!+'CE Min'!#REF!+'CE Min'!#REF!+'CE Min'!#REF!+'CE Min'!#REF!-'CE Min'!#REF!+'CE Min'!#REF!</f>
        <v>#REF!</v>
      </c>
    </row>
    <row r="38" spans="1:12" ht="22.5">
      <c r="A38" s="278" t="s">
        <v>1895</v>
      </c>
      <c r="B38" s="318" t="s">
        <v>1896</v>
      </c>
      <c r="C38" s="298"/>
      <c r="D38" s="294" t="e">
        <f>+D39+D40+D41+D42+D43+D44+D45</f>
        <v>#REF!</v>
      </c>
      <c r="E38" s="294" t="e">
        <f t="shared" ref="E38:L38" si="5">+E39+E40+E41+E42+E43+E44+E45</f>
        <v>#REF!</v>
      </c>
      <c r="F38" s="294" t="e">
        <f t="shared" si="5"/>
        <v>#REF!</v>
      </c>
      <c r="G38" s="294" t="e">
        <f t="shared" si="5"/>
        <v>#REF!</v>
      </c>
      <c r="H38" s="294" t="e">
        <f t="shared" si="5"/>
        <v>#REF!</v>
      </c>
      <c r="I38" s="294" t="e">
        <f t="shared" si="5"/>
        <v>#REF!</v>
      </c>
      <c r="J38" s="294" t="e">
        <f t="shared" si="5"/>
        <v>#REF!</v>
      </c>
      <c r="K38" s="294" t="e">
        <f t="shared" si="5"/>
        <v>#REF!</v>
      </c>
      <c r="L38" s="294" t="e">
        <f t="shared" si="5"/>
        <v>#REF!</v>
      </c>
    </row>
    <row r="39" spans="1:12">
      <c r="A39" s="279" t="s">
        <v>1897</v>
      </c>
      <c r="B39" s="277" t="s">
        <v>1898</v>
      </c>
      <c r="C39" s="297" t="s">
        <v>529</v>
      </c>
      <c r="D39" s="294" t="e">
        <f>+'CE Min'!#REF!</f>
        <v>#REF!</v>
      </c>
      <c r="E39" s="294" t="e">
        <f>+'CE Min'!#REF!</f>
        <v>#REF!</v>
      </c>
      <c r="F39" s="294" t="e">
        <f>+'CE Min'!#REF!</f>
        <v>#REF!</v>
      </c>
      <c r="G39" s="294" t="e">
        <f>+'CE Min'!#REF!</f>
        <v>#REF!</v>
      </c>
      <c r="H39" s="294" t="e">
        <f>+'CE Min'!#REF!</f>
        <v>#REF!</v>
      </c>
      <c r="I39" s="294" t="e">
        <f>+'CE Min'!#REF!</f>
        <v>#REF!</v>
      </c>
      <c r="J39" s="294" t="e">
        <f>+'CE Min'!#REF!</f>
        <v>#REF!</v>
      </c>
      <c r="K39" s="294" t="e">
        <f>+'CE Min'!#REF!</f>
        <v>#REF!</v>
      </c>
      <c r="L39" s="294" t="e">
        <f>+'CE Min'!#REF!</f>
        <v>#REF!</v>
      </c>
    </row>
    <row r="40" spans="1:12">
      <c r="A40" s="279" t="s">
        <v>1899</v>
      </c>
      <c r="B40" s="277" t="s">
        <v>1900</v>
      </c>
      <c r="C40" s="297" t="s">
        <v>1901</v>
      </c>
      <c r="D40" s="294" t="e">
        <f>+'CE Min'!#REF!</f>
        <v>#REF!</v>
      </c>
      <c r="E40" s="294" t="e">
        <f>+'CE Min'!#REF!</f>
        <v>#REF!</v>
      </c>
      <c r="F40" s="294" t="e">
        <f>+'CE Min'!#REF!</f>
        <v>#REF!</v>
      </c>
      <c r="G40" s="294" t="e">
        <f>+'CE Min'!#REF!</f>
        <v>#REF!</v>
      </c>
      <c r="H40" s="294" t="e">
        <f>+'CE Min'!#REF!</f>
        <v>#REF!</v>
      </c>
      <c r="I40" s="294" t="e">
        <f>+'CE Min'!#REF!</f>
        <v>#REF!</v>
      </c>
      <c r="J40" s="294" t="e">
        <f>+'CE Min'!#REF!</f>
        <v>#REF!</v>
      </c>
      <c r="K40" s="294" t="e">
        <f>+'CE Min'!#REF!</f>
        <v>#REF!</v>
      </c>
      <c r="L40" s="294" t="e">
        <f>+'CE Min'!#REF!</f>
        <v>#REF!</v>
      </c>
    </row>
    <row r="41" spans="1:12">
      <c r="A41" s="280" t="s">
        <v>1902</v>
      </c>
      <c r="B41" s="277" t="s">
        <v>1903</v>
      </c>
      <c r="C41" s="297" t="s">
        <v>1904</v>
      </c>
      <c r="D41" s="294" t="e">
        <f>+'CE Min'!#REF!</f>
        <v>#REF!</v>
      </c>
      <c r="E41" s="294" t="e">
        <f>+'CE Min'!#REF!</f>
        <v>#REF!</v>
      </c>
      <c r="F41" s="294" t="e">
        <f>+'CE Min'!#REF!</f>
        <v>#REF!</v>
      </c>
      <c r="G41" s="294" t="e">
        <f>+'CE Min'!#REF!</f>
        <v>#REF!</v>
      </c>
      <c r="H41" s="294" t="e">
        <f>+'CE Min'!#REF!</f>
        <v>#REF!</v>
      </c>
      <c r="I41" s="294" t="e">
        <f>+'CE Min'!#REF!</f>
        <v>#REF!</v>
      </c>
      <c r="J41" s="294" t="e">
        <f>+'CE Min'!#REF!</f>
        <v>#REF!</v>
      </c>
      <c r="K41" s="294" t="e">
        <f>+'CE Min'!#REF!</f>
        <v>#REF!</v>
      </c>
      <c r="L41" s="294" t="e">
        <f>+'CE Min'!#REF!</f>
        <v>#REF!</v>
      </c>
    </row>
    <row r="42" spans="1:12">
      <c r="A42" s="279" t="s">
        <v>1905</v>
      </c>
      <c r="B42" s="277" t="s">
        <v>1906</v>
      </c>
      <c r="C42" s="297" t="s">
        <v>1907</v>
      </c>
      <c r="D42" s="294" t="e">
        <f>+'CE Min'!#REF!+'CE Min'!#REF!</f>
        <v>#REF!</v>
      </c>
      <c r="E42" s="294" t="e">
        <f>+'CE Min'!#REF!+'CE Min'!#REF!</f>
        <v>#REF!</v>
      </c>
      <c r="F42" s="294" t="e">
        <f>+'CE Min'!#REF!+'CE Min'!#REF!</f>
        <v>#REF!</v>
      </c>
      <c r="G42" s="294" t="e">
        <f>+'CE Min'!#REF!+'CE Min'!#REF!</f>
        <v>#REF!</v>
      </c>
      <c r="H42" s="294" t="e">
        <f>+'CE Min'!#REF!+'CE Min'!#REF!</f>
        <v>#REF!</v>
      </c>
      <c r="I42" s="294" t="e">
        <f>+'CE Min'!#REF!+'CE Min'!#REF!</f>
        <v>#REF!</v>
      </c>
      <c r="J42" s="294" t="e">
        <f>+'CE Min'!#REF!+'CE Min'!#REF!</f>
        <v>#REF!</v>
      </c>
      <c r="K42" s="294" t="e">
        <f>+'CE Min'!#REF!+'CE Min'!#REF!</f>
        <v>#REF!</v>
      </c>
      <c r="L42" s="294" t="e">
        <f>+'CE Min'!#REF!+'CE Min'!#REF!</f>
        <v>#REF!</v>
      </c>
    </row>
    <row r="43" spans="1:12">
      <c r="A43" s="279" t="s">
        <v>1908</v>
      </c>
      <c r="B43" s="277" t="s">
        <v>1909</v>
      </c>
      <c r="C43" s="297" t="s">
        <v>1910</v>
      </c>
      <c r="D43" s="294" t="e">
        <f>+'CE Min'!#REF!+'CE Min'!#REF!</f>
        <v>#REF!</v>
      </c>
      <c r="E43" s="294" t="e">
        <f>+'CE Min'!#REF!+'CE Min'!#REF!</f>
        <v>#REF!</v>
      </c>
      <c r="F43" s="294" t="e">
        <f>+'CE Min'!#REF!+'CE Min'!#REF!</f>
        <v>#REF!</v>
      </c>
      <c r="G43" s="294" t="e">
        <f>+'CE Min'!#REF!+'CE Min'!#REF!</f>
        <v>#REF!</v>
      </c>
      <c r="H43" s="294" t="e">
        <f>+'CE Min'!#REF!+'CE Min'!#REF!</f>
        <v>#REF!</v>
      </c>
      <c r="I43" s="294" t="e">
        <f>+'CE Min'!#REF!+'CE Min'!#REF!</f>
        <v>#REF!</v>
      </c>
      <c r="J43" s="294" t="e">
        <f>+'CE Min'!#REF!+'CE Min'!#REF!</f>
        <v>#REF!</v>
      </c>
      <c r="K43" s="294" t="e">
        <f>+'CE Min'!#REF!+'CE Min'!#REF!</f>
        <v>#REF!</v>
      </c>
      <c r="L43" s="294" t="e">
        <f>+'CE Min'!#REF!+'CE Min'!#REF!</f>
        <v>#REF!</v>
      </c>
    </row>
    <row r="44" spans="1:12">
      <c r="A44" s="279" t="s">
        <v>1911</v>
      </c>
      <c r="B44" s="277" t="s">
        <v>1912</v>
      </c>
      <c r="C44" s="297" t="s">
        <v>1913</v>
      </c>
      <c r="D44" s="294" t="e">
        <f>+'CE Min'!#REF!+'CE Min'!#REF!</f>
        <v>#REF!</v>
      </c>
      <c r="E44" s="294" t="e">
        <f>+'CE Min'!#REF!+'CE Min'!#REF!</f>
        <v>#REF!</v>
      </c>
      <c r="F44" s="294" t="e">
        <f>+'CE Min'!#REF!+'CE Min'!#REF!</f>
        <v>#REF!</v>
      </c>
      <c r="G44" s="294" t="e">
        <f>+'CE Min'!#REF!+'CE Min'!#REF!</f>
        <v>#REF!</v>
      </c>
      <c r="H44" s="294" t="e">
        <f>+'CE Min'!#REF!+'CE Min'!#REF!</f>
        <v>#REF!</v>
      </c>
      <c r="I44" s="294" t="e">
        <f>+'CE Min'!#REF!+'CE Min'!#REF!</f>
        <v>#REF!</v>
      </c>
      <c r="J44" s="294" t="e">
        <f>+'CE Min'!#REF!+'CE Min'!#REF!</f>
        <v>#REF!</v>
      </c>
      <c r="K44" s="294" t="e">
        <f>+'CE Min'!#REF!+'CE Min'!#REF!</f>
        <v>#REF!</v>
      </c>
      <c r="L44" s="294" t="e">
        <f>+'CE Min'!#REF!+'CE Min'!#REF!</f>
        <v>#REF!</v>
      </c>
    </row>
    <row r="45" spans="1:12" ht="82.9" customHeight="1">
      <c r="A45" s="279" t="s">
        <v>1914</v>
      </c>
      <c r="B45" s="277" t="s">
        <v>1915</v>
      </c>
      <c r="C45" s="296" t="s">
        <v>1916</v>
      </c>
      <c r="D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294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281" t="s">
        <v>1917</v>
      </c>
      <c r="B46" s="317">
        <v>20</v>
      </c>
      <c r="C46" s="296" t="s">
        <v>1918</v>
      </c>
      <c r="D46" s="294" t="e">
        <f>+'CE Min'!#REF!+'CE Min'!#REF!+'CE Min'!#REF!+'CE Min'!#REF!+'CE Min'!#REF!+'CE Min'!#REF!+'CE Min'!#REF!+'CE Min'!#REF!+'CE Min'!#REF!+'CE Min'!#REF!+'CE Min'!#REF!+'CE Min'!#REF!+'CE Min'!#REF!</f>
        <v>#REF!</v>
      </c>
      <c r="E46" s="294" t="e">
        <f>+'CE Min'!#REF!+'CE Min'!#REF!+'CE Min'!#REF!+'CE Min'!#REF!+'CE Min'!#REF!+'CE Min'!#REF!+'CE Min'!#REF!+'CE Min'!#REF!+'CE Min'!#REF!+'CE Min'!#REF!+'CE Min'!#REF!+'CE Min'!#REF!+'CE Min'!#REF!</f>
        <v>#REF!</v>
      </c>
      <c r="F46" s="294" t="e">
        <f>+'CE Min'!#REF!+'CE Min'!#REF!+'CE Min'!#REF!+'CE Min'!#REF!+'CE Min'!#REF!+'CE Min'!#REF!+'CE Min'!#REF!+'CE Min'!#REF!+'CE Min'!#REF!+'CE Min'!#REF!+'CE Min'!#REF!+'CE Min'!#REF!+'CE Min'!#REF!</f>
        <v>#REF!</v>
      </c>
      <c r="G46" s="294" t="e">
        <f>+'CE Min'!#REF!+'CE Min'!#REF!+'CE Min'!#REF!+'CE Min'!#REF!+'CE Min'!#REF!+'CE Min'!#REF!+'CE Min'!#REF!+'CE Min'!#REF!+'CE Min'!#REF!+'CE Min'!#REF!+'CE Min'!#REF!+'CE Min'!#REF!+'CE Min'!#REF!</f>
        <v>#REF!</v>
      </c>
      <c r="H46" s="294" t="e">
        <f>+'CE Min'!#REF!+'CE Min'!#REF!+'CE Min'!#REF!+'CE Min'!#REF!+'CE Min'!#REF!+'CE Min'!#REF!+'CE Min'!#REF!+'CE Min'!#REF!+'CE Min'!#REF!+'CE Min'!#REF!+'CE Min'!#REF!+'CE Min'!#REF!+'CE Min'!#REF!</f>
        <v>#REF!</v>
      </c>
      <c r="I46" s="294" t="e">
        <f>+'CE Min'!#REF!+'CE Min'!#REF!+'CE Min'!#REF!+'CE Min'!#REF!+'CE Min'!#REF!+'CE Min'!#REF!+'CE Min'!#REF!+'CE Min'!#REF!+'CE Min'!#REF!+'CE Min'!#REF!+'CE Min'!#REF!+'CE Min'!#REF!+'CE Min'!#REF!</f>
        <v>#REF!</v>
      </c>
      <c r="J46" s="294" t="e">
        <f>+'CE Min'!#REF!+'CE Min'!#REF!+'CE Min'!#REF!+'CE Min'!#REF!+'CE Min'!#REF!+'CE Min'!#REF!+'CE Min'!#REF!+'CE Min'!#REF!+'CE Min'!#REF!+'CE Min'!#REF!+'CE Min'!#REF!+'CE Min'!#REF!+'CE Min'!#REF!</f>
        <v>#REF!</v>
      </c>
      <c r="K46" s="294" t="e">
        <f>+'CE Min'!#REF!+'CE Min'!#REF!+'CE Min'!#REF!+'CE Min'!#REF!+'CE Min'!#REF!+'CE Min'!#REF!+'CE Min'!#REF!+'CE Min'!#REF!+'CE Min'!#REF!+'CE Min'!#REF!+'CE Min'!#REF!+'CE Min'!#REF!+'CE Min'!#REF!</f>
        <v>#REF!</v>
      </c>
      <c r="L46" s="294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278" t="s">
        <v>1919</v>
      </c>
      <c r="B47" s="317">
        <v>21</v>
      </c>
      <c r="C47" s="297" t="s">
        <v>1083</v>
      </c>
      <c r="D47" s="294" t="e">
        <f>+'CE Min'!#REF!</f>
        <v>#REF!</v>
      </c>
      <c r="E47" s="294" t="e">
        <f>+'CE Min'!#REF!</f>
        <v>#REF!</v>
      </c>
      <c r="F47" s="294" t="e">
        <f>+'CE Min'!#REF!</f>
        <v>#REF!</v>
      </c>
      <c r="G47" s="294" t="e">
        <f>+'CE Min'!#REF!</f>
        <v>#REF!</v>
      </c>
      <c r="H47" s="294" t="e">
        <f>+'CE Min'!#REF!</f>
        <v>#REF!</v>
      </c>
      <c r="I47" s="294" t="e">
        <f>+'CE Min'!#REF!</f>
        <v>#REF!</v>
      </c>
      <c r="J47" s="294" t="e">
        <f>+'CE Min'!#REF!</f>
        <v>#REF!</v>
      </c>
      <c r="K47" s="294" t="e">
        <f>+'CE Min'!#REF!</f>
        <v>#REF!</v>
      </c>
      <c r="L47" s="294" t="e">
        <f>+'CE Min'!#REF!</f>
        <v>#REF!</v>
      </c>
    </row>
    <row r="48" spans="1:12">
      <c r="A48" s="278" t="s">
        <v>1920</v>
      </c>
      <c r="B48" s="317">
        <v>22</v>
      </c>
      <c r="C48" s="299" t="s">
        <v>1921</v>
      </c>
      <c r="D48" s="294" t="e">
        <f>+'CE Min'!#REF!+'CE Min'!#REF!</f>
        <v>#REF!</v>
      </c>
      <c r="E48" s="294" t="e">
        <f>+'CE Min'!#REF!+'CE Min'!#REF!</f>
        <v>#REF!</v>
      </c>
      <c r="F48" s="294" t="e">
        <f>+'CE Min'!#REF!+'CE Min'!#REF!</f>
        <v>#REF!</v>
      </c>
      <c r="G48" s="294" t="e">
        <f>+'CE Min'!#REF!+'CE Min'!#REF!</f>
        <v>#REF!</v>
      </c>
      <c r="H48" s="294" t="e">
        <f>+'CE Min'!#REF!+'CE Min'!#REF!</f>
        <v>#REF!</v>
      </c>
      <c r="I48" s="294" t="e">
        <f>+'CE Min'!#REF!+'CE Min'!#REF!</f>
        <v>#REF!</v>
      </c>
      <c r="J48" s="294" t="e">
        <f>+'CE Min'!#REF!+'CE Min'!#REF!</f>
        <v>#REF!</v>
      </c>
      <c r="K48" s="294" t="e">
        <f>+'CE Min'!#REF!+'CE Min'!#REF!</f>
        <v>#REF!</v>
      </c>
      <c r="L48" s="294" t="e">
        <f>+'CE Min'!#REF!+'CE Min'!#REF!</f>
        <v>#REF!</v>
      </c>
    </row>
    <row r="49" spans="1:12">
      <c r="A49" s="278" t="s">
        <v>1922</v>
      </c>
      <c r="B49" s="317">
        <v>23</v>
      </c>
      <c r="C49" s="299" t="s">
        <v>1923</v>
      </c>
      <c r="D49" s="294" t="e">
        <f>+'CE Min'!#REF!+'CE Min'!#REF!+'CE Min'!#REF!</f>
        <v>#REF!</v>
      </c>
      <c r="E49" s="294" t="e">
        <f>+'CE Min'!#REF!+'CE Min'!#REF!+'CE Min'!#REF!</f>
        <v>#REF!</v>
      </c>
      <c r="F49" s="294" t="e">
        <f>+'CE Min'!#REF!+'CE Min'!#REF!+'CE Min'!#REF!</f>
        <v>#REF!</v>
      </c>
      <c r="G49" s="294" t="e">
        <f>+'CE Min'!#REF!+'CE Min'!#REF!+'CE Min'!#REF!</f>
        <v>#REF!</v>
      </c>
      <c r="H49" s="294" t="e">
        <f>+'CE Min'!#REF!+'CE Min'!#REF!+'CE Min'!#REF!</f>
        <v>#REF!</v>
      </c>
      <c r="I49" s="294" t="e">
        <f>+'CE Min'!#REF!+'CE Min'!#REF!+'CE Min'!#REF!</f>
        <v>#REF!</v>
      </c>
      <c r="J49" s="294" t="e">
        <f>+'CE Min'!#REF!+'CE Min'!#REF!+'CE Min'!#REF!</f>
        <v>#REF!</v>
      </c>
      <c r="K49" s="294" t="e">
        <f>+'CE Min'!#REF!+'CE Min'!#REF!+'CE Min'!#REF!</f>
        <v>#REF!</v>
      </c>
      <c r="L49" s="294" t="e">
        <f>+'CE Min'!#REF!+'CE Min'!#REF!+'CE Min'!#REF!</f>
        <v>#REF!</v>
      </c>
    </row>
    <row r="50" spans="1:12">
      <c r="A50" s="282" t="s">
        <v>1924</v>
      </c>
      <c r="B50" s="317">
        <v>24</v>
      </c>
      <c r="C50" s="300" t="s">
        <v>1658</v>
      </c>
      <c r="D50" s="294" t="e">
        <f>+'CE Min'!#REF!</f>
        <v>#REF!</v>
      </c>
      <c r="E50" s="294" t="e">
        <f>+'CE Min'!#REF!</f>
        <v>#REF!</v>
      </c>
      <c r="F50" s="294" t="e">
        <f>+'CE Min'!#REF!</f>
        <v>#REF!</v>
      </c>
      <c r="G50" s="294" t="e">
        <f>+'CE Min'!#REF!</f>
        <v>#REF!</v>
      </c>
      <c r="H50" s="294" t="e">
        <f>+'CE Min'!#REF!</f>
        <v>#REF!</v>
      </c>
      <c r="I50" s="294" t="e">
        <f>+'CE Min'!#REF!</f>
        <v>#REF!</v>
      </c>
      <c r="J50" s="294" t="e">
        <f>+'CE Min'!#REF!</f>
        <v>#REF!</v>
      </c>
      <c r="K50" s="294" t="e">
        <f>+'CE Min'!#REF!</f>
        <v>#REF!</v>
      </c>
      <c r="L50" s="294" t="e">
        <f>+'CE Min'!#REF!</f>
        <v>#REF!</v>
      </c>
    </row>
    <row r="51" spans="1:12" ht="83.65" customHeight="1">
      <c r="A51" s="283" t="s">
        <v>1925</v>
      </c>
      <c r="B51" s="317">
        <v>25</v>
      </c>
      <c r="C51" s="301" t="s">
        <v>1926</v>
      </c>
      <c r="D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294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283" t="s">
        <v>1927</v>
      </c>
      <c r="B52" s="317">
        <v>26</v>
      </c>
      <c r="C52" s="301" t="s">
        <v>1928</v>
      </c>
      <c r="D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294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278" t="s">
        <v>1929</v>
      </c>
      <c r="B53" s="317">
        <v>27</v>
      </c>
      <c r="C53" s="302" t="s">
        <v>1930</v>
      </c>
      <c r="D53" s="294" t="e">
        <f>-'CE Min'!#REF!+'CE Min'!#REF!+'CE Min'!#REF!</f>
        <v>#REF!</v>
      </c>
      <c r="E53" s="294" t="e">
        <f>-'CE Min'!#REF!+'CE Min'!#REF!+'CE Min'!#REF!</f>
        <v>#REF!</v>
      </c>
      <c r="F53" s="294" t="e">
        <f>-'CE Min'!#REF!+'CE Min'!#REF!+'CE Min'!#REF!</f>
        <v>#REF!</v>
      </c>
      <c r="G53" s="294" t="e">
        <f>-'CE Min'!#REF!+'CE Min'!#REF!+'CE Min'!#REF!</f>
        <v>#REF!</v>
      </c>
      <c r="H53" s="294" t="e">
        <f>-'CE Min'!#REF!+'CE Min'!#REF!+'CE Min'!#REF!</f>
        <v>#REF!</v>
      </c>
      <c r="I53" s="294" t="e">
        <f>-'CE Min'!#REF!+'CE Min'!#REF!+'CE Min'!#REF!</f>
        <v>#REF!</v>
      </c>
      <c r="J53" s="294" t="e">
        <f>-'CE Min'!#REF!+'CE Min'!#REF!+'CE Min'!#REF!</f>
        <v>#REF!</v>
      </c>
      <c r="K53" s="294" t="e">
        <f>-'CE Min'!#REF!+'CE Min'!#REF!+'CE Min'!#REF!</f>
        <v>#REF!</v>
      </c>
      <c r="L53" s="294" t="e">
        <f>-'CE Min'!#REF!+'CE Min'!#REF!+'CE Min'!#REF!</f>
        <v>#REF!</v>
      </c>
    </row>
    <row r="54" spans="1:12" ht="34.15" customHeight="1">
      <c r="A54" s="278" t="s">
        <v>1931</v>
      </c>
      <c r="B54" s="317">
        <v>28</v>
      </c>
      <c r="C54" s="303" t="s">
        <v>1932</v>
      </c>
      <c r="D54" s="294" t="e">
        <f>-'CE Min'!#REF!+'CE Min'!#REF!+'CE Min'!#REF!+'CE Min'!#REF!</f>
        <v>#REF!</v>
      </c>
      <c r="E54" s="294" t="e">
        <f>-'CE Min'!#REF!+'CE Min'!#REF!+'CE Min'!#REF!+'CE Min'!#REF!</f>
        <v>#REF!</v>
      </c>
      <c r="F54" s="294" t="e">
        <f>-'CE Min'!#REF!+'CE Min'!#REF!+'CE Min'!#REF!+'CE Min'!#REF!</f>
        <v>#REF!</v>
      </c>
      <c r="G54" s="294" t="e">
        <f>-'CE Min'!#REF!+'CE Min'!#REF!+'CE Min'!#REF!+'CE Min'!#REF!</f>
        <v>#REF!</v>
      </c>
      <c r="H54" s="294" t="e">
        <f>-'CE Min'!#REF!+'CE Min'!#REF!+'CE Min'!#REF!+'CE Min'!#REF!</f>
        <v>#REF!</v>
      </c>
      <c r="I54" s="294" t="e">
        <f>-'CE Min'!#REF!+'CE Min'!#REF!+'CE Min'!#REF!+'CE Min'!#REF!</f>
        <v>#REF!</v>
      </c>
      <c r="J54" s="294" t="e">
        <f>-'CE Min'!#REF!+'CE Min'!#REF!+'CE Min'!#REF!+'CE Min'!#REF!</f>
        <v>#REF!</v>
      </c>
      <c r="K54" s="294" t="e">
        <f>-'CE Min'!#REF!+'CE Min'!#REF!+'CE Min'!#REF!+'CE Min'!#REF!</f>
        <v>#REF!</v>
      </c>
      <c r="L54" s="294" t="e">
        <f>-'CE Min'!#REF!+'CE Min'!#REF!+'CE Min'!#REF!+'CE Min'!#REF!</f>
        <v>#REF!</v>
      </c>
    </row>
    <row r="55" spans="1:12" ht="66.599999999999994" customHeight="1">
      <c r="A55" s="284" t="s">
        <v>1933</v>
      </c>
      <c r="B55" s="319">
        <v>29</v>
      </c>
      <c r="C55" s="304" t="s">
        <v>1934</v>
      </c>
      <c r="D55" s="294" t="e">
        <f>-'CE Min'!#REF!-'CE Min'!#REF!-'CE Min'!#REF!-'CE Min'!#REF!-'CE Min'!#REF!+'CE Min'!#REF!+'CE Min'!#REF!+'CE Min'!#REF!+'CE Min'!#REF!+'CE Min'!#REF!</f>
        <v>#REF!</v>
      </c>
      <c r="E55" s="294" t="e">
        <f>-'CE Min'!#REF!-'CE Min'!#REF!-'CE Min'!#REF!-'CE Min'!#REF!-'CE Min'!#REF!+'CE Min'!#REF!+'CE Min'!#REF!+'CE Min'!#REF!+'CE Min'!#REF!+'CE Min'!#REF!</f>
        <v>#REF!</v>
      </c>
      <c r="F55" s="294" t="e">
        <f>-'CE Min'!#REF!-'CE Min'!#REF!-'CE Min'!#REF!-'CE Min'!#REF!-'CE Min'!#REF!+'CE Min'!#REF!+'CE Min'!#REF!+'CE Min'!#REF!+'CE Min'!#REF!+'CE Min'!#REF!</f>
        <v>#REF!</v>
      </c>
      <c r="G55" s="294" t="e">
        <f>-'CE Min'!#REF!-'CE Min'!#REF!-'CE Min'!#REF!-'CE Min'!#REF!-'CE Min'!#REF!+'CE Min'!#REF!+'CE Min'!#REF!+'CE Min'!#REF!+'CE Min'!#REF!+'CE Min'!#REF!</f>
        <v>#REF!</v>
      </c>
      <c r="H55" s="294" t="e">
        <f>-'CE Min'!#REF!-'CE Min'!#REF!-'CE Min'!#REF!-'CE Min'!#REF!-'CE Min'!#REF!+'CE Min'!#REF!+'CE Min'!#REF!+'CE Min'!#REF!+'CE Min'!#REF!+'CE Min'!#REF!</f>
        <v>#REF!</v>
      </c>
      <c r="I55" s="294" t="e">
        <f>-'CE Min'!#REF!-'CE Min'!#REF!-'CE Min'!#REF!-'CE Min'!#REF!-'CE Min'!#REF!+'CE Min'!#REF!+'CE Min'!#REF!+'CE Min'!#REF!+'CE Min'!#REF!+'CE Min'!#REF!</f>
        <v>#REF!</v>
      </c>
      <c r="J55" s="294" t="e">
        <f>-'CE Min'!#REF!-'CE Min'!#REF!-'CE Min'!#REF!-'CE Min'!#REF!-'CE Min'!#REF!+'CE Min'!#REF!+'CE Min'!#REF!+'CE Min'!#REF!+'CE Min'!#REF!+'CE Min'!#REF!</f>
        <v>#REF!</v>
      </c>
      <c r="K55" s="294" t="e">
        <f>-'CE Min'!#REF!-'CE Min'!#REF!-'CE Min'!#REF!-'CE Min'!#REF!-'CE Min'!#REF!+'CE Min'!#REF!+'CE Min'!#REF!+'CE Min'!#REF!+'CE Min'!#REF!+'CE Min'!#REF!</f>
        <v>#REF!</v>
      </c>
      <c r="L55" s="294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285" t="s">
        <v>1935</v>
      </c>
      <c r="B56" s="320" t="s">
        <v>1936</v>
      </c>
      <c r="C56" s="305"/>
      <c r="D56" s="305" t="e">
        <f>+D25+D31+D32+D35+D38+D46+D47+D48+D49+D50+D51+D52+D53+D54+D55</f>
        <v>#REF!</v>
      </c>
      <c r="E56" s="305" t="e">
        <f t="shared" ref="E56:L56" si="6">+E25+E31+E32+E35+E38+E46+E47+E48+E49+E50+E51+E52+E53+E54+E55</f>
        <v>#REF!</v>
      </c>
      <c r="F56" s="305" t="e">
        <f t="shared" si="6"/>
        <v>#REF!</v>
      </c>
      <c r="G56" s="305" t="e">
        <f t="shared" si="6"/>
        <v>#REF!</v>
      </c>
      <c r="H56" s="305" t="e">
        <f t="shared" si="6"/>
        <v>#REF!</v>
      </c>
      <c r="I56" s="305" t="e">
        <f t="shared" si="6"/>
        <v>#REF!</v>
      </c>
      <c r="J56" s="305" t="e">
        <f t="shared" si="6"/>
        <v>#REF!</v>
      </c>
      <c r="K56" s="305" t="e">
        <f t="shared" si="6"/>
        <v>#REF!</v>
      </c>
      <c r="L56" s="305" t="e">
        <f t="shared" si="6"/>
        <v>#REF!</v>
      </c>
    </row>
    <row r="57" spans="1:12" ht="14.25" thickTop="1" thickBot="1">
      <c r="A57" s="258"/>
      <c r="B57" s="321"/>
      <c r="C57" s="258"/>
    </row>
    <row r="58" spans="1:12" ht="19.5" thickTop="1" thickBot="1">
      <c r="A58" s="286" t="s">
        <v>1820</v>
      </c>
      <c r="B58" s="322" t="s">
        <v>1937</v>
      </c>
      <c r="C58" s="287"/>
      <c r="D58" s="287" t="e">
        <f>+D19-D56</f>
        <v>#REF!</v>
      </c>
      <c r="E58" s="287" t="e">
        <f t="shared" ref="E58:L58" si="7">+E19-E56</f>
        <v>#REF!</v>
      </c>
      <c r="F58" s="287" t="e">
        <f t="shared" si="7"/>
        <v>#REF!</v>
      </c>
      <c r="G58" s="287" t="e">
        <f t="shared" si="7"/>
        <v>#REF!</v>
      </c>
      <c r="H58" s="287" t="e">
        <f t="shared" si="7"/>
        <v>#REF!</v>
      </c>
      <c r="I58" s="287" t="e">
        <f t="shared" si="7"/>
        <v>#REF!</v>
      </c>
      <c r="J58" s="287" t="e">
        <f t="shared" si="7"/>
        <v>#REF!</v>
      </c>
      <c r="K58" s="287" t="e">
        <f t="shared" si="7"/>
        <v>#REF!</v>
      </c>
      <c r="L58" s="287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Schema CE</vt:lpstr>
      <vt:lpstr>CE Min</vt:lpstr>
      <vt:lpstr>Alimentazione CE Costi</vt:lpstr>
      <vt:lpstr>Alimentazione CE Ricavi</vt:lpstr>
      <vt:lpstr>ce art. 44</vt:lpstr>
      <vt:lpstr>'ce art. 44'!Area_stampa</vt:lpstr>
      <vt:lpstr>'CE Min'!Area_stampa</vt:lpstr>
      <vt:lpstr>'Schema CE'!Area_stampa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2024-02-05T09:34:14Z</cp:lastPrinted>
  <dcterms:created xsi:type="dcterms:W3CDTF">2019-07-05T08:06:15Z</dcterms:created>
  <dcterms:modified xsi:type="dcterms:W3CDTF">2024-05-17T11:42:52Z</dcterms:modified>
</cp:coreProperties>
</file>