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b551\Desktop\"/>
    </mc:Choice>
  </mc:AlternateContent>
  <bookViews>
    <workbookView xWindow="0" yWindow="0" windowWidth="23040" windowHeight="9210" tabRatio="741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Schema SP" sheetId="23" r:id="rId5"/>
    <sheet name="SP Min" sheetId="19" r:id="rId6"/>
    <sheet name="SP Attivo Alim" sheetId="20" r:id="rId7"/>
    <sheet name="Alimentazione SP P" sheetId="21" r:id="rId8"/>
    <sheet name="Rendiconto finanziario" sheetId="22" r:id="rId9"/>
    <sheet name="ce art. 44" sheetId="17" state="hidden" r:id="rId10"/>
  </sheets>
  <definedNames>
    <definedName name="_xlnm._FilterDatabase" localSheetId="2" hidden="1">'Alimentazione CE Costi'!$A$1:$F$1193</definedName>
    <definedName name="_xlnm._FilterDatabase" localSheetId="3" hidden="1">'Alimentazione CE Ricavi'!$A$1:$F$391</definedName>
    <definedName name="_xlnm._FilterDatabase" localSheetId="7" hidden="1">'Alimentazione SP P'!$A$1:$G$315</definedName>
    <definedName name="_xlnm._FilterDatabase" localSheetId="6" hidden="1">'SP Attivo Alim'!$A$1:$H$449</definedName>
    <definedName name="_xlnm._FilterDatabase" localSheetId="5" hidden="1">'SP Min'!$A$29:$E$29</definedName>
    <definedName name="_xlnm.Print_Area" localSheetId="9">'ce art. 44'!$A$3:$C$58</definedName>
    <definedName name="_xlnm.Print_Area" localSheetId="1">'CE Min'!$A$1:$U$650</definedName>
    <definedName name="_xlnm.Print_Area" localSheetId="8">'Rendiconto finanziario'!$A$1:$D$115</definedName>
    <definedName name="_xlnm.Print_Area" localSheetId="6">'SP Attivo Alim'!$A$1:$G$449</definedName>
    <definedName name="_xlnm.Print_Area" localSheetId="5">'SP Min'!$A$1:$W$357</definedName>
    <definedName name="_xlnm.Print_Titles" localSheetId="2">'Alimentazione CE Costi'!$1:$1</definedName>
    <definedName name="_xlnm.Print_Titles" localSheetId="3">'Alimentazione CE Ricavi'!$1:$1</definedName>
    <definedName name="_xlnm.Print_Titles" localSheetId="7">'Alimentazione SP P'!$1:$1</definedName>
    <definedName name="_xlnm.Print_Titles" localSheetId="1">'CE Min'!$23:$23</definedName>
    <definedName name="_xlnm.Print_Titles" localSheetId="0">'Schema CE'!$4:$5</definedName>
    <definedName name="_xlnm.Print_Titles" localSheetId="6">'SP Attivo Alim'!$1:$1</definedName>
    <definedName name="_xlnm.Print_Titles" localSheetId="5">'SP Min'!$29:$29</definedName>
  </definedNames>
  <calcPr calcId="162913"/>
</workbook>
</file>

<file path=xl/calcChain.xml><?xml version="1.0" encoding="utf-8"?>
<calcChain xmlns="http://schemas.openxmlformats.org/spreadsheetml/2006/main">
  <c r="D83" i="1" l="1"/>
  <c r="D34" i="1"/>
  <c r="C86" i="22" l="1"/>
  <c r="C77" i="22"/>
  <c r="C63" i="22" l="1"/>
  <c r="D106" i="22" l="1"/>
  <c r="D110" i="22" s="1"/>
  <c r="D93" i="22"/>
  <c r="D90" i="22"/>
  <c r="D87" i="22"/>
  <c r="D79" i="22"/>
  <c r="D70" i="22"/>
  <c r="D64" i="22"/>
  <c r="D54" i="22"/>
  <c r="D51" i="22"/>
  <c r="D35" i="22"/>
  <c r="D24" i="22"/>
  <c r="D21" i="22"/>
  <c r="D25" i="22" s="1"/>
  <c r="D17" i="22"/>
  <c r="D12" i="22"/>
  <c r="D9" i="22"/>
  <c r="H47" i="23"/>
  <c r="H46" i="23" s="1"/>
  <c r="H48" i="23"/>
  <c r="H52" i="23"/>
  <c r="H72" i="23"/>
  <c r="H66" i="23"/>
  <c r="H60" i="23"/>
  <c r="H59" i="23"/>
  <c r="D56" i="22" l="1"/>
  <c r="D95" i="22"/>
  <c r="H58" i="23"/>
  <c r="D112" i="22" l="1"/>
  <c r="D115" i="22" s="1"/>
  <c r="G372" i="20"/>
  <c r="D364" i="4" l="1"/>
  <c r="D212" i="4" l="1"/>
  <c r="E308" i="19" l="1"/>
  <c r="E309" i="19"/>
  <c r="E310" i="19"/>
  <c r="E311" i="19"/>
  <c r="E312" i="19"/>
  <c r="D312" i="19"/>
  <c r="D311" i="19"/>
  <c r="D310" i="19"/>
  <c r="D309" i="19"/>
  <c r="D308" i="19"/>
  <c r="D305" i="19"/>
  <c r="D304" i="19"/>
  <c r="D303" i="19"/>
  <c r="D302" i="19"/>
  <c r="D301" i="19"/>
  <c r="D300" i="19"/>
  <c r="D299" i="19"/>
  <c r="D298" i="19"/>
  <c r="D297" i="19"/>
  <c r="E305" i="19"/>
  <c r="E304" i="19"/>
  <c r="E303" i="19"/>
  <c r="E302" i="19"/>
  <c r="J145" i="23" s="1"/>
  <c r="E301" i="19"/>
  <c r="E300" i="19"/>
  <c r="E299" i="19"/>
  <c r="E298" i="19"/>
  <c r="E297" i="19"/>
  <c r="D116" i="19"/>
  <c r="E116" i="19"/>
  <c r="D115" i="19"/>
  <c r="E115" i="19"/>
  <c r="C22" i="22" l="1"/>
  <c r="C19" i="22"/>
  <c r="C20" i="22" s="1"/>
  <c r="C15" i="22"/>
  <c r="C16" i="22" s="1"/>
  <c r="C13" i="22"/>
  <c r="C14" i="22" s="1"/>
  <c r="C11" i="22"/>
  <c r="C10" i="22"/>
  <c r="C104" i="22" s="1"/>
  <c r="C8" i="22"/>
  <c r="C7" i="22"/>
  <c r="C6" i="22"/>
  <c r="E85" i="19"/>
  <c r="J26" i="23" s="1"/>
  <c r="D85" i="19"/>
  <c r="I26" i="23" s="1"/>
  <c r="E37" i="19"/>
  <c r="D37" i="19"/>
  <c r="J143" i="23"/>
  <c r="L143" i="23" s="1"/>
  <c r="L160" i="23"/>
  <c r="K160" i="23"/>
  <c r="L156" i="23"/>
  <c r="K156" i="23"/>
  <c r="L136" i="23"/>
  <c r="K136" i="23"/>
  <c r="L135" i="23"/>
  <c r="K135" i="23"/>
  <c r="L131" i="23"/>
  <c r="K131" i="23"/>
  <c r="L124" i="23"/>
  <c r="K124" i="23"/>
  <c r="L87" i="23"/>
  <c r="K87" i="23"/>
  <c r="G46" i="23"/>
  <c r="L45" i="23"/>
  <c r="K45" i="23"/>
  <c r="G29" i="23"/>
  <c r="G28" i="23"/>
  <c r="L27" i="23"/>
  <c r="K27" i="23"/>
  <c r="C93" i="22"/>
  <c r="C90" i="22"/>
  <c r="C87" i="22"/>
  <c r="C79" i="22"/>
  <c r="C70" i="22"/>
  <c r="C64" i="22"/>
  <c r="E79" i="19"/>
  <c r="E80" i="19"/>
  <c r="E81" i="19"/>
  <c r="J24" i="23" s="1"/>
  <c r="D81" i="19"/>
  <c r="I24" i="23" s="1"/>
  <c r="D80" i="19"/>
  <c r="D79" i="19"/>
  <c r="E346" i="19"/>
  <c r="E345" i="19"/>
  <c r="E344" i="19"/>
  <c r="J165" i="23" s="1"/>
  <c r="E343" i="19"/>
  <c r="J164" i="23" s="1"/>
  <c r="E342" i="19"/>
  <c r="J163" i="23" s="1"/>
  <c r="E339" i="19"/>
  <c r="E338" i="19"/>
  <c r="E337" i="19"/>
  <c r="E335" i="19"/>
  <c r="E334" i="19"/>
  <c r="E331" i="19"/>
  <c r="E330" i="19"/>
  <c r="E329" i="19"/>
  <c r="E328" i="19"/>
  <c r="E326" i="19"/>
  <c r="J153" i="23" s="1"/>
  <c r="E325" i="19"/>
  <c r="J151" i="23" s="1"/>
  <c r="E324" i="19"/>
  <c r="J150" i="23" s="1"/>
  <c r="E323" i="19"/>
  <c r="E322" i="19"/>
  <c r="E320" i="19"/>
  <c r="E319" i="19"/>
  <c r="E316" i="19"/>
  <c r="E315" i="19"/>
  <c r="E314" i="19"/>
  <c r="E307" i="19"/>
  <c r="J146" i="23" s="1"/>
  <c r="L146" i="23" s="1"/>
  <c r="E306" i="19"/>
  <c r="J147" i="23" s="1"/>
  <c r="J144" i="23"/>
  <c r="L144" i="23" s="1"/>
  <c r="J142" i="23"/>
  <c r="E294" i="19"/>
  <c r="J140" i="23" s="1"/>
  <c r="E293" i="19"/>
  <c r="E292" i="19"/>
  <c r="E291" i="19"/>
  <c r="E290" i="19"/>
  <c r="E289" i="19"/>
  <c r="E288" i="19"/>
  <c r="E287" i="19"/>
  <c r="E286" i="19"/>
  <c r="E285" i="19"/>
  <c r="E284" i="19"/>
  <c r="E282" i="19"/>
  <c r="E281" i="19"/>
  <c r="E280" i="19"/>
  <c r="E279" i="19"/>
  <c r="E278" i="19"/>
  <c r="E276" i="19"/>
  <c r="J137" i="23" s="1"/>
  <c r="E274" i="19"/>
  <c r="E273" i="19"/>
  <c r="E272" i="19"/>
  <c r="E270" i="19"/>
  <c r="E269" i="19"/>
  <c r="E268" i="19"/>
  <c r="E267" i="19"/>
  <c r="E266" i="19"/>
  <c r="E264" i="19"/>
  <c r="E262" i="19"/>
  <c r="E261" i="19"/>
  <c r="E260" i="19"/>
  <c r="E259" i="19"/>
  <c r="E258" i="19"/>
  <c r="E256" i="19"/>
  <c r="E255" i="19"/>
  <c r="E254" i="19"/>
  <c r="E253" i="19"/>
  <c r="E252" i="19"/>
  <c r="E251" i="19"/>
  <c r="E250" i="19"/>
  <c r="E249" i="19"/>
  <c r="E247" i="19"/>
  <c r="E246" i="19"/>
  <c r="E245" i="19"/>
  <c r="E244" i="19"/>
  <c r="E243" i="19"/>
  <c r="E242" i="19"/>
  <c r="E241" i="19"/>
  <c r="E239" i="19"/>
  <c r="J125" i="23" s="1"/>
  <c r="E237" i="19"/>
  <c r="J122" i="23" s="1"/>
  <c r="E236" i="19"/>
  <c r="J121" i="23" s="1"/>
  <c r="E235" i="19"/>
  <c r="E234" i="19"/>
  <c r="E233" i="19"/>
  <c r="E231" i="19"/>
  <c r="E230" i="19"/>
  <c r="E229" i="19"/>
  <c r="E228" i="19"/>
  <c r="E227" i="19"/>
  <c r="E225" i="19"/>
  <c r="J118" i="23" s="1"/>
  <c r="E224" i="19"/>
  <c r="J117" i="23" s="1"/>
  <c r="E223" i="19"/>
  <c r="J116" i="23" s="1"/>
  <c r="E222" i="19"/>
  <c r="J115" i="23" s="1"/>
  <c r="E221" i="19"/>
  <c r="J114" i="23" s="1"/>
  <c r="E220" i="19"/>
  <c r="J113" i="23" s="1"/>
  <c r="E219" i="19"/>
  <c r="E217" i="19"/>
  <c r="J110" i="23" s="1"/>
  <c r="E215" i="19"/>
  <c r="J108" i="23" s="1"/>
  <c r="E213" i="19"/>
  <c r="E212" i="19"/>
  <c r="E211" i="19"/>
  <c r="E210" i="19"/>
  <c r="J95" i="23" s="1"/>
  <c r="E209" i="19"/>
  <c r="J94" i="23" s="1"/>
  <c r="E206" i="19"/>
  <c r="E205" i="19"/>
  <c r="E203" i="19"/>
  <c r="E202" i="19"/>
  <c r="E199" i="19"/>
  <c r="J85" i="23" s="1"/>
  <c r="E198" i="19"/>
  <c r="J84" i="23" s="1"/>
  <c r="E197" i="19"/>
  <c r="J83" i="23" s="1"/>
  <c r="E196" i="19"/>
  <c r="J82" i="23" s="1"/>
  <c r="E194" i="19"/>
  <c r="J80" i="23" s="1"/>
  <c r="E193" i="19"/>
  <c r="J79" i="23" s="1"/>
  <c r="E191" i="19"/>
  <c r="E190" i="19"/>
  <c r="E188" i="19"/>
  <c r="E187" i="19"/>
  <c r="E185" i="19"/>
  <c r="E184" i="19"/>
  <c r="E183" i="19"/>
  <c r="E182" i="19"/>
  <c r="E180" i="19"/>
  <c r="J76" i="23" s="1"/>
  <c r="E179" i="19"/>
  <c r="E178" i="19"/>
  <c r="E177" i="19"/>
  <c r="E175" i="19"/>
  <c r="E174" i="19"/>
  <c r="J74" i="23" s="1"/>
  <c r="E172" i="19"/>
  <c r="E171" i="19"/>
  <c r="E170" i="19"/>
  <c r="E169" i="19"/>
  <c r="E166" i="19"/>
  <c r="J71" i="23" s="1"/>
  <c r="E165" i="19"/>
  <c r="E164" i="19"/>
  <c r="E163" i="19"/>
  <c r="J70" i="23" s="1"/>
  <c r="E162" i="19"/>
  <c r="E161" i="19"/>
  <c r="E160" i="19"/>
  <c r="E159" i="19"/>
  <c r="J68" i="23" s="1"/>
  <c r="E158" i="19"/>
  <c r="J67" i="23" s="1"/>
  <c r="E156" i="19"/>
  <c r="E155" i="19"/>
  <c r="J65" i="23" s="1"/>
  <c r="E154" i="19"/>
  <c r="E153" i="19"/>
  <c r="J64" i="23" s="1"/>
  <c r="E152" i="19"/>
  <c r="J63" i="23" s="1"/>
  <c r="E151" i="19"/>
  <c r="J62" i="23" s="1"/>
  <c r="E150" i="19"/>
  <c r="E149" i="19"/>
  <c r="E148" i="19"/>
  <c r="E147" i="19"/>
  <c r="E144" i="19"/>
  <c r="J57" i="23" s="1"/>
  <c r="E143" i="19"/>
  <c r="J56" i="23" s="1"/>
  <c r="E142" i="19"/>
  <c r="J55" i="23" s="1"/>
  <c r="E141" i="19"/>
  <c r="J54" i="23" s="1"/>
  <c r="E140" i="19"/>
  <c r="E138" i="19"/>
  <c r="J51" i="23" s="1"/>
  <c r="E137" i="19"/>
  <c r="E136" i="19"/>
  <c r="J50" i="23" s="1"/>
  <c r="E135" i="19"/>
  <c r="E134" i="19"/>
  <c r="E133" i="19"/>
  <c r="E132" i="19"/>
  <c r="E131" i="19"/>
  <c r="E130" i="19"/>
  <c r="E127" i="19"/>
  <c r="J44" i="23" s="1"/>
  <c r="E126" i="19"/>
  <c r="E125" i="19"/>
  <c r="E124" i="19"/>
  <c r="E123" i="19"/>
  <c r="E122" i="19"/>
  <c r="E121" i="19"/>
  <c r="E119" i="19"/>
  <c r="J43" i="23" s="1"/>
  <c r="E118" i="19"/>
  <c r="E117" i="19"/>
  <c r="E114" i="19"/>
  <c r="E113" i="19"/>
  <c r="E112" i="19"/>
  <c r="E111" i="19"/>
  <c r="E107" i="19"/>
  <c r="E106" i="19"/>
  <c r="E105" i="19"/>
  <c r="E104" i="19"/>
  <c r="E102" i="19"/>
  <c r="J35" i="23" s="1"/>
  <c r="E100" i="19"/>
  <c r="J33" i="23" s="1"/>
  <c r="E99" i="19"/>
  <c r="J32" i="23" s="1"/>
  <c r="E98" i="19"/>
  <c r="J31" i="23" s="1"/>
  <c r="E97" i="19"/>
  <c r="J30" i="23" s="1"/>
  <c r="E94" i="19"/>
  <c r="E93" i="19"/>
  <c r="E92" i="19"/>
  <c r="E91" i="19"/>
  <c r="E90" i="19"/>
  <c r="E89" i="19"/>
  <c r="E88" i="19"/>
  <c r="E87" i="19"/>
  <c r="E84" i="19"/>
  <c r="E83" i="19"/>
  <c r="E77" i="19"/>
  <c r="E76" i="19"/>
  <c r="E74" i="19"/>
  <c r="E73" i="19"/>
  <c r="E71" i="19"/>
  <c r="E70" i="19"/>
  <c r="E68" i="19"/>
  <c r="E67" i="19"/>
  <c r="E65" i="19"/>
  <c r="E64" i="19"/>
  <c r="E61" i="19"/>
  <c r="J16" i="23" s="1"/>
  <c r="E60" i="19"/>
  <c r="J15" i="23" s="1"/>
  <c r="E57" i="19"/>
  <c r="E56" i="19"/>
  <c r="E55" i="19"/>
  <c r="E54" i="19"/>
  <c r="E52" i="19"/>
  <c r="E51" i="19"/>
  <c r="E50" i="19"/>
  <c r="E49" i="19"/>
  <c r="E48" i="19"/>
  <c r="E47" i="19"/>
  <c r="E46" i="19"/>
  <c r="E45" i="19"/>
  <c r="E43" i="19"/>
  <c r="J11" i="23" s="1"/>
  <c r="E42" i="19"/>
  <c r="E41" i="19"/>
  <c r="E40" i="19"/>
  <c r="E39" i="19"/>
  <c r="E36" i="19"/>
  <c r="E34" i="19"/>
  <c r="E33" i="19"/>
  <c r="D346" i="19"/>
  <c r="D345" i="19"/>
  <c r="D344" i="19"/>
  <c r="I165" i="23" s="1"/>
  <c r="D343" i="19"/>
  <c r="I164" i="23" s="1"/>
  <c r="D342" i="19"/>
  <c r="I163" i="23" s="1"/>
  <c r="D339" i="19"/>
  <c r="D338" i="19"/>
  <c r="D337" i="19"/>
  <c r="D335" i="19"/>
  <c r="D334" i="19"/>
  <c r="D331" i="19"/>
  <c r="D330" i="19"/>
  <c r="D329" i="19"/>
  <c r="D328" i="19"/>
  <c r="I152" i="23" s="1"/>
  <c r="D326" i="19"/>
  <c r="I153" i="23" s="1"/>
  <c r="D325" i="19"/>
  <c r="I151" i="23" s="1"/>
  <c r="D324" i="19"/>
  <c r="I150" i="23" s="1"/>
  <c r="D323" i="19"/>
  <c r="D322" i="19"/>
  <c r="D320" i="19"/>
  <c r="D319" i="19"/>
  <c r="D316" i="19"/>
  <c r="D315" i="19"/>
  <c r="D314" i="19"/>
  <c r="D306" i="19"/>
  <c r="I147" i="23" s="1"/>
  <c r="D294" i="19"/>
  <c r="I140" i="23" s="1"/>
  <c r="D293" i="19"/>
  <c r="D292" i="19"/>
  <c r="D291" i="19"/>
  <c r="D290" i="19"/>
  <c r="D289" i="19"/>
  <c r="D288" i="19"/>
  <c r="D287" i="19"/>
  <c r="D286" i="19"/>
  <c r="D285" i="19"/>
  <c r="D284" i="19"/>
  <c r="D282" i="19"/>
  <c r="D281" i="19"/>
  <c r="D280" i="19"/>
  <c r="D279" i="19"/>
  <c r="D278" i="19"/>
  <c r="D276" i="19"/>
  <c r="I137" i="23" s="1"/>
  <c r="D274" i="19"/>
  <c r="D273" i="19"/>
  <c r="D272" i="19"/>
  <c r="I132" i="23" s="1"/>
  <c r="D270" i="19"/>
  <c r="D269" i="19"/>
  <c r="D268" i="19"/>
  <c r="D267" i="19"/>
  <c r="D266" i="19"/>
  <c r="D264" i="19"/>
  <c r="D262" i="19"/>
  <c r="D261" i="19"/>
  <c r="D260" i="19"/>
  <c r="D259" i="19"/>
  <c r="D258" i="19"/>
  <c r="D256" i="19"/>
  <c r="D255" i="19"/>
  <c r="D254" i="19"/>
  <c r="D253" i="19"/>
  <c r="D252" i="19"/>
  <c r="D251" i="19"/>
  <c r="D250" i="19"/>
  <c r="D249" i="19"/>
  <c r="D247" i="19"/>
  <c r="D246" i="19"/>
  <c r="D245" i="19"/>
  <c r="D244" i="19"/>
  <c r="D243" i="19"/>
  <c r="D242" i="19"/>
  <c r="D241" i="19"/>
  <c r="D239" i="19"/>
  <c r="I125" i="23" s="1"/>
  <c r="D237" i="19"/>
  <c r="I122" i="23" s="1"/>
  <c r="C4" i="22" s="1"/>
  <c r="D236" i="19"/>
  <c r="I121" i="23" s="1"/>
  <c r="D235" i="19"/>
  <c r="D234" i="19"/>
  <c r="D233" i="19"/>
  <c r="D231" i="19"/>
  <c r="D230" i="19"/>
  <c r="D229" i="19"/>
  <c r="D228" i="19"/>
  <c r="D227" i="19"/>
  <c r="D225" i="19"/>
  <c r="I118" i="23" s="1"/>
  <c r="D224" i="19"/>
  <c r="I117" i="23" s="1"/>
  <c r="D223" i="19"/>
  <c r="I116" i="23" s="1"/>
  <c r="D222" i="19"/>
  <c r="I115" i="23" s="1"/>
  <c r="D221" i="19"/>
  <c r="I114" i="23" s="1"/>
  <c r="D220" i="19"/>
  <c r="I113" i="23" s="1"/>
  <c r="D219" i="19"/>
  <c r="I112" i="23" s="1"/>
  <c r="D217" i="19"/>
  <c r="I110" i="23" s="1"/>
  <c r="D215" i="19"/>
  <c r="I108" i="23" s="1"/>
  <c r="E311" i="21"/>
  <c r="E312" i="21" s="1"/>
  <c r="E313" i="21" s="1"/>
  <c r="E314" i="21" s="1"/>
  <c r="E315" i="21" s="1"/>
  <c r="E309" i="21"/>
  <c r="E307" i="21"/>
  <c r="E305" i="21"/>
  <c r="E303" i="21"/>
  <c r="E299" i="21"/>
  <c r="E297" i="21"/>
  <c r="E295" i="21"/>
  <c r="E292" i="21"/>
  <c r="E290" i="21"/>
  <c r="E283" i="21"/>
  <c r="E284" i="21" s="1"/>
  <c r="E285" i="21" s="1"/>
  <c r="E286" i="21" s="1"/>
  <c r="E278" i="21"/>
  <c r="E279" i="21" s="1"/>
  <c r="E280" i="21" s="1"/>
  <c r="E281" i="21" s="1"/>
  <c r="E272" i="21"/>
  <c r="E273" i="21" s="1"/>
  <c r="E274" i="21" s="1"/>
  <c r="E275" i="21" s="1"/>
  <c r="E276" i="21" s="1"/>
  <c r="E267" i="21"/>
  <c r="E268" i="21" s="1"/>
  <c r="E269" i="21" s="1"/>
  <c r="E270" i="21" s="1"/>
  <c r="E264" i="21"/>
  <c r="E265" i="21" s="1"/>
  <c r="E261" i="21"/>
  <c r="E262" i="21" s="1"/>
  <c r="E259" i="21"/>
  <c r="E248" i="21"/>
  <c r="E249" i="21" s="1"/>
  <c r="E250" i="21" s="1"/>
  <c r="E251" i="21" s="1"/>
  <c r="E252" i="21" s="1"/>
  <c r="E253" i="21" s="1"/>
  <c r="E254" i="21" s="1"/>
  <c r="E255" i="21" s="1"/>
  <c r="E256" i="21" s="1"/>
  <c r="E235" i="21"/>
  <c r="E236" i="21" s="1"/>
  <c r="E237" i="21" s="1"/>
  <c r="E238" i="21" s="1"/>
  <c r="E239" i="21" s="1"/>
  <c r="E240" i="21" s="1"/>
  <c r="E241" i="21" s="1"/>
  <c r="E242" i="21" s="1"/>
  <c r="E243" i="21" s="1"/>
  <c r="E244" i="21" s="1"/>
  <c r="E245" i="21" s="1"/>
  <c r="E246" i="21" s="1"/>
  <c r="E232" i="21"/>
  <c r="E233" i="21" s="1"/>
  <c r="E230" i="21"/>
  <c r="E220" i="21"/>
  <c r="E223" i="21"/>
  <c r="E224" i="21" s="1"/>
  <c r="E225" i="21" s="1"/>
  <c r="E226" i="21" s="1"/>
  <c r="E227" i="21" s="1"/>
  <c r="E228" i="21" s="1"/>
  <c r="E217" i="21"/>
  <c r="E218" i="21" s="1"/>
  <c r="E211" i="21"/>
  <c r="E212" i="21" s="1"/>
  <c r="E213" i="21" s="1"/>
  <c r="E209" i="21"/>
  <c r="E207" i="21"/>
  <c r="E191" i="21"/>
  <c r="E192" i="21" s="1"/>
  <c r="E193" i="21" s="1"/>
  <c r="E162" i="21"/>
  <c r="E163" i="21" s="1"/>
  <c r="E164" i="21" s="1"/>
  <c r="E165" i="21" s="1"/>
  <c r="E156" i="21"/>
  <c r="E157" i="21" s="1"/>
  <c r="E158" i="21" s="1"/>
  <c r="E159" i="21" s="1"/>
  <c r="E160" i="21" s="1"/>
  <c r="E154" i="21"/>
  <c r="E152" i="21"/>
  <c r="E150" i="21"/>
  <c r="E148" i="21"/>
  <c r="E146" i="21"/>
  <c r="E144" i="21"/>
  <c r="E142" i="21"/>
  <c r="E140" i="21"/>
  <c r="E138" i="21"/>
  <c r="E132" i="21"/>
  <c r="E133" i="21" s="1"/>
  <c r="E134" i="21" s="1"/>
  <c r="E135" i="21" s="1"/>
  <c r="E130" i="21"/>
  <c r="E128" i="21"/>
  <c r="E126" i="21"/>
  <c r="E124" i="21"/>
  <c r="E121" i="21"/>
  <c r="E118" i="21"/>
  <c r="E116" i="21"/>
  <c r="E114" i="21"/>
  <c r="E111" i="21"/>
  <c r="E108" i="21"/>
  <c r="E109" i="21" s="1"/>
  <c r="E106" i="21"/>
  <c r="E104" i="21"/>
  <c r="E102" i="21"/>
  <c r="E99" i="21"/>
  <c r="E95" i="21"/>
  <c r="E96" i="21" s="1"/>
  <c r="E93" i="21"/>
  <c r="E91" i="21"/>
  <c r="E89" i="21"/>
  <c r="E87" i="21"/>
  <c r="E84" i="21"/>
  <c r="E82" i="21"/>
  <c r="E80" i="21"/>
  <c r="E78" i="21"/>
  <c r="E76" i="21"/>
  <c r="E74" i="21"/>
  <c r="E72" i="21"/>
  <c r="E70" i="21"/>
  <c r="E65" i="21"/>
  <c r="E66" i="21" s="1"/>
  <c r="E67" i="21" s="1"/>
  <c r="E63" i="21"/>
  <c r="E61" i="21"/>
  <c r="E59" i="21"/>
  <c r="E57" i="21"/>
  <c r="E55" i="21"/>
  <c r="E53" i="21"/>
  <c r="E50" i="21"/>
  <c r="E47" i="21"/>
  <c r="E45" i="21"/>
  <c r="E43" i="21"/>
  <c r="E41" i="21"/>
  <c r="E39" i="21"/>
  <c r="E36" i="21"/>
  <c r="E34" i="21"/>
  <c r="E32" i="21"/>
  <c r="E30" i="21"/>
  <c r="E28" i="21"/>
  <c r="E25" i="21"/>
  <c r="E23" i="21"/>
  <c r="E20" i="21"/>
  <c r="E21" i="21" s="1"/>
  <c r="E17" i="21"/>
  <c r="E18" i="21" s="1"/>
  <c r="E15" i="21"/>
  <c r="E13" i="21"/>
  <c r="E11" i="21"/>
  <c r="E8" i="21"/>
  <c r="E5" i="21"/>
  <c r="D213" i="19"/>
  <c r="D212" i="19"/>
  <c r="D211" i="19"/>
  <c r="I96" i="23" s="1"/>
  <c r="D210" i="19"/>
  <c r="I95" i="23" s="1"/>
  <c r="D209" i="19"/>
  <c r="I94" i="23" s="1"/>
  <c r="D206" i="19"/>
  <c r="D205" i="19"/>
  <c r="D203" i="19"/>
  <c r="D202" i="19"/>
  <c r="D199" i="19"/>
  <c r="I85" i="23" s="1"/>
  <c r="D198" i="19"/>
  <c r="I84" i="23" s="1"/>
  <c r="D197" i="19"/>
  <c r="I83" i="23" s="1"/>
  <c r="D196" i="19"/>
  <c r="I82" i="23" s="1"/>
  <c r="D194" i="19"/>
  <c r="I80" i="23" s="1"/>
  <c r="D193" i="19"/>
  <c r="I79" i="23" s="1"/>
  <c r="D191" i="19"/>
  <c r="D190" i="19"/>
  <c r="D188" i="19"/>
  <c r="D187" i="19"/>
  <c r="D185" i="19"/>
  <c r="D184" i="19"/>
  <c r="D183" i="19"/>
  <c r="D182" i="19"/>
  <c r="D180" i="19"/>
  <c r="I76" i="23" s="1"/>
  <c r="D179" i="19"/>
  <c r="D178" i="19"/>
  <c r="D177" i="19"/>
  <c r="D175" i="19"/>
  <c r="D174" i="19"/>
  <c r="I74" i="23" s="1"/>
  <c r="D172" i="19"/>
  <c r="D171" i="19"/>
  <c r="D170" i="19"/>
  <c r="D169" i="19"/>
  <c r="D166" i="19"/>
  <c r="I71" i="23" s="1"/>
  <c r="D165" i="19"/>
  <c r="D164" i="19"/>
  <c r="D163" i="19"/>
  <c r="I70" i="23" s="1"/>
  <c r="D162" i="19"/>
  <c r="D161" i="19"/>
  <c r="D160" i="19"/>
  <c r="D159" i="19"/>
  <c r="I68" i="23" s="1"/>
  <c r="D158" i="19"/>
  <c r="I67" i="23" s="1"/>
  <c r="D156" i="19"/>
  <c r="D155" i="19"/>
  <c r="I65" i="23" s="1"/>
  <c r="D154" i="19"/>
  <c r="D153" i="19"/>
  <c r="I64" i="23" s="1"/>
  <c r="D152" i="19"/>
  <c r="I63" i="23" s="1"/>
  <c r="D151" i="19"/>
  <c r="I62" i="23" s="1"/>
  <c r="D150" i="19"/>
  <c r="D149" i="19"/>
  <c r="D148" i="19"/>
  <c r="D147" i="19"/>
  <c r="D144" i="19"/>
  <c r="I57" i="23" s="1"/>
  <c r="D143" i="19"/>
  <c r="I56" i="23" s="1"/>
  <c r="D142" i="19"/>
  <c r="I55" i="23" s="1"/>
  <c r="D141" i="19"/>
  <c r="I54" i="23" s="1"/>
  <c r="D140" i="19"/>
  <c r="I53" i="23" s="1"/>
  <c r="D138" i="19"/>
  <c r="I51" i="23" s="1"/>
  <c r="D137" i="19"/>
  <c r="D136" i="19"/>
  <c r="I50" i="23" s="1"/>
  <c r="D135" i="19"/>
  <c r="D134" i="19"/>
  <c r="D133" i="19"/>
  <c r="D132" i="19"/>
  <c r="D131" i="19"/>
  <c r="D130" i="19"/>
  <c r="D127" i="19"/>
  <c r="I44" i="23" s="1"/>
  <c r="D126" i="19"/>
  <c r="D125" i="19"/>
  <c r="D124" i="19"/>
  <c r="D123" i="19"/>
  <c r="D122" i="19"/>
  <c r="D121" i="19"/>
  <c r="D119" i="19"/>
  <c r="I43" i="23" s="1"/>
  <c r="D118" i="19"/>
  <c r="D117" i="19"/>
  <c r="D114" i="19"/>
  <c r="D113" i="19"/>
  <c r="D112" i="19"/>
  <c r="D111" i="19"/>
  <c r="D107" i="19"/>
  <c r="D106" i="19"/>
  <c r="D105" i="19"/>
  <c r="D104" i="19"/>
  <c r="D102" i="19"/>
  <c r="I35" i="23" s="1"/>
  <c r="D100" i="19"/>
  <c r="I33" i="23" s="1"/>
  <c r="H33" i="23" s="1"/>
  <c r="D99" i="19"/>
  <c r="I32" i="23" s="1"/>
  <c r="D98" i="19"/>
  <c r="I31" i="23" s="1"/>
  <c r="H31" i="23" s="1"/>
  <c r="D97" i="19"/>
  <c r="I30" i="23" s="1"/>
  <c r="D93" i="19"/>
  <c r="D94" i="19"/>
  <c r="D92" i="19"/>
  <c r="D91" i="19"/>
  <c r="D90" i="19"/>
  <c r="D89" i="19"/>
  <c r="D88" i="19"/>
  <c r="D87" i="19"/>
  <c r="D84" i="19"/>
  <c r="D83" i="19"/>
  <c r="D77" i="19"/>
  <c r="D76" i="19"/>
  <c r="D74" i="19"/>
  <c r="D73" i="19"/>
  <c r="D71" i="19"/>
  <c r="D70" i="19"/>
  <c r="D68" i="19"/>
  <c r="D67" i="19"/>
  <c r="D65" i="19"/>
  <c r="D64" i="19"/>
  <c r="D61" i="19"/>
  <c r="I16" i="23" s="1"/>
  <c r="D60" i="19"/>
  <c r="I15" i="23" s="1"/>
  <c r="D57" i="19"/>
  <c r="D56" i="19"/>
  <c r="D55" i="19"/>
  <c r="D54" i="19"/>
  <c r="D52" i="19"/>
  <c r="D51" i="19"/>
  <c r="D50" i="19"/>
  <c r="D49" i="19"/>
  <c r="D48" i="19"/>
  <c r="D47" i="19"/>
  <c r="D46" i="19"/>
  <c r="D45" i="19"/>
  <c r="D43" i="19"/>
  <c r="I11" i="23" s="1"/>
  <c r="D42" i="19"/>
  <c r="D41" i="19"/>
  <c r="D40" i="19"/>
  <c r="D39" i="19"/>
  <c r="D36" i="19"/>
  <c r="D34" i="19"/>
  <c r="D33" i="19"/>
  <c r="E73" i="20"/>
  <c r="E61" i="20"/>
  <c r="E63" i="20"/>
  <c r="H124" i="20"/>
  <c r="E445" i="20"/>
  <c r="E446" i="20" s="1"/>
  <c r="E447" i="20" s="1"/>
  <c r="E448" i="20" s="1"/>
  <c r="E449" i="20" s="1"/>
  <c r="E443" i="20"/>
  <c r="E441" i="20"/>
  <c r="E439" i="20"/>
  <c r="E437" i="20"/>
  <c r="E433" i="20"/>
  <c r="E431" i="20"/>
  <c r="E428" i="20"/>
  <c r="E426" i="20"/>
  <c r="E411" i="20"/>
  <c r="E412" i="20" s="1"/>
  <c r="E413" i="20" s="1"/>
  <c r="E414" i="20" s="1"/>
  <c r="E415" i="20" s="1"/>
  <c r="E416" i="20" s="1"/>
  <c r="E417" i="20" s="1"/>
  <c r="E418" i="20" s="1"/>
  <c r="E419" i="20" s="1"/>
  <c r="E420" i="20" s="1"/>
  <c r="E421" i="20" s="1"/>
  <c r="E422" i="20" s="1"/>
  <c r="E405" i="20"/>
  <c r="E406" i="20" s="1"/>
  <c r="E407" i="20" s="1"/>
  <c r="E408" i="20" s="1"/>
  <c r="E409" i="20" s="1"/>
  <c r="E403" i="20"/>
  <c r="E397" i="20"/>
  <c r="E398" i="20" s="1"/>
  <c r="E399" i="20" s="1"/>
  <c r="E400" i="20" s="1"/>
  <c r="E401" i="20" s="1"/>
  <c r="E391" i="20"/>
  <c r="E392" i="20" s="1"/>
  <c r="E387" i="20"/>
  <c r="E383" i="20"/>
  <c r="E384" i="20" s="1"/>
  <c r="E385" i="20" s="1"/>
  <c r="E380" i="20"/>
  <c r="E378" i="20"/>
  <c r="E375" i="20"/>
  <c r="E366" i="20"/>
  <c r="E367" i="20" s="1"/>
  <c r="E368" i="20" s="1"/>
  <c r="E369" i="20" s="1"/>
  <c r="E370" i="20" s="1"/>
  <c r="E371" i="20" s="1"/>
  <c r="E372" i="20" s="1"/>
  <c r="E373" i="20" s="1"/>
  <c r="E362" i="20"/>
  <c r="E363" i="20" s="1"/>
  <c r="E356" i="20"/>
  <c r="E357" i="20" s="1"/>
  <c r="E358" i="20" s="1"/>
  <c r="E359" i="20" s="1"/>
  <c r="E360" i="20" s="1"/>
  <c r="E353" i="20"/>
  <c r="E354" i="20" s="1"/>
  <c r="E346" i="20"/>
  <c r="E347" i="20" s="1"/>
  <c r="E348" i="20" s="1"/>
  <c r="E349" i="20" s="1"/>
  <c r="E350" i="20" s="1"/>
  <c r="E351" i="20" s="1"/>
  <c r="E336" i="20"/>
  <c r="E337" i="20" s="1"/>
  <c r="E338" i="20" s="1"/>
  <c r="E339" i="20" s="1"/>
  <c r="E340" i="20" s="1"/>
  <c r="E341" i="20" s="1"/>
  <c r="E342" i="20" s="1"/>
  <c r="E343" i="20" s="1"/>
  <c r="E331" i="20"/>
  <c r="E332" i="20" s="1"/>
  <c r="E333" i="20" s="1"/>
  <c r="E334" i="20" s="1"/>
  <c r="E328" i="20"/>
  <c r="E329" i="20" s="1"/>
  <c r="E325" i="20"/>
  <c r="E326" i="20" s="1"/>
  <c r="E322" i="20"/>
  <c r="E317" i="20"/>
  <c r="E318" i="20" s="1"/>
  <c r="E319" i="20" s="1"/>
  <c r="E320" i="20" s="1"/>
  <c r="E313" i="20"/>
  <c r="E303" i="20"/>
  <c r="E309" i="20"/>
  <c r="E310" i="20" s="1"/>
  <c r="E311" i="20" s="1"/>
  <c r="E305" i="20"/>
  <c r="E306" i="20" s="1"/>
  <c r="E307" i="20" s="1"/>
  <c r="E296" i="20"/>
  <c r="E297" i="20" s="1"/>
  <c r="E298" i="20" s="1"/>
  <c r="E299" i="20" s="1"/>
  <c r="E294" i="20"/>
  <c r="E292" i="20"/>
  <c r="E286" i="20"/>
  <c r="E287" i="20" s="1"/>
  <c r="E289" i="20"/>
  <c r="E290" i="20" s="1"/>
  <c r="E284" i="20"/>
  <c r="E281" i="20"/>
  <c r="E282" i="20" s="1"/>
  <c r="E278" i="20"/>
  <c r="E279" i="20" s="1"/>
  <c r="E275" i="20"/>
  <c r="E276" i="20" s="1"/>
  <c r="E271" i="20"/>
  <c r="E272" i="20" s="1"/>
  <c r="E265" i="20"/>
  <c r="E266" i="20" s="1"/>
  <c r="E267" i="20" s="1"/>
  <c r="E268" i="20" s="1"/>
  <c r="E269" i="20" s="1"/>
  <c r="E262" i="20"/>
  <c r="E263" i="20" s="1"/>
  <c r="E257" i="20"/>
  <c r="E258" i="20" s="1"/>
  <c r="E259" i="20" s="1"/>
  <c r="E260" i="20" s="1"/>
  <c r="E254" i="20"/>
  <c r="E255" i="20" s="1"/>
  <c r="E251" i="20"/>
  <c r="E252" i="20" s="1"/>
  <c r="E248" i="20"/>
  <c r="E249" i="20" s="1"/>
  <c r="E245" i="20"/>
  <c r="E246" i="20" s="1"/>
  <c r="E242" i="20"/>
  <c r="E243" i="20" s="1"/>
  <c r="E239" i="20"/>
  <c r="E240" i="20" s="1"/>
  <c r="E232" i="20"/>
  <c r="E233" i="20" s="1"/>
  <c r="E234" i="20" s="1"/>
  <c r="E235" i="20" s="1"/>
  <c r="E229" i="20"/>
  <c r="E230" i="20" s="1"/>
  <c r="E224" i="20"/>
  <c r="E225" i="20" s="1"/>
  <c r="E226" i="20" s="1"/>
  <c r="E227" i="20" s="1"/>
  <c r="E221" i="20"/>
  <c r="E222" i="20" s="1"/>
  <c r="E218" i="20"/>
  <c r="E219" i="20" s="1"/>
  <c r="E214" i="20"/>
  <c r="E215" i="20" s="1"/>
  <c r="E211" i="20"/>
  <c r="E212" i="20" s="1"/>
  <c r="E206" i="20"/>
  <c r="E207" i="20" s="1"/>
  <c r="E208" i="20" s="1"/>
  <c r="E209" i="20" s="1"/>
  <c r="E203" i="20"/>
  <c r="E204" i="20" s="1"/>
  <c r="E200" i="20"/>
  <c r="E201" i="20" s="1"/>
  <c r="E197" i="20"/>
  <c r="E198" i="20" s="1"/>
  <c r="E194" i="20"/>
  <c r="E195" i="20" s="1"/>
  <c r="E191" i="20"/>
  <c r="E192" i="20" s="1"/>
  <c r="E188" i="20"/>
  <c r="E189" i="20" s="1"/>
  <c r="E184" i="20"/>
  <c r="E182" i="20"/>
  <c r="E180" i="20"/>
  <c r="E178" i="20"/>
  <c r="E176" i="20"/>
  <c r="E174" i="20"/>
  <c r="E172" i="20"/>
  <c r="E169" i="20"/>
  <c r="E167" i="20"/>
  <c r="E165" i="20"/>
  <c r="E163" i="20"/>
  <c r="E161" i="20"/>
  <c r="E159" i="20"/>
  <c r="E153" i="20"/>
  <c r="E155" i="20"/>
  <c r="E156" i="20" s="1"/>
  <c r="E157" i="20" s="1"/>
  <c r="E149" i="20"/>
  <c r="E150" i="20" s="1"/>
  <c r="E151" i="20" s="1"/>
  <c r="E144" i="20"/>
  <c r="E142" i="20"/>
  <c r="E140" i="20"/>
  <c r="E138" i="20"/>
  <c r="E135" i="20"/>
  <c r="E129" i="20"/>
  <c r="E130" i="20" s="1"/>
  <c r="E131" i="20" s="1"/>
  <c r="E132" i="20" s="1"/>
  <c r="E126" i="20"/>
  <c r="E127" i="20" s="1"/>
  <c r="E123" i="20"/>
  <c r="E124" i="20" s="1"/>
  <c r="E120" i="20"/>
  <c r="E121" i="20" s="1"/>
  <c r="E116" i="20"/>
  <c r="E114" i="20"/>
  <c r="E112" i="20"/>
  <c r="E110" i="20"/>
  <c r="E108" i="20"/>
  <c r="E106" i="20"/>
  <c r="E103" i="20"/>
  <c r="E104" i="20" s="1"/>
  <c r="E100" i="20"/>
  <c r="E101" i="20" s="1"/>
  <c r="E97" i="20"/>
  <c r="E95" i="20"/>
  <c r="E93" i="20"/>
  <c r="E90" i="20"/>
  <c r="E88" i="20"/>
  <c r="E86" i="20"/>
  <c r="E83" i="20"/>
  <c r="E81" i="20"/>
  <c r="E78" i="20"/>
  <c r="C95" i="22" l="1"/>
  <c r="J166" i="23"/>
  <c r="I166" i="23"/>
  <c r="I167" i="23" s="1"/>
  <c r="E296" i="19"/>
  <c r="E295" i="19" s="1"/>
  <c r="E336" i="19"/>
  <c r="J158" i="23" s="1"/>
  <c r="E321" i="19"/>
  <c r="K147" i="23"/>
  <c r="L147" i="23" s="1"/>
  <c r="C21" i="22"/>
  <c r="J14" i="23"/>
  <c r="J69" i="23"/>
  <c r="J66" i="23" s="1"/>
  <c r="I69" i="23"/>
  <c r="C17" i="22"/>
  <c r="C12" i="22"/>
  <c r="C9" i="22"/>
  <c r="K44" i="23"/>
  <c r="L44" i="23" s="1"/>
  <c r="K84" i="23"/>
  <c r="L84" i="23" s="1"/>
  <c r="I133" i="23"/>
  <c r="I134" i="23" s="1"/>
  <c r="I154" i="23"/>
  <c r="K165" i="23"/>
  <c r="L165" i="23" s="1"/>
  <c r="K121" i="23"/>
  <c r="L121" i="23" s="1"/>
  <c r="E283" i="19"/>
  <c r="J139" i="23" s="1"/>
  <c r="E232" i="19"/>
  <c r="J120" i="23" s="1"/>
  <c r="J133" i="23"/>
  <c r="E333" i="19"/>
  <c r="J157" i="23" s="1"/>
  <c r="J167" i="23"/>
  <c r="J154" i="23"/>
  <c r="K113" i="23"/>
  <c r="L113" i="23" s="1"/>
  <c r="K151" i="23"/>
  <c r="E226" i="19"/>
  <c r="J119" i="23" s="1"/>
  <c r="E265" i="19"/>
  <c r="E263" i="19" s="1"/>
  <c r="J129" i="23" s="1"/>
  <c r="K153" i="23"/>
  <c r="E218" i="19"/>
  <c r="E216" i="19" s="1"/>
  <c r="E313" i="19"/>
  <c r="J148" i="23" s="1"/>
  <c r="K115" i="23"/>
  <c r="L115" i="23" s="1"/>
  <c r="K117" i="23"/>
  <c r="L117" i="23" s="1"/>
  <c r="E318" i="19"/>
  <c r="K137" i="23"/>
  <c r="K163" i="23"/>
  <c r="L163" i="23" s="1"/>
  <c r="J141" i="23"/>
  <c r="E341" i="19"/>
  <c r="E277" i="19"/>
  <c r="J138" i="23" s="1"/>
  <c r="E257" i="19"/>
  <c r="J128" i="23" s="1"/>
  <c r="E248" i="19"/>
  <c r="J127" i="23" s="1"/>
  <c r="E240" i="19"/>
  <c r="J126" i="23" s="1"/>
  <c r="E271" i="19"/>
  <c r="E327" i="19"/>
  <c r="J112" i="23"/>
  <c r="J111" i="23" s="1"/>
  <c r="J132" i="23"/>
  <c r="K132" i="23" s="1"/>
  <c r="J152" i="23"/>
  <c r="K152" i="23" s="1"/>
  <c r="K85" i="23"/>
  <c r="L85" i="23" s="1"/>
  <c r="E201" i="19"/>
  <c r="J88" i="23" s="1"/>
  <c r="K31" i="23"/>
  <c r="L31" i="23" s="1"/>
  <c r="K71" i="23"/>
  <c r="K30" i="23"/>
  <c r="L30" i="23" s="1"/>
  <c r="I97" i="23"/>
  <c r="I98" i="23" s="1"/>
  <c r="E63" i="19"/>
  <c r="J18" i="23" s="1"/>
  <c r="K26" i="23"/>
  <c r="L26" i="23" s="1"/>
  <c r="K50" i="23"/>
  <c r="L50" i="23" s="1"/>
  <c r="K65" i="23"/>
  <c r="L65" i="23" s="1"/>
  <c r="E59" i="19"/>
  <c r="K16" i="23"/>
  <c r="L16" i="23" s="1"/>
  <c r="E176" i="19"/>
  <c r="J75" i="23" s="1"/>
  <c r="K56" i="23"/>
  <c r="L56" i="23" s="1"/>
  <c r="K64" i="23"/>
  <c r="L64" i="23" s="1"/>
  <c r="K80" i="23"/>
  <c r="L80" i="23" s="1"/>
  <c r="K57" i="23"/>
  <c r="L57" i="23" s="1"/>
  <c r="K70" i="23"/>
  <c r="K74" i="23"/>
  <c r="L74" i="23" s="1"/>
  <c r="K82" i="23"/>
  <c r="L82" i="23" s="1"/>
  <c r="E192" i="19"/>
  <c r="I61" i="23"/>
  <c r="E75" i="19"/>
  <c r="J22" i="23" s="1"/>
  <c r="E35" i="19"/>
  <c r="J9" i="23" s="1"/>
  <c r="E66" i="19"/>
  <c r="J19" i="23" s="1"/>
  <c r="E82" i="19"/>
  <c r="J25" i="23" s="1"/>
  <c r="J78" i="23"/>
  <c r="E204" i="19"/>
  <c r="J89" i="23" s="1"/>
  <c r="E78" i="19"/>
  <c r="J23" i="23" s="1"/>
  <c r="K43" i="23"/>
  <c r="I49" i="23"/>
  <c r="I48" i="23" s="1"/>
  <c r="K51" i="23"/>
  <c r="K32" i="23"/>
  <c r="L32" i="23" s="1"/>
  <c r="J61" i="23"/>
  <c r="E195" i="19"/>
  <c r="K54" i="23"/>
  <c r="L54" i="23" s="1"/>
  <c r="K62" i="23"/>
  <c r="L62" i="23" s="1"/>
  <c r="K76" i="23"/>
  <c r="E69" i="19"/>
  <c r="J20" i="23" s="1"/>
  <c r="K11" i="23"/>
  <c r="L11" i="23" s="1"/>
  <c r="K55" i="23"/>
  <c r="L55" i="23" s="1"/>
  <c r="I78" i="23"/>
  <c r="E139" i="19"/>
  <c r="E129" i="19" s="1"/>
  <c r="J97" i="23"/>
  <c r="K33" i="23"/>
  <c r="L33" i="23" s="1"/>
  <c r="H29" i="23"/>
  <c r="H28" i="23" s="1"/>
  <c r="K94" i="23"/>
  <c r="L94" i="23" s="1"/>
  <c r="I81" i="23"/>
  <c r="I14" i="23"/>
  <c r="J29" i="23"/>
  <c r="E168" i="19"/>
  <c r="E208" i="19"/>
  <c r="E32" i="19"/>
  <c r="J8" i="23" s="1"/>
  <c r="E103" i="19"/>
  <c r="E157" i="19"/>
  <c r="J81" i="23"/>
  <c r="E44" i="19"/>
  <c r="J12" i="23" s="1"/>
  <c r="E72" i="19"/>
  <c r="J21" i="23" s="1"/>
  <c r="E86" i="19"/>
  <c r="E96" i="19"/>
  <c r="E146" i="19"/>
  <c r="K15" i="23"/>
  <c r="J53" i="23"/>
  <c r="J52" i="23" s="1"/>
  <c r="E53" i="19"/>
  <c r="E110" i="19"/>
  <c r="E120" i="19"/>
  <c r="J42" i="23" s="1"/>
  <c r="E186" i="19"/>
  <c r="J49" i="23"/>
  <c r="J48" i="23" s="1"/>
  <c r="E38" i="19"/>
  <c r="J10" i="23" s="1"/>
  <c r="E189" i="19"/>
  <c r="J96" i="23"/>
  <c r="K63" i="23"/>
  <c r="L63" i="23" s="1"/>
  <c r="I52" i="23"/>
  <c r="K83" i="23"/>
  <c r="L83" i="23" s="1"/>
  <c r="I111" i="23"/>
  <c r="I109" i="23" s="1"/>
  <c r="I29" i="23"/>
  <c r="K68" i="23"/>
  <c r="K95" i="23"/>
  <c r="L95" i="23" s="1"/>
  <c r="K108" i="23"/>
  <c r="L108" i="23" s="1"/>
  <c r="K110" i="23"/>
  <c r="L110" i="23" s="1"/>
  <c r="K114" i="23"/>
  <c r="L114" i="23" s="1"/>
  <c r="K116" i="23"/>
  <c r="L116" i="23" s="1"/>
  <c r="K118" i="23"/>
  <c r="L118" i="23" s="1"/>
  <c r="K122" i="23"/>
  <c r="L122" i="23" s="1"/>
  <c r="K140" i="23"/>
  <c r="K150" i="23"/>
  <c r="K164" i="23"/>
  <c r="L164" i="23" s="1"/>
  <c r="K35" i="23"/>
  <c r="L35" i="23" s="1"/>
  <c r="K67" i="23"/>
  <c r="K79" i="23"/>
  <c r="L79" i="23" s="1"/>
  <c r="K125" i="23"/>
  <c r="L125" i="23" s="1"/>
  <c r="E395" i="20"/>
  <c r="E394" i="20"/>
  <c r="E76" i="20"/>
  <c r="E71" i="20"/>
  <c r="E68" i="20"/>
  <c r="E66" i="20"/>
  <c r="E57" i="20"/>
  <c r="E55" i="20"/>
  <c r="E51" i="20"/>
  <c r="E49" i="20"/>
  <c r="E47" i="20"/>
  <c r="E45" i="20"/>
  <c r="E42" i="20"/>
  <c r="E40" i="20"/>
  <c r="E38" i="20"/>
  <c r="E36" i="20"/>
  <c r="E34" i="20"/>
  <c r="E32" i="20"/>
  <c r="E30" i="20"/>
  <c r="E28" i="20"/>
  <c r="E25" i="20"/>
  <c r="E23" i="20"/>
  <c r="E21" i="20"/>
  <c r="E19" i="20"/>
  <c r="E17" i="20"/>
  <c r="E14" i="20"/>
  <c r="E12" i="20"/>
  <c r="E9" i="20"/>
  <c r="E7" i="20"/>
  <c r="D341" i="19"/>
  <c r="D336" i="19"/>
  <c r="I158" i="23" s="1"/>
  <c r="K158" i="23" s="1"/>
  <c r="L158" i="23" s="1"/>
  <c r="D333" i="19"/>
  <c r="I157" i="23" s="1"/>
  <c r="D327" i="19"/>
  <c r="D321" i="19"/>
  <c r="D318" i="19"/>
  <c r="D313" i="19"/>
  <c r="I148" i="23" s="1"/>
  <c r="I145" i="23"/>
  <c r="K145" i="23" s="1"/>
  <c r="L145" i="23" s="1"/>
  <c r="I144" i="23"/>
  <c r="K144" i="23" s="1"/>
  <c r="I143" i="23"/>
  <c r="K143" i="23" s="1"/>
  <c r="D283" i="19"/>
  <c r="I139" i="23" s="1"/>
  <c r="D277" i="19"/>
  <c r="I138" i="23" s="1"/>
  <c r="D271" i="19"/>
  <c r="D265" i="19"/>
  <c r="D263" i="19" s="1"/>
  <c r="I129" i="23" s="1"/>
  <c r="D257" i="19"/>
  <c r="I128" i="23" s="1"/>
  <c r="D248" i="19"/>
  <c r="I127" i="23" s="1"/>
  <c r="D240" i="19"/>
  <c r="I126" i="23" s="1"/>
  <c r="D232" i="19"/>
  <c r="I120" i="23" s="1"/>
  <c r="D226" i="19"/>
  <c r="I119" i="23" s="1"/>
  <c r="D218" i="19"/>
  <c r="D216" i="19" s="1"/>
  <c r="G300" i="21"/>
  <c r="F300" i="21"/>
  <c r="G434" i="20"/>
  <c r="F434" i="20"/>
  <c r="E325" i="4"/>
  <c r="D325" i="4"/>
  <c r="E268" i="4"/>
  <c r="D268" i="4"/>
  <c r="F37" i="1"/>
  <c r="G37" i="1" s="1"/>
  <c r="E317" i="19" l="1"/>
  <c r="J149" i="23" s="1"/>
  <c r="J155" i="23" s="1"/>
  <c r="K154" i="23"/>
  <c r="D296" i="19"/>
  <c r="I142" i="23"/>
  <c r="D307" i="19"/>
  <c r="I146" i="23" s="1"/>
  <c r="K146" i="23" s="1"/>
  <c r="L150" i="23"/>
  <c r="C107" i="22"/>
  <c r="L153" i="23"/>
  <c r="C33" i="22"/>
  <c r="L137" i="23"/>
  <c r="C109" i="22"/>
  <c r="L140" i="23"/>
  <c r="C28" i="22"/>
  <c r="L151" i="23"/>
  <c r="C32" i="22"/>
  <c r="K148" i="23"/>
  <c r="L148" i="23" s="1"/>
  <c r="C113" i="22"/>
  <c r="L51" i="23"/>
  <c r="C98" i="22"/>
  <c r="L68" i="23"/>
  <c r="C100" i="22"/>
  <c r="L76" i="23"/>
  <c r="C49" i="22"/>
  <c r="L43" i="23"/>
  <c r="C53" i="22"/>
  <c r="L67" i="23"/>
  <c r="C99" i="22"/>
  <c r="J7" i="23"/>
  <c r="J17" i="23"/>
  <c r="J13" i="23" s="1"/>
  <c r="K78" i="23"/>
  <c r="L78" i="23" s="1"/>
  <c r="L70" i="23"/>
  <c r="C102" i="22"/>
  <c r="L71" i="23"/>
  <c r="C46" i="22"/>
  <c r="E62" i="19"/>
  <c r="E58" i="19" s="1"/>
  <c r="J134" i="23"/>
  <c r="K134" i="23" s="1"/>
  <c r="L134" i="23" s="1"/>
  <c r="E214" i="19"/>
  <c r="K138" i="23"/>
  <c r="K139" i="23"/>
  <c r="J159" i="23"/>
  <c r="K167" i="23"/>
  <c r="L167" i="23" s="1"/>
  <c r="K133" i="23"/>
  <c r="L133" i="23" s="1"/>
  <c r="K157" i="23"/>
  <c r="E332" i="19"/>
  <c r="I159" i="23"/>
  <c r="K120" i="23"/>
  <c r="L120" i="23" s="1"/>
  <c r="I123" i="23"/>
  <c r="K126" i="23"/>
  <c r="L126" i="23" s="1"/>
  <c r="L138" i="23"/>
  <c r="L152" i="23"/>
  <c r="K129" i="23"/>
  <c r="L129" i="23" s="1"/>
  <c r="K166" i="23"/>
  <c r="L166" i="23" s="1"/>
  <c r="K119" i="23"/>
  <c r="L119" i="23" s="1"/>
  <c r="L154" i="23"/>
  <c r="K128" i="23"/>
  <c r="L128" i="23" s="1"/>
  <c r="K112" i="23"/>
  <c r="L112" i="23" s="1"/>
  <c r="L132" i="23"/>
  <c r="J109" i="23"/>
  <c r="J123" i="23" s="1"/>
  <c r="I130" i="23"/>
  <c r="E238" i="19"/>
  <c r="J130" i="23"/>
  <c r="K127" i="23"/>
  <c r="L127" i="23" s="1"/>
  <c r="K97" i="23"/>
  <c r="L97" i="23" s="1"/>
  <c r="K69" i="23"/>
  <c r="I47" i="23"/>
  <c r="K48" i="23"/>
  <c r="L48" i="23" s="1"/>
  <c r="E181" i="19"/>
  <c r="J77" i="23" s="1"/>
  <c r="K24" i="23"/>
  <c r="L24" i="23" s="1"/>
  <c r="K61" i="23"/>
  <c r="L61" i="23" s="1"/>
  <c r="K49" i="23"/>
  <c r="L49" i="23" s="1"/>
  <c r="J60" i="23"/>
  <c r="K81" i="23"/>
  <c r="L81" i="23" s="1"/>
  <c r="I60" i="23"/>
  <c r="E200" i="19"/>
  <c r="J90" i="23"/>
  <c r="E145" i="19"/>
  <c r="K53" i="23"/>
  <c r="L53" i="23" s="1"/>
  <c r="K29" i="23"/>
  <c r="L29" i="23" s="1"/>
  <c r="I66" i="23"/>
  <c r="K66" i="23" s="1"/>
  <c r="L66" i="23" s="1"/>
  <c r="J47" i="23"/>
  <c r="J98" i="23"/>
  <c r="E109" i="19"/>
  <c r="J41" i="23"/>
  <c r="E167" i="19"/>
  <c r="J73" i="23"/>
  <c r="K96" i="23"/>
  <c r="L96" i="23" s="1"/>
  <c r="E31" i="19"/>
  <c r="K52" i="23"/>
  <c r="L15" i="23"/>
  <c r="E101" i="19"/>
  <c r="E95" i="19" s="1"/>
  <c r="J36" i="23"/>
  <c r="K111" i="23"/>
  <c r="L111" i="23" s="1"/>
  <c r="D214" i="19"/>
  <c r="D78" i="19"/>
  <c r="D238" i="19"/>
  <c r="D317" i="19"/>
  <c r="I149" i="23" s="1"/>
  <c r="D332" i="19"/>
  <c r="E275" i="19" l="1"/>
  <c r="E340" i="19" s="1"/>
  <c r="K149" i="23"/>
  <c r="L149" i="23" s="1"/>
  <c r="C34" i="22"/>
  <c r="D295" i="19"/>
  <c r="D275" i="19" s="1"/>
  <c r="D340" i="19" s="1"/>
  <c r="K142" i="23"/>
  <c r="L142" i="23" s="1"/>
  <c r="I141" i="23"/>
  <c r="K141" i="23" s="1"/>
  <c r="L139" i="23"/>
  <c r="C27" i="22"/>
  <c r="J161" i="23"/>
  <c r="L157" i="23"/>
  <c r="C36" i="22"/>
  <c r="K47" i="23"/>
  <c r="L47" i="23" s="1"/>
  <c r="L52" i="23"/>
  <c r="C38" i="22"/>
  <c r="I23" i="23"/>
  <c r="K23" i="23" s="1"/>
  <c r="L23" i="23" s="1"/>
  <c r="L69" i="23"/>
  <c r="C101" i="22"/>
  <c r="K159" i="23"/>
  <c r="L159" i="23" s="1"/>
  <c r="K109" i="23"/>
  <c r="L109" i="23" s="1"/>
  <c r="K130" i="23"/>
  <c r="J59" i="23"/>
  <c r="E30" i="19"/>
  <c r="K98" i="23"/>
  <c r="L98" i="23" s="1"/>
  <c r="I59" i="23"/>
  <c r="K60" i="23"/>
  <c r="L60" i="23" s="1"/>
  <c r="E128" i="19"/>
  <c r="E108" i="19" s="1"/>
  <c r="J40" i="23"/>
  <c r="J34" i="23"/>
  <c r="K14" i="23"/>
  <c r="L14" i="23" s="1"/>
  <c r="J72" i="23"/>
  <c r="D204" i="19"/>
  <c r="I89" i="23" s="1"/>
  <c r="D192" i="19"/>
  <c r="D208" i="19"/>
  <c r="D72" i="19"/>
  <c r="D176" i="19"/>
  <c r="I75" i="23" s="1"/>
  <c r="K75" i="23" s="1"/>
  <c r="L75" i="23" s="1"/>
  <c r="D186" i="19"/>
  <c r="D189" i="19"/>
  <c r="D59" i="19"/>
  <c r="D66" i="19"/>
  <c r="I19" i="23" s="1"/>
  <c r="D201" i="19"/>
  <c r="I88" i="23" s="1"/>
  <c r="K88" i="23" s="1"/>
  <c r="D35" i="19"/>
  <c r="I9" i="23" s="1"/>
  <c r="K9" i="23" s="1"/>
  <c r="L9" i="23" s="1"/>
  <c r="D195" i="19"/>
  <c r="D146" i="19"/>
  <c r="D63" i="19"/>
  <c r="D82" i="19"/>
  <c r="D69" i="19"/>
  <c r="D44" i="19"/>
  <c r="I12" i="23" s="1"/>
  <c r="K12" i="23" s="1"/>
  <c r="L12" i="23" s="1"/>
  <c r="D75" i="19"/>
  <c r="D157" i="19"/>
  <c r="D53" i="19"/>
  <c r="D86" i="19"/>
  <c r="D103" i="19"/>
  <c r="D32" i="19"/>
  <c r="I8" i="23" s="1"/>
  <c r="D96" i="19"/>
  <c r="D168" i="19"/>
  <c r="D110" i="19"/>
  <c r="I41" i="23" s="1"/>
  <c r="D139" i="19"/>
  <c r="D129" i="19" s="1"/>
  <c r="D120" i="19"/>
  <c r="I42" i="23" s="1"/>
  <c r="K42" i="23" s="1"/>
  <c r="L42" i="23" s="1"/>
  <c r="D38" i="19"/>
  <c r="I10" i="23" s="1"/>
  <c r="K10" i="23" s="1"/>
  <c r="L10" i="23" s="1"/>
  <c r="C31" i="22" l="1"/>
  <c r="C29" i="22"/>
  <c r="L141" i="23"/>
  <c r="I155" i="23"/>
  <c r="K155" i="23" s="1"/>
  <c r="L155" i="23" s="1"/>
  <c r="L130" i="23"/>
  <c r="C23" i="22"/>
  <c r="C24" i="22" s="1"/>
  <c r="C25" i="22" s="1"/>
  <c r="I21" i="23"/>
  <c r="K21" i="23" s="1"/>
  <c r="L21" i="23" s="1"/>
  <c r="I18" i="23"/>
  <c r="K18" i="23" s="1"/>
  <c r="L18" i="23" s="1"/>
  <c r="L88" i="23"/>
  <c r="I20" i="23"/>
  <c r="K20" i="23" s="1"/>
  <c r="L20" i="23" s="1"/>
  <c r="I22" i="23"/>
  <c r="K22" i="23" s="1"/>
  <c r="L22" i="23" s="1"/>
  <c r="I25" i="23"/>
  <c r="K25" i="23" s="1"/>
  <c r="L25" i="23" s="1"/>
  <c r="K123" i="23"/>
  <c r="E207" i="19"/>
  <c r="J58" i="23"/>
  <c r="J46" i="23" s="1"/>
  <c r="I58" i="23"/>
  <c r="K59" i="23"/>
  <c r="D101" i="19"/>
  <c r="D95" i="19" s="1"/>
  <c r="I36" i="23"/>
  <c r="J28" i="23"/>
  <c r="I40" i="23"/>
  <c r="K41" i="23"/>
  <c r="K19" i="23"/>
  <c r="L19" i="23" s="1"/>
  <c r="D167" i="19"/>
  <c r="I73" i="23"/>
  <c r="I90" i="23"/>
  <c r="K90" i="23" s="1"/>
  <c r="L90" i="23" s="1"/>
  <c r="K89" i="23"/>
  <c r="L89" i="23" s="1"/>
  <c r="I7" i="23"/>
  <c r="K7" i="23" s="1"/>
  <c r="L7" i="23" s="1"/>
  <c r="K8" i="23"/>
  <c r="L8" i="23" s="1"/>
  <c r="D200" i="19"/>
  <c r="D109" i="19"/>
  <c r="D181" i="19"/>
  <c r="I77" i="23" s="1"/>
  <c r="K77" i="23" s="1"/>
  <c r="D62" i="19"/>
  <c r="D58" i="19" s="1"/>
  <c r="D31" i="19"/>
  <c r="D145" i="19"/>
  <c r="C35" i="22" l="1"/>
  <c r="I161" i="23"/>
  <c r="K161" i="23" s="1"/>
  <c r="L161" i="23" s="1"/>
  <c r="L123" i="23"/>
  <c r="C105" i="22"/>
  <c r="C106" i="22" s="1"/>
  <c r="I17" i="23"/>
  <c r="K17" i="23" s="1"/>
  <c r="L17" i="23" s="1"/>
  <c r="C55" i="22"/>
  <c r="L77" i="23"/>
  <c r="C50" i="22"/>
  <c r="L59" i="23"/>
  <c r="C45" i="22"/>
  <c r="L41" i="23"/>
  <c r="C52" i="22"/>
  <c r="C54" i="22" s="1"/>
  <c r="K58" i="23"/>
  <c r="L58" i="23" s="1"/>
  <c r="K40" i="23"/>
  <c r="L40" i="23" s="1"/>
  <c r="J86" i="23"/>
  <c r="I72" i="23"/>
  <c r="K73" i="23"/>
  <c r="L73" i="23" s="1"/>
  <c r="K36" i="23"/>
  <c r="L36" i="23" s="1"/>
  <c r="I34" i="23"/>
  <c r="J37" i="23"/>
  <c r="D128" i="19"/>
  <c r="D108" i="19" s="1"/>
  <c r="D30" i="19"/>
  <c r="I13" i="23" l="1"/>
  <c r="K13" i="23" s="1"/>
  <c r="L13" i="23" s="1"/>
  <c r="J92" i="23"/>
  <c r="K72" i="23"/>
  <c r="I46" i="23"/>
  <c r="K34" i="23"/>
  <c r="L34" i="23" s="1"/>
  <c r="I28" i="23"/>
  <c r="D207" i="19"/>
  <c r="L72" i="23" l="1"/>
  <c r="C47" i="22"/>
  <c r="C51" i="22" s="1"/>
  <c r="C56" i="22" s="1"/>
  <c r="I37" i="23"/>
  <c r="K28" i="23"/>
  <c r="L28" i="23" s="1"/>
  <c r="I86" i="23"/>
  <c r="K86" i="23" s="1"/>
  <c r="L86" i="23" s="1"/>
  <c r="K46" i="23"/>
  <c r="L46" i="23" s="1"/>
  <c r="C110" i="22"/>
  <c r="C112" i="22" l="1"/>
  <c r="C115" i="22" s="1"/>
  <c r="I92" i="23"/>
  <c r="K92" i="23" s="1"/>
  <c r="L92" i="23" s="1"/>
  <c r="K37" i="23"/>
  <c r="L37" i="23" s="1"/>
  <c r="E585" i="4" l="1"/>
  <c r="E584" i="4"/>
  <c r="E583" i="4"/>
  <c r="E581" i="4"/>
  <c r="E580" i="4"/>
  <c r="E579" i="4"/>
  <c r="E578" i="4"/>
  <c r="E573" i="4"/>
  <c r="E572" i="4"/>
  <c r="E571" i="4"/>
  <c r="E570" i="4"/>
  <c r="E569" i="4"/>
  <c r="E568" i="4"/>
  <c r="E567" i="4"/>
  <c r="E566" i="4"/>
  <c r="E564" i="4"/>
  <c r="E563" i="4"/>
  <c r="E561" i="4"/>
  <c r="E560" i="4"/>
  <c r="E559" i="4"/>
  <c r="E558" i="4"/>
  <c r="E557" i="4"/>
  <c r="E556" i="4"/>
  <c r="E555" i="4"/>
  <c r="E554" i="4"/>
  <c r="E552" i="4"/>
  <c r="E550" i="4"/>
  <c r="E549" i="4"/>
  <c r="E546" i="4"/>
  <c r="E545" i="4"/>
  <c r="E543" i="4"/>
  <c r="E541" i="4"/>
  <c r="E540" i="4"/>
  <c r="E539" i="4"/>
  <c r="E538" i="4"/>
  <c r="E537" i="4"/>
  <c r="E536" i="4"/>
  <c r="E535" i="4"/>
  <c r="E534" i="4"/>
  <c r="E532" i="4"/>
  <c r="E530" i="4"/>
  <c r="E529" i="4"/>
  <c r="E528" i="4"/>
  <c r="E527" i="4"/>
  <c r="E526" i="4"/>
  <c r="E525" i="4"/>
  <c r="E524" i="4"/>
  <c r="E522" i="4"/>
  <c r="E521" i="4"/>
  <c r="E519" i="4"/>
  <c r="E517" i="4"/>
  <c r="E513" i="4"/>
  <c r="E512" i="4"/>
  <c r="E509" i="4"/>
  <c r="E508" i="4"/>
  <c r="E506" i="4"/>
  <c r="E505" i="4"/>
  <c r="E504" i="4"/>
  <c r="E502" i="4"/>
  <c r="E501" i="4"/>
  <c r="E500" i="4"/>
  <c r="E499" i="4"/>
  <c r="E498" i="4"/>
  <c r="E496" i="4"/>
  <c r="E495" i="4"/>
  <c r="E494" i="4"/>
  <c r="E490" i="4"/>
  <c r="E489" i="4"/>
  <c r="E488" i="4"/>
  <c r="E487" i="4"/>
  <c r="E486" i="4"/>
  <c r="E485" i="4"/>
  <c r="E484" i="4"/>
  <c r="E483" i="4"/>
  <c r="E482" i="4"/>
  <c r="E481" i="4"/>
  <c r="E479" i="4"/>
  <c r="E478" i="4"/>
  <c r="E477" i="4"/>
  <c r="E476" i="4"/>
  <c r="E475" i="4"/>
  <c r="E474" i="4"/>
  <c r="E472" i="4"/>
  <c r="E471" i="4"/>
  <c r="E470" i="4"/>
  <c r="E469" i="4"/>
  <c r="E468" i="4"/>
  <c r="E467" i="4"/>
  <c r="E466" i="4"/>
  <c r="E465" i="4"/>
  <c r="E462" i="4"/>
  <c r="E461" i="4"/>
  <c r="E460" i="4"/>
  <c r="E459" i="4"/>
  <c r="E458" i="4"/>
  <c r="E457" i="4"/>
  <c r="E455" i="4"/>
  <c r="E454" i="4"/>
  <c r="E453" i="4"/>
  <c r="E452" i="4"/>
  <c r="E451" i="4"/>
  <c r="E450" i="4"/>
  <c r="E449" i="4"/>
  <c r="E448" i="4"/>
  <c r="E445" i="4"/>
  <c r="E444" i="4"/>
  <c r="E442" i="4"/>
  <c r="E441" i="4"/>
  <c r="E440" i="4"/>
  <c r="E437" i="4"/>
  <c r="E435" i="4"/>
  <c r="E434" i="4"/>
  <c r="E433" i="4"/>
  <c r="E432" i="4"/>
  <c r="E430" i="4"/>
  <c r="E429" i="4"/>
  <c r="E427" i="4"/>
  <c r="E426" i="4"/>
  <c r="E425" i="4"/>
  <c r="E423" i="4"/>
  <c r="E422" i="4"/>
  <c r="E421" i="4"/>
  <c r="E418" i="4"/>
  <c r="E417" i="4"/>
  <c r="E416" i="4"/>
  <c r="E414" i="4"/>
  <c r="E413" i="4"/>
  <c r="E412" i="4"/>
  <c r="E409" i="4"/>
  <c r="E408" i="4"/>
  <c r="E407" i="4"/>
  <c r="E405" i="4"/>
  <c r="E404" i="4"/>
  <c r="E403" i="4"/>
  <c r="E400" i="4"/>
  <c r="E399" i="4"/>
  <c r="E398" i="4"/>
  <c r="E396" i="4"/>
  <c r="E395" i="4"/>
  <c r="E394" i="4"/>
  <c r="E392" i="4"/>
  <c r="E391" i="4"/>
  <c r="E390" i="4"/>
  <c r="E385" i="4"/>
  <c r="E384" i="4"/>
  <c r="E383" i="4"/>
  <c r="E382" i="4"/>
  <c r="E380" i="4"/>
  <c r="E379" i="4"/>
  <c r="E377" i="4"/>
  <c r="E375" i="4"/>
  <c r="E374" i="4"/>
  <c r="E373" i="4"/>
  <c r="E372" i="4"/>
  <c r="E371" i="4"/>
  <c r="E370" i="4"/>
  <c r="E369" i="4"/>
  <c r="E367" i="4"/>
  <c r="E366" i="4"/>
  <c r="E364" i="4"/>
  <c r="E363" i="4"/>
  <c r="E362" i="4"/>
  <c r="E360" i="4"/>
  <c r="E359" i="4"/>
  <c r="E358" i="4"/>
  <c r="E357" i="4"/>
  <c r="E356" i="4"/>
  <c r="E355" i="4"/>
  <c r="E353" i="4"/>
  <c r="E352" i="4"/>
  <c r="E350" i="4"/>
  <c r="E349" i="4"/>
  <c r="E348" i="4"/>
  <c r="E346" i="4"/>
  <c r="E345" i="4"/>
  <c r="E343" i="4"/>
  <c r="E342" i="4"/>
  <c r="E341" i="4"/>
  <c r="E340" i="4"/>
  <c r="E339" i="4"/>
  <c r="E338" i="4"/>
  <c r="E337" i="4"/>
  <c r="E336" i="4"/>
  <c r="E335" i="4"/>
  <c r="E333" i="4"/>
  <c r="E332" i="4"/>
  <c r="E329" i="4"/>
  <c r="E328" i="4"/>
  <c r="E327" i="4"/>
  <c r="E326" i="4"/>
  <c r="E324" i="4"/>
  <c r="E323" i="4"/>
  <c r="E322" i="4"/>
  <c r="E320" i="4"/>
  <c r="E319" i="4"/>
  <c r="E318" i="4"/>
  <c r="E316" i="4"/>
  <c r="E315" i="4"/>
  <c r="E314" i="4"/>
  <c r="E313" i="4"/>
  <c r="E312" i="4"/>
  <c r="E311" i="4"/>
  <c r="E309" i="4"/>
  <c r="E308" i="4"/>
  <c r="E306" i="4"/>
  <c r="E305" i="4"/>
  <c r="E304" i="4"/>
  <c r="E303" i="4"/>
  <c r="E302" i="4"/>
  <c r="E301" i="4"/>
  <c r="E300" i="4"/>
  <c r="E298" i="4"/>
  <c r="E297" i="4"/>
  <c r="E296" i="4"/>
  <c r="E295" i="4"/>
  <c r="E294" i="4"/>
  <c r="E293" i="4"/>
  <c r="E292" i="4"/>
  <c r="E290" i="4"/>
  <c r="E289" i="4"/>
  <c r="E288" i="4"/>
  <c r="E287" i="4"/>
  <c r="E286" i="4"/>
  <c r="E285" i="4"/>
  <c r="E284" i="4"/>
  <c r="E281" i="4"/>
  <c r="E280" i="4"/>
  <c r="E279" i="4"/>
  <c r="E278" i="4"/>
  <c r="E276" i="4"/>
  <c r="E275" i="4"/>
  <c r="E274" i="4"/>
  <c r="E273" i="4"/>
  <c r="E272" i="4"/>
  <c r="E270" i="4"/>
  <c r="E269" i="4"/>
  <c r="E267" i="4"/>
  <c r="E266" i="4"/>
  <c r="E265" i="4"/>
  <c r="E263" i="4"/>
  <c r="E262" i="4"/>
  <c r="E261" i="4"/>
  <c r="E260" i="4"/>
  <c r="E259" i="4"/>
  <c r="E257" i="4"/>
  <c r="E256" i="4"/>
  <c r="E255" i="4"/>
  <c r="E254" i="4"/>
  <c r="E253" i="4"/>
  <c r="E251" i="4"/>
  <c r="E250" i="4"/>
  <c r="E249" i="4"/>
  <c r="E247" i="4"/>
  <c r="E246" i="4"/>
  <c r="E245" i="4"/>
  <c r="E244" i="4"/>
  <c r="E242" i="4"/>
  <c r="E241" i="4"/>
  <c r="E240" i="4"/>
  <c r="E239" i="4"/>
  <c r="E237" i="4"/>
  <c r="E236" i="4"/>
  <c r="E235" i="4"/>
  <c r="E234" i="4"/>
  <c r="E233" i="4"/>
  <c r="E231" i="4"/>
  <c r="E230" i="4"/>
  <c r="E229" i="4"/>
  <c r="E228" i="4"/>
  <c r="E227" i="4"/>
  <c r="E226" i="4"/>
  <c r="E225" i="4"/>
  <c r="E224" i="4"/>
  <c r="E223" i="4"/>
  <c r="E222" i="4"/>
  <c r="E220" i="4"/>
  <c r="E219" i="4"/>
  <c r="E218" i="4"/>
  <c r="E217" i="4"/>
  <c r="E216" i="4"/>
  <c r="E215" i="4"/>
  <c r="E214" i="4"/>
  <c r="E212" i="4"/>
  <c r="E211" i="4"/>
  <c r="E210" i="4"/>
  <c r="E208" i="4"/>
  <c r="E207" i="4"/>
  <c r="E206" i="4"/>
  <c r="E205" i="4"/>
  <c r="E204" i="4"/>
  <c r="E203" i="4"/>
  <c r="E198" i="4"/>
  <c r="E197" i="4"/>
  <c r="E196" i="4"/>
  <c r="E195" i="4"/>
  <c r="E194" i="4"/>
  <c r="E193" i="4"/>
  <c r="E192" i="4"/>
  <c r="E190" i="4"/>
  <c r="E189" i="4"/>
  <c r="E188" i="4"/>
  <c r="E187" i="4"/>
  <c r="E186" i="4"/>
  <c r="E185" i="4"/>
  <c r="E184" i="4"/>
  <c r="E183" i="4"/>
  <c r="E181" i="4"/>
  <c r="E180" i="4"/>
  <c r="E179" i="4"/>
  <c r="E178" i="4"/>
  <c r="E177" i="4"/>
  <c r="E176" i="4"/>
  <c r="E175" i="4"/>
  <c r="E174" i="4"/>
  <c r="E172" i="4"/>
  <c r="E171" i="4"/>
  <c r="E170" i="4"/>
  <c r="E168" i="4"/>
  <c r="E167" i="4"/>
  <c r="E166" i="4"/>
  <c r="E164" i="4"/>
  <c r="E163" i="4"/>
  <c r="E162" i="4"/>
  <c r="E156" i="4"/>
  <c r="E155" i="4"/>
  <c r="E154" i="4"/>
  <c r="E152" i="4"/>
  <c r="E151" i="4"/>
  <c r="E150" i="4"/>
  <c r="E149" i="4"/>
  <c r="E148" i="4"/>
  <c r="E147" i="4"/>
  <c r="E146" i="4"/>
  <c r="E144" i="4"/>
  <c r="E143" i="4"/>
  <c r="E142" i="4"/>
  <c r="E140" i="4"/>
  <c r="E139" i="4"/>
  <c r="E138" i="4"/>
  <c r="E137" i="4"/>
  <c r="E136" i="4"/>
  <c r="E133" i="4"/>
  <c r="E132" i="4"/>
  <c r="E131" i="4"/>
  <c r="E129" i="4"/>
  <c r="E128" i="4"/>
  <c r="E127" i="4"/>
  <c r="E126" i="4"/>
  <c r="E124" i="4"/>
  <c r="E123" i="4"/>
  <c r="E122" i="4" s="1"/>
  <c r="E121" i="4"/>
  <c r="E119" i="4"/>
  <c r="E118" i="4"/>
  <c r="E117" i="4"/>
  <c r="E116" i="4"/>
  <c r="E115" i="4"/>
  <c r="E114" i="4"/>
  <c r="E113" i="4"/>
  <c r="E111" i="4"/>
  <c r="E110" i="4"/>
  <c r="E109" i="4"/>
  <c r="E108" i="4"/>
  <c r="E107" i="4"/>
  <c r="E106" i="4"/>
  <c r="E104" i="4"/>
  <c r="E103" i="4"/>
  <c r="E102" i="4"/>
  <c r="E101" i="4"/>
  <c r="E100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4" i="4"/>
  <c r="E63" i="4"/>
  <c r="E62" i="4"/>
  <c r="E61" i="4"/>
  <c r="E60" i="4"/>
  <c r="E58" i="4"/>
  <c r="E57" i="4"/>
  <c r="E55" i="4"/>
  <c r="E54" i="4"/>
  <c r="E53" i="4"/>
  <c r="E52" i="4"/>
  <c r="E51" i="4"/>
  <c r="E49" i="4"/>
  <c r="E48" i="4"/>
  <c r="E47" i="4"/>
  <c r="E46" i="4"/>
  <c r="E45" i="4"/>
  <c r="E43" i="4"/>
  <c r="E42" i="4"/>
  <c r="E40" i="4"/>
  <c r="E39" i="4"/>
  <c r="E38" i="4"/>
  <c r="E37" i="4"/>
  <c r="E34" i="4"/>
  <c r="E33" i="4"/>
  <c r="E32" i="4"/>
  <c r="E31" i="4"/>
  <c r="E29" i="4"/>
  <c r="E28" i="4"/>
  <c r="D42" i="4"/>
  <c r="E130" i="4" l="1"/>
  <c r="E141" i="4"/>
  <c r="E56" i="4"/>
  <c r="E283" i="4"/>
  <c r="E153" i="4"/>
  <c r="E34" i="1" s="1"/>
  <c r="E50" i="4"/>
  <c r="E125" i="4"/>
  <c r="E493" i="4"/>
  <c r="E582" i="4"/>
  <c r="E565" i="4"/>
  <c r="E562" i="4" s="1"/>
  <c r="E577" i="4"/>
  <c r="E503" i="4"/>
  <c r="E334" i="4"/>
  <c r="E238" i="4"/>
  <c r="E344" i="4"/>
  <c r="E411" i="4"/>
  <c r="E378" i="4"/>
  <c r="E317" i="4"/>
  <c r="E514" i="4"/>
  <c r="E252" i="4"/>
  <c r="E248" i="4" s="1"/>
  <c r="E243" i="4"/>
  <c r="E169" i="4"/>
  <c r="E365" i="4"/>
  <c r="E191" i="4"/>
  <c r="E347" i="4"/>
  <c r="E443" i="4"/>
  <c r="E209" i="4"/>
  <c r="E299" i="4"/>
  <c r="E402" i="4"/>
  <c r="E232" i="4"/>
  <c r="E271" i="4"/>
  <c r="E406" i="4"/>
  <c r="E361" i="4"/>
  <c r="E291" i="4"/>
  <c r="E389" i="4"/>
  <c r="E553" i="4"/>
  <c r="E551" i="4" s="1"/>
  <c r="E173" i="4"/>
  <c r="E258" i="4"/>
  <c r="E277" i="4"/>
  <c r="E368" i="4"/>
  <c r="E381" i="4"/>
  <c r="E376" i="4" s="1"/>
  <c r="E415" i="4"/>
  <c r="E424" i="4"/>
  <c r="E439" i="4"/>
  <c r="E438" i="4" s="1"/>
  <c r="E436" i="4" s="1"/>
  <c r="E507" i="4"/>
  <c r="E533" i="4"/>
  <c r="E531" i="4" s="1"/>
  <c r="E105" i="4"/>
  <c r="E165" i="4"/>
  <c r="E161" i="4" s="1"/>
  <c r="E310" i="4"/>
  <c r="E397" i="4"/>
  <c r="E480" i="4"/>
  <c r="E523" i="4"/>
  <c r="E520" i="4" s="1"/>
  <c r="E30" i="4"/>
  <c r="E27" i="4" s="1"/>
  <c r="E26" i="4" s="1"/>
  <c r="E41" i="4"/>
  <c r="E59" i="4"/>
  <c r="E354" i="4"/>
  <c r="E420" i="4"/>
  <c r="E431" i="4"/>
  <c r="E428" i="4" s="1"/>
  <c r="E548" i="4"/>
  <c r="E464" i="4"/>
  <c r="E145" i="4"/>
  <c r="E264" i="4"/>
  <c r="E473" i="4"/>
  <c r="E83" i="1" s="1"/>
  <c r="E112" i="4"/>
  <c r="E44" i="4"/>
  <c r="E99" i="4"/>
  <c r="E135" i="4"/>
  <c r="E134" i="4" s="1"/>
  <c r="E447" i="4"/>
  <c r="E456" i="4"/>
  <c r="E182" i="4"/>
  <c r="E282" i="4"/>
  <c r="E36" i="4"/>
  <c r="E67" i="4"/>
  <c r="E84" i="4"/>
  <c r="E202" i="4"/>
  <c r="E201" i="4" s="1"/>
  <c r="E221" i="4"/>
  <c r="E213" i="4" s="1"/>
  <c r="E321" i="4"/>
  <c r="E393" i="4"/>
  <c r="E497" i="4"/>
  <c r="E518" i="4" l="1"/>
  <c r="E516" i="4" s="1"/>
  <c r="E120" i="4"/>
  <c r="E510" i="4"/>
  <c r="E307" i="4"/>
  <c r="E200" i="4" s="1"/>
  <c r="E331" i="4"/>
  <c r="E463" i="4"/>
  <c r="E586" i="4"/>
  <c r="E410" i="4"/>
  <c r="E547" i="4"/>
  <c r="E544" i="4" s="1"/>
  <c r="E542" i="4" s="1"/>
  <c r="E574" i="4" s="1"/>
  <c r="E351" i="4"/>
  <c r="E160" i="4"/>
  <c r="E159" i="4" s="1"/>
  <c r="E401" i="4"/>
  <c r="E419" i="4"/>
  <c r="E388" i="4"/>
  <c r="E387" i="4" s="1"/>
  <c r="E446" i="4"/>
  <c r="E35" i="4"/>
  <c r="E25" i="4" s="1"/>
  <c r="E66" i="4"/>
  <c r="E65" i="4" s="1"/>
  <c r="E157" i="4" l="1"/>
  <c r="E330" i="4"/>
  <c r="E199" i="4" s="1"/>
  <c r="E386" i="4"/>
  <c r="D513" i="4"/>
  <c r="D585" i="4"/>
  <c r="D584" i="4"/>
  <c r="D583" i="4"/>
  <c r="D581" i="4"/>
  <c r="D580" i="4"/>
  <c r="D579" i="4"/>
  <c r="D578" i="4"/>
  <c r="D573" i="4"/>
  <c r="D572" i="4"/>
  <c r="D571" i="4"/>
  <c r="D570" i="4"/>
  <c r="D569" i="4"/>
  <c r="D568" i="4"/>
  <c r="D567" i="4"/>
  <c r="D566" i="4"/>
  <c r="D564" i="4"/>
  <c r="D563" i="4"/>
  <c r="D561" i="4"/>
  <c r="D560" i="4"/>
  <c r="D559" i="4"/>
  <c r="D558" i="4"/>
  <c r="D557" i="4"/>
  <c r="D556" i="4"/>
  <c r="D555" i="4"/>
  <c r="D554" i="4"/>
  <c r="D552" i="4"/>
  <c r="D550" i="4"/>
  <c r="D549" i="4"/>
  <c r="D546" i="4"/>
  <c r="D545" i="4"/>
  <c r="D543" i="4"/>
  <c r="D541" i="4"/>
  <c r="D540" i="4"/>
  <c r="D539" i="4"/>
  <c r="D538" i="4"/>
  <c r="D537" i="4"/>
  <c r="D536" i="4"/>
  <c r="D535" i="4"/>
  <c r="D534" i="4"/>
  <c r="D532" i="4"/>
  <c r="D512" i="4"/>
  <c r="D530" i="4"/>
  <c r="D529" i="4"/>
  <c r="D528" i="4"/>
  <c r="D527" i="4"/>
  <c r="D526" i="4"/>
  <c r="D525" i="4"/>
  <c r="D524" i="4"/>
  <c r="D522" i="4"/>
  <c r="D521" i="4"/>
  <c r="D519" i="4"/>
  <c r="D517" i="4"/>
  <c r="D509" i="4"/>
  <c r="D508" i="4"/>
  <c r="D506" i="4"/>
  <c r="D505" i="4"/>
  <c r="D504" i="4"/>
  <c r="D502" i="4"/>
  <c r="D501" i="4"/>
  <c r="D500" i="4"/>
  <c r="D499" i="4"/>
  <c r="D498" i="4"/>
  <c r="D496" i="4"/>
  <c r="D495" i="4"/>
  <c r="D494" i="4"/>
  <c r="D490" i="4"/>
  <c r="D489" i="4"/>
  <c r="D488" i="4"/>
  <c r="D487" i="4"/>
  <c r="D486" i="4"/>
  <c r="D485" i="4"/>
  <c r="D484" i="4"/>
  <c r="D483" i="4"/>
  <c r="D482" i="4"/>
  <c r="D481" i="4"/>
  <c r="D479" i="4"/>
  <c r="D478" i="4"/>
  <c r="D477" i="4"/>
  <c r="D476" i="4"/>
  <c r="D475" i="4"/>
  <c r="D474" i="4"/>
  <c r="D472" i="4"/>
  <c r="D471" i="4"/>
  <c r="D470" i="4"/>
  <c r="D469" i="4"/>
  <c r="D468" i="4"/>
  <c r="D467" i="4"/>
  <c r="D466" i="4"/>
  <c r="D465" i="4"/>
  <c r="D462" i="4"/>
  <c r="D461" i="4"/>
  <c r="D460" i="4"/>
  <c r="D459" i="4"/>
  <c r="D458" i="4"/>
  <c r="D457" i="4"/>
  <c r="D455" i="4"/>
  <c r="D454" i="4"/>
  <c r="D453" i="4"/>
  <c r="D452" i="4"/>
  <c r="D451" i="4"/>
  <c r="D450" i="4"/>
  <c r="D449" i="4"/>
  <c r="D448" i="4"/>
  <c r="D445" i="4"/>
  <c r="D444" i="4"/>
  <c r="D442" i="4"/>
  <c r="D441" i="4"/>
  <c r="D440" i="4"/>
  <c r="D437" i="4"/>
  <c r="D435" i="4"/>
  <c r="D434" i="4"/>
  <c r="D433" i="4"/>
  <c r="D432" i="4"/>
  <c r="D430" i="4"/>
  <c r="D429" i="4"/>
  <c r="D427" i="4"/>
  <c r="D426" i="4"/>
  <c r="D425" i="4"/>
  <c r="D423" i="4"/>
  <c r="D422" i="4"/>
  <c r="D421" i="4"/>
  <c r="D418" i="4"/>
  <c r="D417" i="4"/>
  <c r="D416" i="4"/>
  <c r="D414" i="4"/>
  <c r="D413" i="4"/>
  <c r="D412" i="4"/>
  <c r="E491" i="4" l="1"/>
  <c r="E575" i="4" s="1"/>
  <c r="E587" i="4" s="1"/>
  <c r="D409" i="4"/>
  <c r="D408" i="4"/>
  <c r="D407" i="4"/>
  <c r="D405" i="4"/>
  <c r="D404" i="4"/>
  <c r="D403" i="4"/>
  <c r="D400" i="4"/>
  <c r="D399" i="4"/>
  <c r="D398" i="4"/>
  <c r="D396" i="4"/>
  <c r="D395" i="4"/>
  <c r="D394" i="4"/>
  <c r="D392" i="4"/>
  <c r="D391" i="4"/>
  <c r="D390" i="4"/>
  <c r="D385" i="4"/>
  <c r="D384" i="4"/>
  <c r="D383" i="4"/>
  <c r="D382" i="4"/>
  <c r="D380" i="4"/>
  <c r="D379" i="4"/>
  <c r="D377" i="4"/>
  <c r="D375" i="4"/>
  <c r="D374" i="4"/>
  <c r="D373" i="4"/>
  <c r="D372" i="4"/>
  <c r="D371" i="4"/>
  <c r="D370" i="4"/>
  <c r="D369" i="4"/>
  <c r="D367" i="4"/>
  <c r="D366" i="4"/>
  <c r="D363" i="4"/>
  <c r="D362" i="4"/>
  <c r="D360" i="4"/>
  <c r="D359" i="4"/>
  <c r="D358" i="4"/>
  <c r="D357" i="4"/>
  <c r="D356" i="4"/>
  <c r="D355" i="4"/>
  <c r="D353" i="4"/>
  <c r="D352" i="4"/>
  <c r="D350" i="4"/>
  <c r="D349" i="4"/>
  <c r="D348" i="4"/>
  <c r="D346" i="4"/>
  <c r="D345" i="4"/>
  <c r="D343" i="4"/>
  <c r="D342" i="4"/>
  <c r="D341" i="4"/>
  <c r="D340" i="4"/>
  <c r="D339" i="4"/>
  <c r="D338" i="4"/>
  <c r="D337" i="4"/>
  <c r="D336" i="4"/>
  <c r="D335" i="4"/>
  <c r="D333" i="4"/>
  <c r="D332" i="4"/>
  <c r="D329" i="4"/>
  <c r="D328" i="4"/>
  <c r="D327" i="4"/>
  <c r="D326" i="4"/>
  <c r="D324" i="4"/>
  <c r="D323" i="4"/>
  <c r="D322" i="4"/>
  <c r="D320" i="4"/>
  <c r="D319" i="4"/>
  <c r="D318" i="4"/>
  <c r="D316" i="4"/>
  <c r="D315" i="4"/>
  <c r="D314" i="4"/>
  <c r="D313" i="4"/>
  <c r="D312" i="4"/>
  <c r="D311" i="4"/>
  <c r="D309" i="4"/>
  <c r="D308" i="4"/>
  <c r="D306" i="4"/>
  <c r="D305" i="4"/>
  <c r="D304" i="4"/>
  <c r="D303" i="4"/>
  <c r="D302" i="4"/>
  <c r="D301" i="4"/>
  <c r="D300" i="4"/>
  <c r="D298" i="4"/>
  <c r="D297" i="4"/>
  <c r="D296" i="4"/>
  <c r="D295" i="4"/>
  <c r="D294" i="4"/>
  <c r="D293" i="4"/>
  <c r="D292" i="4"/>
  <c r="D290" i="4"/>
  <c r="D289" i="4"/>
  <c r="D288" i="4"/>
  <c r="D287" i="4"/>
  <c r="D286" i="4"/>
  <c r="D285" i="4"/>
  <c r="D284" i="4"/>
  <c r="D281" i="4"/>
  <c r="D280" i="4"/>
  <c r="D279" i="4"/>
  <c r="D278" i="4"/>
  <c r="D276" i="4"/>
  <c r="D275" i="4"/>
  <c r="D274" i="4"/>
  <c r="D273" i="4"/>
  <c r="D272" i="4"/>
  <c r="D270" i="4"/>
  <c r="D269" i="4"/>
  <c r="D267" i="4"/>
  <c r="D266" i="4"/>
  <c r="D265" i="4"/>
  <c r="D263" i="4"/>
  <c r="D262" i="4"/>
  <c r="D261" i="4"/>
  <c r="D260" i="4"/>
  <c r="D259" i="4"/>
  <c r="D256" i="4"/>
  <c r="D257" i="4"/>
  <c r="D255" i="4"/>
  <c r="D254" i="4"/>
  <c r="D253" i="4"/>
  <c r="D251" i="4"/>
  <c r="D250" i="4"/>
  <c r="D249" i="4"/>
  <c r="D247" i="4"/>
  <c r="D246" i="4"/>
  <c r="D245" i="4"/>
  <c r="D244" i="4"/>
  <c r="D242" i="4"/>
  <c r="D241" i="4"/>
  <c r="D240" i="4"/>
  <c r="D239" i="4"/>
  <c r="D237" i="4"/>
  <c r="D236" i="4"/>
  <c r="D235" i="4"/>
  <c r="D234" i="4"/>
  <c r="D233" i="4"/>
  <c r="D231" i="4"/>
  <c r="D230" i="4"/>
  <c r="D229" i="4"/>
  <c r="D228" i="4"/>
  <c r="D227" i="4"/>
  <c r="D226" i="4"/>
  <c r="D225" i="4"/>
  <c r="D224" i="4"/>
  <c r="D223" i="4"/>
  <c r="D222" i="4"/>
  <c r="D220" i="4"/>
  <c r="D219" i="4"/>
  <c r="D218" i="4"/>
  <c r="D217" i="4"/>
  <c r="D216" i="4"/>
  <c r="D215" i="4"/>
  <c r="D214" i="4"/>
  <c r="D211" i="4"/>
  <c r="D210" i="4"/>
  <c r="D208" i="4"/>
  <c r="D207" i="4"/>
  <c r="D206" i="4"/>
  <c r="D205" i="4"/>
  <c r="D204" i="4"/>
  <c r="D203" i="4"/>
  <c r="D198" i="4"/>
  <c r="D197" i="4"/>
  <c r="D196" i="4"/>
  <c r="D195" i="4"/>
  <c r="D194" i="4"/>
  <c r="D193" i="4"/>
  <c r="D192" i="4"/>
  <c r="D190" i="4"/>
  <c r="D189" i="4"/>
  <c r="D188" i="4"/>
  <c r="D187" i="4"/>
  <c r="D186" i="4"/>
  <c r="D185" i="4"/>
  <c r="D184" i="4"/>
  <c r="D183" i="4"/>
  <c r="D181" i="4"/>
  <c r="D180" i="4"/>
  <c r="D179" i="4"/>
  <c r="D178" i="4"/>
  <c r="D177" i="4"/>
  <c r="D176" i="4"/>
  <c r="D175" i="4"/>
  <c r="D174" i="4"/>
  <c r="D172" i="4"/>
  <c r="D171" i="4"/>
  <c r="D170" i="4"/>
  <c r="D168" i="4"/>
  <c r="D167" i="4"/>
  <c r="D166" i="4"/>
  <c r="D164" i="4"/>
  <c r="D163" i="4"/>
  <c r="D162" i="4"/>
  <c r="D156" i="4"/>
  <c r="D155" i="4"/>
  <c r="D154" i="4"/>
  <c r="D152" i="4"/>
  <c r="D151" i="4"/>
  <c r="D150" i="4"/>
  <c r="D149" i="4"/>
  <c r="D148" i="4"/>
  <c r="D147" i="4"/>
  <c r="D146" i="4"/>
  <c r="D144" i="4"/>
  <c r="D143" i="4"/>
  <c r="D142" i="4"/>
  <c r="D139" i="4"/>
  <c r="D138" i="4"/>
  <c r="D137" i="4"/>
  <c r="D136" i="4"/>
  <c r="D132" i="4"/>
  <c r="D131" i="4"/>
  <c r="D129" i="4"/>
  <c r="D128" i="4"/>
  <c r="D127" i="4"/>
  <c r="D126" i="4"/>
  <c r="D124" i="4"/>
  <c r="D123" i="4"/>
  <c r="D121" i="4"/>
  <c r="D119" i="4"/>
  <c r="D118" i="4"/>
  <c r="D117" i="4"/>
  <c r="D116" i="4"/>
  <c r="D115" i="4"/>
  <c r="D114" i="4"/>
  <c r="D113" i="4"/>
  <c r="D110" i="4"/>
  <c r="D109" i="4"/>
  <c r="D108" i="4"/>
  <c r="D107" i="4"/>
  <c r="D106" i="4"/>
  <c r="D104" i="4"/>
  <c r="D103" i="4"/>
  <c r="D102" i="4"/>
  <c r="D101" i="4"/>
  <c r="D100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4" i="4"/>
  <c r="D63" i="4"/>
  <c r="D62" i="4"/>
  <c r="D61" i="4"/>
  <c r="D60" i="4"/>
  <c r="D58" i="4"/>
  <c r="D57" i="4"/>
  <c r="D55" i="4"/>
  <c r="D54" i="4"/>
  <c r="D53" i="4"/>
  <c r="D52" i="4"/>
  <c r="D51" i="4"/>
  <c r="D49" i="4"/>
  <c r="D48" i="4"/>
  <c r="D47" i="4"/>
  <c r="D46" i="4"/>
  <c r="D45" i="4"/>
  <c r="D43" i="4"/>
  <c r="D41" i="4" s="1"/>
  <c r="D40" i="4"/>
  <c r="D39" i="4"/>
  <c r="D38" i="4"/>
  <c r="D37" i="4"/>
  <c r="D34" i="4"/>
  <c r="D33" i="4"/>
  <c r="D32" i="4"/>
  <c r="D31" i="4"/>
  <c r="D29" i="4"/>
  <c r="D28" i="4"/>
  <c r="D140" i="4"/>
  <c r="D111" i="4"/>
  <c r="F1193" i="3" l="1"/>
  <c r="F390" i="2" l="1"/>
  <c r="E1193" i="3"/>
  <c r="E390" i="2" s="1"/>
  <c r="D117" i="1"/>
  <c r="D115" i="1"/>
  <c r="D114" i="1"/>
  <c r="D113" i="1"/>
  <c r="E112" i="1"/>
  <c r="D112" i="1"/>
  <c r="D104" i="1"/>
  <c r="D101" i="1"/>
  <c r="D96" i="1"/>
  <c r="E95" i="1"/>
  <c r="D95" i="1"/>
  <c r="D82" i="1"/>
  <c r="D75" i="1"/>
  <c r="D73" i="1"/>
  <c r="E58" i="1"/>
  <c r="D58" i="1"/>
  <c r="F58" i="1" s="1"/>
  <c r="G58" i="1" s="1"/>
  <c r="D33" i="1"/>
  <c r="E23" i="1"/>
  <c r="D23" i="1"/>
  <c r="D22" i="1"/>
  <c r="E21" i="1"/>
  <c r="D21" i="1"/>
  <c r="E20" i="1"/>
  <c r="D20" i="1"/>
  <c r="F20" i="1" s="1"/>
  <c r="G20" i="1" s="1"/>
  <c r="E19" i="1"/>
  <c r="D19" i="1"/>
  <c r="E15" i="1"/>
  <c r="D15" i="1"/>
  <c r="D14" i="1"/>
  <c r="D13" i="1"/>
  <c r="E12" i="1"/>
  <c r="D12" i="1"/>
  <c r="F12" i="1" l="1"/>
  <c r="G12" i="1" s="1"/>
  <c r="F23" i="1"/>
  <c r="G23" i="1" s="1"/>
  <c r="F95" i="1"/>
  <c r="G95" i="1" s="1"/>
  <c r="F15" i="1"/>
  <c r="G15" i="1" s="1"/>
  <c r="F21" i="1"/>
  <c r="G21" i="1" s="1"/>
  <c r="F112" i="1"/>
  <c r="G112" i="1" s="1"/>
  <c r="F19" i="1"/>
  <c r="G19" i="1" s="1"/>
  <c r="F389" i="2"/>
  <c r="E389" i="2"/>
  <c r="E391" i="2" s="1"/>
  <c r="D133" i="4"/>
  <c r="D130" i="4" s="1"/>
  <c r="D122" i="4"/>
  <c r="D153" i="4"/>
  <c r="E32" i="1"/>
  <c r="D135" i="4"/>
  <c r="D134" i="4" s="1"/>
  <c r="E13" i="1"/>
  <c r="F13" i="1" s="1"/>
  <c r="G13" i="1" s="1"/>
  <c r="E101" i="1"/>
  <c r="F101" i="1" s="1"/>
  <c r="G101" i="1" s="1"/>
  <c r="E14" i="1"/>
  <c r="F14" i="1" s="1"/>
  <c r="G14" i="1" s="1"/>
  <c r="E22" i="1"/>
  <c r="E18" i="1" s="1"/>
  <c r="E33" i="1"/>
  <c r="F33" i="1" s="1"/>
  <c r="G33" i="1" s="1"/>
  <c r="D30" i="4"/>
  <c r="D27" i="4" s="1"/>
  <c r="D26" i="4" s="1"/>
  <c r="D10" i="1" s="1"/>
  <c r="D344" i="4"/>
  <c r="E55" i="1"/>
  <c r="D361" i="4"/>
  <c r="D191" i="4"/>
  <c r="D40" i="1" s="1"/>
  <c r="D202" i="4"/>
  <c r="D201" i="4" s="1"/>
  <c r="D42" i="1" s="1"/>
  <c r="D464" i="4"/>
  <c r="D81" i="1" s="1"/>
  <c r="D480" i="4"/>
  <c r="D84" i="1" s="1"/>
  <c r="E96" i="1"/>
  <c r="E97" i="1" s="1"/>
  <c r="E115" i="1"/>
  <c r="F115" i="1" s="1"/>
  <c r="G115" i="1" s="1"/>
  <c r="D283" i="4"/>
  <c r="D282" i="4" s="1"/>
  <c r="D53" i="1" s="1"/>
  <c r="D456" i="4"/>
  <c r="D79" i="1" s="1"/>
  <c r="D111" i="1"/>
  <c r="D169" i="4"/>
  <c r="E75" i="1"/>
  <c r="F75" i="1" s="1"/>
  <c r="G75" i="1" s="1"/>
  <c r="E82" i="1"/>
  <c r="F82" i="1" s="1"/>
  <c r="G82" i="1" s="1"/>
  <c r="E104" i="1"/>
  <c r="F104" i="1" s="1"/>
  <c r="G104" i="1" s="1"/>
  <c r="E113" i="1"/>
  <c r="F113" i="1" s="1"/>
  <c r="G113" i="1" s="1"/>
  <c r="D347" i="4"/>
  <c r="D402" i="4"/>
  <c r="E73" i="1"/>
  <c r="F73" i="1" s="1"/>
  <c r="G73" i="1" s="1"/>
  <c r="E114" i="1"/>
  <c r="F114" i="1" s="1"/>
  <c r="G114" i="1" s="1"/>
  <c r="E117" i="1"/>
  <c r="F117" i="1" s="1"/>
  <c r="G117" i="1" s="1"/>
  <c r="D97" i="1"/>
  <c r="D18" i="1"/>
  <c r="F18" i="1" s="1"/>
  <c r="G18" i="1" s="1"/>
  <c r="D125" i="4"/>
  <c r="D232" i="4"/>
  <c r="D45" i="1" s="1"/>
  <c r="D271" i="4"/>
  <c r="D51" i="1" s="1"/>
  <c r="D67" i="4"/>
  <c r="D420" i="4"/>
  <c r="D424" i="4"/>
  <c r="D431" i="4"/>
  <c r="D428" i="4" s="1"/>
  <c r="D71" i="1" s="1"/>
  <c r="D443" i="4"/>
  <c r="D76" i="1" s="1"/>
  <c r="D577" i="4"/>
  <c r="D252" i="4"/>
  <c r="D248" i="4" s="1"/>
  <c r="D48" i="1" s="1"/>
  <c r="D50" i="4"/>
  <c r="D397" i="4"/>
  <c r="D68" i="1" s="1"/>
  <c r="D415" i="4"/>
  <c r="D523" i="4"/>
  <c r="D520" i="4" s="1"/>
  <c r="D533" i="4"/>
  <c r="D531" i="4" s="1"/>
  <c r="D238" i="4"/>
  <c r="D46" i="1" s="1"/>
  <c r="D264" i="4"/>
  <c r="D50" i="1" s="1"/>
  <c r="D365" i="4"/>
  <c r="D62" i="1" s="1"/>
  <c r="D368" i="4"/>
  <c r="D63" i="1" s="1"/>
  <c r="D393" i="4"/>
  <c r="D67" i="1" s="1"/>
  <c r="D36" i="4"/>
  <c r="D99" i="4"/>
  <c r="D84" i="4" s="1"/>
  <c r="D317" i="4"/>
  <c r="D381" i="4"/>
  <c r="D493" i="4"/>
  <c r="D497" i="4"/>
  <c r="D503" i="4"/>
  <c r="D514" i="4"/>
  <c r="D16" i="1"/>
  <c r="D105" i="4"/>
  <c r="D29" i="1" s="1"/>
  <c r="D165" i="4"/>
  <c r="D161" i="4" s="1"/>
  <c r="D221" i="4"/>
  <c r="D213" i="4" s="1"/>
  <c r="D44" i="1" s="1"/>
  <c r="D243" i="4"/>
  <c r="D47" i="1" s="1"/>
  <c r="D378" i="4"/>
  <c r="D406" i="4"/>
  <c r="D507" i="4"/>
  <c r="D56" i="4"/>
  <c r="D24" i="1" s="1"/>
  <c r="D145" i="4"/>
  <c r="D32" i="1" s="1"/>
  <c r="D182" i="4"/>
  <c r="D299" i="4"/>
  <c r="D55" i="1" s="1"/>
  <c r="D565" i="4"/>
  <c r="D562" i="4" s="1"/>
  <c r="D141" i="4"/>
  <c r="D31" i="1" s="1"/>
  <c r="D173" i="4"/>
  <c r="D209" i="4"/>
  <c r="D43" i="1" s="1"/>
  <c r="D258" i="4"/>
  <c r="D49" i="1" s="1"/>
  <c r="D277" i="4"/>
  <c r="D52" i="1" s="1"/>
  <c r="D291" i="4"/>
  <c r="D54" i="1" s="1"/>
  <c r="D389" i="4"/>
  <c r="D411" i="4"/>
  <c r="D439" i="4"/>
  <c r="D582" i="4"/>
  <c r="D334" i="4"/>
  <c r="D473" i="4"/>
  <c r="D44" i="4"/>
  <c r="D17" i="1" s="1"/>
  <c r="D59" i="4"/>
  <c r="D25" i="1" s="1"/>
  <c r="D112" i="4"/>
  <c r="D28" i="1" s="1"/>
  <c r="D447" i="4"/>
  <c r="D310" i="4"/>
  <c r="D321" i="4"/>
  <c r="D57" i="1" s="1"/>
  <c r="D354" i="4"/>
  <c r="D548" i="4"/>
  <c r="D553" i="4"/>
  <c r="D551" i="4" s="1"/>
  <c r="F55" i="1" l="1"/>
  <c r="G55" i="1" s="1"/>
  <c r="F22" i="1"/>
  <c r="G22" i="1" s="1"/>
  <c r="F96" i="1"/>
  <c r="G96" i="1" s="1"/>
  <c r="F97" i="1"/>
  <c r="G97" i="1" s="1"/>
  <c r="F32" i="1"/>
  <c r="G32" i="1" s="1"/>
  <c r="F391" i="2"/>
  <c r="D351" i="4"/>
  <c r="D61" i="1" s="1"/>
  <c r="D66" i="4"/>
  <c r="D65" i="4" s="1"/>
  <c r="D91" i="1"/>
  <c r="D90" i="1"/>
  <c r="D11" i="1"/>
  <c r="D518" i="4"/>
  <c r="D516" i="4" s="1"/>
  <c r="E31" i="1"/>
  <c r="F31" i="1" s="1"/>
  <c r="G31" i="1" s="1"/>
  <c r="E29" i="1"/>
  <c r="F29" i="1" s="1"/>
  <c r="G29" i="1" s="1"/>
  <c r="D120" i="4"/>
  <c r="D30" i="1" s="1"/>
  <c r="E16" i="1"/>
  <c r="F16" i="1" s="1"/>
  <c r="G16" i="1" s="1"/>
  <c r="E28" i="1"/>
  <c r="F28" i="1" s="1"/>
  <c r="G28" i="1" s="1"/>
  <c r="E25" i="1"/>
  <c r="F25" i="1" s="1"/>
  <c r="G25" i="1" s="1"/>
  <c r="F34" i="1"/>
  <c r="G34" i="1" s="1"/>
  <c r="E17" i="1"/>
  <c r="F17" i="1" s="1"/>
  <c r="G17" i="1" s="1"/>
  <c r="E90" i="1"/>
  <c r="E24" i="1"/>
  <c r="F24" i="1" s="1"/>
  <c r="G24" i="1" s="1"/>
  <c r="D376" i="4"/>
  <c r="D64" i="1" s="1"/>
  <c r="D331" i="4"/>
  <c r="D463" i="4"/>
  <c r="D69" i="1"/>
  <c r="D80" i="1"/>
  <c r="E60" i="1"/>
  <c r="D307" i="4"/>
  <c r="D56" i="1" s="1"/>
  <c r="E46" i="1"/>
  <c r="F46" i="1" s="1"/>
  <c r="G46" i="1" s="1"/>
  <c r="E40" i="1"/>
  <c r="F40" i="1" s="1"/>
  <c r="G40" i="1" s="1"/>
  <c r="E78" i="1"/>
  <c r="F83" i="1"/>
  <c r="G83" i="1" s="1"/>
  <c r="E44" i="1"/>
  <c r="F44" i="1" s="1"/>
  <c r="G44" i="1" s="1"/>
  <c r="D438" i="4"/>
  <c r="D436" i="4" s="1"/>
  <c r="D74" i="1"/>
  <c r="E49" i="1"/>
  <c r="F49" i="1" s="1"/>
  <c r="G49" i="1" s="1"/>
  <c r="E50" i="1"/>
  <c r="F50" i="1" s="1"/>
  <c r="G50" i="1" s="1"/>
  <c r="D586" i="4"/>
  <c r="D116" i="1"/>
  <c r="E69" i="1"/>
  <c r="E111" i="1"/>
  <c r="F111" i="1" s="1"/>
  <c r="G111" i="1" s="1"/>
  <c r="E81" i="1"/>
  <c r="F81" i="1" s="1"/>
  <c r="G81" i="1" s="1"/>
  <c r="E116" i="1"/>
  <c r="E76" i="1"/>
  <c r="F76" i="1" s="1"/>
  <c r="G76" i="1" s="1"/>
  <c r="E74" i="1"/>
  <c r="E72" i="1" s="1"/>
  <c r="E51" i="1"/>
  <c r="F51" i="1" s="1"/>
  <c r="G51" i="1" s="1"/>
  <c r="E48" i="1"/>
  <c r="F48" i="1" s="1"/>
  <c r="G48" i="1" s="1"/>
  <c r="E52" i="1"/>
  <c r="F52" i="1" s="1"/>
  <c r="G52" i="1" s="1"/>
  <c r="E45" i="1"/>
  <c r="F45" i="1" s="1"/>
  <c r="G45" i="1" s="1"/>
  <c r="D410" i="4"/>
  <c r="E66" i="1"/>
  <c r="E57" i="1"/>
  <c r="F57" i="1" s="1"/>
  <c r="G57" i="1" s="1"/>
  <c r="E67" i="1"/>
  <c r="F67" i="1" s="1"/>
  <c r="G67" i="1" s="1"/>
  <c r="E70" i="1"/>
  <c r="E43" i="1"/>
  <c r="F43" i="1" s="1"/>
  <c r="G43" i="1" s="1"/>
  <c r="D388" i="4"/>
  <c r="D387" i="4" s="1"/>
  <c r="D66" i="1"/>
  <c r="E79" i="1"/>
  <c r="F79" i="1" s="1"/>
  <c r="G79" i="1" s="1"/>
  <c r="E47" i="1"/>
  <c r="F47" i="1" s="1"/>
  <c r="G47" i="1" s="1"/>
  <c r="D419" i="4"/>
  <c r="D401" i="4"/>
  <c r="D70" i="1"/>
  <c r="E62" i="1"/>
  <c r="F62" i="1" s="1"/>
  <c r="G62" i="1" s="1"/>
  <c r="E91" i="1"/>
  <c r="E63" i="1"/>
  <c r="F63" i="1" s="1"/>
  <c r="G63" i="1" s="1"/>
  <c r="E68" i="1"/>
  <c r="F68" i="1" s="1"/>
  <c r="G68" i="1" s="1"/>
  <c r="D446" i="4"/>
  <c r="D78" i="1"/>
  <c r="E84" i="1"/>
  <c r="F84" i="1" s="1"/>
  <c r="G84" i="1" s="1"/>
  <c r="E54" i="1"/>
  <c r="F54" i="1" s="1"/>
  <c r="G54" i="1" s="1"/>
  <c r="D35" i="4"/>
  <c r="D25" i="4" s="1"/>
  <c r="D510" i="4"/>
  <c r="D160" i="4"/>
  <c r="D547" i="4"/>
  <c r="D544" i="4" s="1"/>
  <c r="F70" i="1" l="1"/>
  <c r="G70" i="1" s="1"/>
  <c r="D77" i="1"/>
  <c r="F78" i="1"/>
  <c r="G78" i="1" s="1"/>
  <c r="D41" i="1"/>
  <c r="D72" i="1"/>
  <c r="F72" i="1" s="1"/>
  <c r="G72" i="1" s="1"/>
  <c r="F74" i="1"/>
  <c r="G74" i="1" s="1"/>
  <c r="D9" i="1"/>
  <c r="F66" i="1"/>
  <c r="G66" i="1" s="1"/>
  <c r="F69" i="1"/>
  <c r="G69" i="1" s="1"/>
  <c r="F90" i="1"/>
  <c r="G90" i="1" s="1"/>
  <c r="D118" i="1"/>
  <c r="F116" i="1"/>
  <c r="G116" i="1" s="1"/>
  <c r="F91" i="1"/>
  <c r="G91" i="1" s="1"/>
  <c r="D330" i="4"/>
  <c r="D27" i="1"/>
  <c r="D92" i="1"/>
  <c r="D157" i="4"/>
  <c r="D102" i="1"/>
  <c r="E10" i="1"/>
  <c r="F10" i="1" s="1"/>
  <c r="G10" i="1" s="1"/>
  <c r="E30" i="1"/>
  <c r="F30" i="1" s="1"/>
  <c r="G30" i="1" s="1"/>
  <c r="E11" i="1"/>
  <c r="F11" i="1" s="1"/>
  <c r="G11" i="1" s="1"/>
  <c r="D60" i="1"/>
  <c r="D200" i="4"/>
  <c r="D386" i="4"/>
  <c r="D65" i="1"/>
  <c r="D159" i="4"/>
  <c r="D39" i="1"/>
  <c r="E77" i="1"/>
  <c r="E118" i="1"/>
  <c r="E61" i="1"/>
  <c r="E59" i="1" s="1"/>
  <c r="E42" i="1"/>
  <c r="F42" i="1" s="1"/>
  <c r="G42" i="1" s="1"/>
  <c r="E71" i="1"/>
  <c r="F71" i="1" s="1"/>
  <c r="G71" i="1" s="1"/>
  <c r="D542" i="4"/>
  <c r="D574" i="4" s="1"/>
  <c r="D105" i="1"/>
  <c r="E65" i="1"/>
  <c r="E56" i="1"/>
  <c r="F56" i="1" s="1"/>
  <c r="G56" i="1" s="1"/>
  <c r="E53" i="1"/>
  <c r="F53" i="1" s="1"/>
  <c r="G53" i="1" s="1"/>
  <c r="E92" i="1"/>
  <c r="E80" i="1"/>
  <c r="F80" i="1" s="1"/>
  <c r="G80" i="1" s="1"/>
  <c r="E64" i="1"/>
  <c r="F64" i="1" s="1"/>
  <c r="G64" i="1" s="1"/>
  <c r="F118" i="1" l="1"/>
  <c r="G118" i="1" s="1"/>
  <c r="F92" i="1"/>
  <c r="G92" i="1" s="1"/>
  <c r="F65" i="1"/>
  <c r="G65" i="1" s="1"/>
  <c r="D26" i="1"/>
  <c r="D103" i="1"/>
  <c r="D59" i="1"/>
  <c r="F59" i="1" s="1"/>
  <c r="G59" i="1" s="1"/>
  <c r="F60" i="1"/>
  <c r="G60" i="1" s="1"/>
  <c r="F77" i="1"/>
  <c r="G77" i="1" s="1"/>
  <c r="D38" i="1"/>
  <c r="D100" i="1"/>
  <c r="F61" i="1"/>
  <c r="G61" i="1" s="1"/>
  <c r="D199" i="4"/>
  <c r="D491" i="4" s="1"/>
  <c r="D575" i="4" s="1"/>
  <c r="D587" i="4" s="1"/>
  <c r="E9" i="1"/>
  <c r="F9" i="1" s="1"/>
  <c r="G9" i="1" s="1"/>
  <c r="E27" i="1"/>
  <c r="F27" i="1" s="1"/>
  <c r="G27" i="1" s="1"/>
  <c r="E102" i="1"/>
  <c r="F102" i="1" s="1"/>
  <c r="G102" i="1" s="1"/>
  <c r="E41" i="1"/>
  <c r="F41" i="1" s="1"/>
  <c r="G41" i="1" s="1"/>
  <c r="E39" i="1"/>
  <c r="F39" i="1" s="1"/>
  <c r="G39" i="1" s="1"/>
  <c r="D85" i="1" l="1"/>
  <c r="D106" i="1"/>
  <c r="D35" i="1"/>
  <c r="E100" i="1"/>
  <c r="F100" i="1" s="1"/>
  <c r="G100" i="1" s="1"/>
  <c r="E26" i="1"/>
  <c r="F26" i="1" s="1"/>
  <c r="G26" i="1" s="1"/>
  <c r="E105" i="1"/>
  <c r="F105" i="1" s="1"/>
  <c r="G105" i="1" s="1"/>
  <c r="E38" i="1"/>
  <c r="F38" i="1" s="1"/>
  <c r="G38" i="1" s="1"/>
  <c r="D87" i="1" l="1"/>
  <c r="D108" i="1" s="1"/>
  <c r="E35" i="1"/>
  <c r="F35" i="1" s="1"/>
  <c r="G35" i="1" s="1"/>
  <c r="E103" i="1"/>
  <c r="F103" i="1" s="1"/>
  <c r="G103" i="1" s="1"/>
  <c r="E85" i="1"/>
  <c r="F85" i="1" s="1"/>
  <c r="G85" i="1" s="1"/>
  <c r="D120" i="1" l="1"/>
  <c r="E87" i="1"/>
  <c r="F87" i="1" s="1"/>
  <c r="G87" i="1" s="1"/>
  <c r="E106" i="1"/>
  <c r="F106" i="1" s="1"/>
  <c r="G106" i="1" s="1"/>
  <c r="E108" i="1" l="1"/>
  <c r="F108" i="1" s="1"/>
  <c r="G108" i="1" s="1"/>
  <c r="E120" i="1" l="1"/>
  <c r="F120" i="1" s="1"/>
  <c r="G120" i="1" s="1"/>
  <c r="B7" i="17" l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E8" i="17" l="1"/>
  <c r="G8" i="17"/>
  <c r="E9" i="17"/>
  <c r="G9" i="17"/>
  <c r="D7" i="17"/>
  <c r="E7" i="17"/>
  <c r="F7" i="17"/>
  <c r="G7" i="17"/>
  <c r="D15" i="17"/>
  <c r="E15" i="17"/>
  <c r="F15" i="17"/>
  <c r="G15" i="17"/>
  <c r="D40" i="17"/>
  <c r="E40" i="17"/>
  <c r="F40" i="17"/>
  <c r="G40" i="17"/>
  <c r="D41" i="17"/>
  <c r="E41" i="17"/>
  <c r="F41" i="17"/>
  <c r="G41" i="17"/>
  <c r="D43" i="17" l="1"/>
  <c r="G30" i="17"/>
  <c r="G43" i="17"/>
  <c r="G46" i="17"/>
  <c r="G52" i="17"/>
  <c r="G18" i="17"/>
  <c r="D52" i="17"/>
  <c r="F30" i="17"/>
  <c r="F43" i="17"/>
  <c r="F46" i="17"/>
  <c r="F52" i="17"/>
  <c r="F8" i="17"/>
  <c r="E30" i="17"/>
  <c r="E43" i="17"/>
  <c r="E46" i="17"/>
  <c r="E52" i="17"/>
  <c r="D8" i="17"/>
  <c r="G45" i="17"/>
  <c r="G55" i="17"/>
  <c r="D30" i="17"/>
  <c r="F45" i="17"/>
  <c r="F55" i="17"/>
  <c r="F9" i="17"/>
  <c r="D46" i="17"/>
  <c r="E54" i="17"/>
  <c r="E45" i="17"/>
  <c r="E55" i="17"/>
  <c r="D45" i="17"/>
  <c r="D55" i="17"/>
  <c r="D9" i="17"/>
  <c r="E14" i="17"/>
  <c r="E16" i="17"/>
  <c r="E12" i="17"/>
  <c r="E18" i="17"/>
  <c r="E17" i="17"/>
  <c r="E10" i="17"/>
  <c r="E6" i="17"/>
  <c r="G16" i="17"/>
  <c r="G12" i="17"/>
  <c r="G17" i="17"/>
  <c r="G10" i="17"/>
  <c r="G6" i="17"/>
  <c r="F17" i="17"/>
  <c r="F6" i="17"/>
  <c r="D17" i="17"/>
  <c r="D50" i="17"/>
  <c r="G49" i="17"/>
  <c r="G31" i="17"/>
  <c r="G54" i="17"/>
  <c r="E50" i="17"/>
  <c r="F31" i="17"/>
  <c r="E49" i="17"/>
  <c r="E31" i="17"/>
  <c r="E34" i="17"/>
  <c r="G34" i="17"/>
  <c r="J41" i="17"/>
  <c r="I41" i="17"/>
  <c r="H41" i="17"/>
  <c r="J40" i="17"/>
  <c r="I40" i="17"/>
  <c r="H40" i="17"/>
  <c r="J15" i="17"/>
  <c r="I15" i="17"/>
  <c r="H15" i="17"/>
  <c r="J7" i="17"/>
  <c r="I7" i="17"/>
  <c r="H7" i="17"/>
  <c r="I9" i="17"/>
  <c r="H9" i="17"/>
  <c r="D18" i="17" l="1"/>
  <c r="G48" i="17"/>
  <c r="J43" i="17"/>
  <c r="J30" i="17"/>
  <c r="D49" i="17"/>
  <c r="D54" i="17"/>
  <c r="F18" i="17"/>
  <c r="H52" i="17"/>
  <c r="H8" i="17"/>
  <c r="G39" i="17"/>
  <c r="F48" i="17"/>
  <c r="D10" i="17"/>
  <c r="D13" i="17"/>
  <c r="G13" i="17"/>
  <c r="D12" i="17"/>
  <c r="H55" i="17"/>
  <c r="I52" i="17"/>
  <c r="H45" i="17"/>
  <c r="G42" i="17"/>
  <c r="D34" i="17"/>
  <c r="F34" i="17"/>
  <c r="D6" i="17"/>
  <c r="D16" i="17"/>
  <c r="G14" i="17"/>
  <c r="F44" i="17"/>
  <c r="I55" i="17"/>
  <c r="H43" i="17"/>
  <c r="I45" i="17"/>
  <c r="H30" i="17"/>
  <c r="D39" i="17"/>
  <c r="E44" i="17"/>
  <c r="F39" i="17"/>
  <c r="D14" i="17"/>
  <c r="F14" i="17"/>
  <c r="I43" i="17"/>
  <c r="I30" i="17"/>
  <c r="D28" i="17"/>
  <c r="D31" i="17"/>
  <c r="E13" i="17"/>
  <c r="E51" i="17"/>
  <c r="G51" i="17"/>
  <c r="H46" i="17"/>
  <c r="G36" i="17"/>
  <c r="D42" i="17"/>
  <c r="E39" i="17"/>
  <c r="F42" i="17"/>
  <c r="D44" i="17"/>
  <c r="F10" i="17"/>
  <c r="F13" i="17"/>
  <c r="D51" i="17"/>
  <c r="F51" i="17"/>
  <c r="I8" i="17"/>
  <c r="I46" i="17"/>
  <c r="G44" i="17"/>
  <c r="D48" i="17"/>
  <c r="F12" i="17"/>
  <c r="E42" i="17"/>
  <c r="E48" i="17"/>
  <c r="F16" i="17"/>
  <c r="F54" i="17"/>
  <c r="F49" i="17"/>
  <c r="J9" i="17"/>
  <c r="J8" i="17"/>
  <c r="J52" i="17"/>
  <c r="J46" i="17"/>
  <c r="J45" i="17"/>
  <c r="J55" i="17"/>
  <c r="G11" i="17"/>
  <c r="I6" i="17"/>
  <c r="G37" i="17"/>
  <c r="G27" i="17"/>
  <c r="D29" i="17"/>
  <c r="F28" i="17"/>
  <c r="F29" i="17"/>
  <c r="F27" i="17"/>
  <c r="E29" i="17"/>
  <c r="F47" i="17"/>
  <c r="E28" i="17"/>
  <c r="E36" i="17"/>
  <c r="F36" i="17"/>
  <c r="G29" i="17"/>
  <c r="G26" i="17"/>
  <c r="F26" i="17"/>
  <c r="G28" i="17"/>
  <c r="G47" i="17"/>
  <c r="G50" i="17"/>
  <c r="E47" i="17"/>
  <c r="D27" i="17"/>
  <c r="D47" i="17"/>
  <c r="D26" i="17"/>
  <c r="E27" i="17"/>
  <c r="F50" i="17"/>
  <c r="G33" i="17"/>
  <c r="G32" i="17" s="1"/>
  <c r="E26" i="17"/>
  <c r="K9" i="17"/>
  <c r="I17" i="17"/>
  <c r="L9" i="17"/>
  <c r="L7" i="17"/>
  <c r="L15" i="17"/>
  <c r="J17" i="17"/>
  <c r="K40" i="17"/>
  <c r="H44" i="17"/>
  <c r="H51" i="17"/>
  <c r="I31" i="17"/>
  <c r="K41" i="17"/>
  <c r="L41" i="17"/>
  <c r="L8" i="17"/>
  <c r="H10" i="17"/>
  <c r="K7" i="17"/>
  <c r="H16" i="17"/>
  <c r="K8" i="17"/>
  <c r="K15" i="17"/>
  <c r="H12" i="17"/>
  <c r="H34" i="17"/>
  <c r="H17" i="17"/>
  <c r="H18" i="17"/>
  <c r="L40" i="17"/>
  <c r="H54" i="17"/>
  <c r="H49" i="17"/>
  <c r="J31" i="17"/>
  <c r="H31" i="17"/>
  <c r="I48" i="17" l="1"/>
  <c r="K30" i="17"/>
  <c r="D36" i="17"/>
  <c r="F25" i="17"/>
  <c r="K43" i="17"/>
  <c r="G35" i="17"/>
  <c r="G19" i="17"/>
  <c r="E38" i="17"/>
  <c r="F38" i="17"/>
  <c r="I42" i="17"/>
  <c r="I16" i="17"/>
  <c r="H42" i="17"/>
  <c r="K46" i="17"/>
  <c r="G25" i="17"/>
  <c r="D11" i="17"/>
  <c r="D19" i="17" s="1"/>
  <c r="I34" i="17"/>
  <c r="H39" i="17"/>
  <c r="I13" i="17"/>
  <c r="F37" i="17"/>
  <c r="F35" i="17" s="1"/>
  <c r="F11" i="17"/>
  <c r="F19" i="17" s="1"/>
  <c r="I54" i="17"/>
  <c r="H14" i="17"/>
  <c r="D38" i="17"/>
  <c r="I49" i="17"/>
  <c r="K45" i="17"/>
  <c r="I39" i="17"/>
  <c r="H13" i="17"/>
  <c r="D25" i="17"/>
  <c r="D37" i="17"/>
  <c r="E11" i="17"/>
  <c r="E19" i="17" s="1"/>
  <c r="I18" i="17"/>
  <c r="E33" i="17"/>
  <c r="E32" i="17" s="1"/>
  <c r="H48" i="17"/>
  <c r="L43" i="17"/>
  <c r="G53" i="17"/>
  <c r="I14" i="17"/>
  <c r="I51" i="17"/>
  <c r="K52" i="17"/>
  <c r="I10" i="17"/>
  <c r="K55" i="17"/>
  <c r="F33" i="17"/>
  <c r="F32" i="17" s="1"/>
  <c r="G38" i="17"/>
  <c r="I44" i="17"/>
  <c r="I12" i="17"/>
  <c r="E25" i="17"/>
  <c r="D33" i="17"/>
  <c r="D32" i="17" s="1"/>
  <c r="E37" i="17"/>
  <c r="E35" i="17" s="1"/>
  <c r="J14" i="17"/>
  <c r="J12" i="17"/>
  <c r="J13" i="17"/>
  <c r="J10" i="17"/>
  <c r="J16" i="17"/>
  <c r="J6" i="17"/>
  <c r="J18" i="17"/>
  <c r="L46" i="17"/>
  <c r="J42" i="17"/>
  <c r="L52" i="17"/>
  <c r="L55" i="17"/>
  <c r="J48" i="17"/>
  <c r="J54" i="17"/>
  <c r="J39" i="17"/>
  <c r="L30" i="17"/>
  <c r="J34" i="17"/>
  <c r="L45" i="17"/>
  <c r="J44" i="17"/>
  <c r="J51" i="17"/>
  <c r="J49" i="17"/>
  <c r="K44" i="17"/>
  <c r="L13" i="17"/>
  <c r="K13" i="17"/>
  <c r="H27" i="17"/>
  <c r="K39" i="17"/>
  <c r="L39" i="17"/>
  <c r="L44" i="17"/>
  <c r="J29" i="17"/>
  <c r="J33" i="17"/>
  <c r="I27" i="17"/>
  <c r="I50" i="17"/>
  <c r="L51" i="17"/>
  <c r="J50" i="17"/>
  <c r="I29" i="17"/>
  <c r="J28" i="17"/>
  <c r="J26" i="17"/>
  <c r="L31" i="17"/>
  <c r="K31" i="17"/>
  <c r="H47" i="17"/>
  <c r="H28" i="17"/>
  <c r="L16" i="17"/>
  <c r="K16" i="17"/>
  <c r="H36" i="17"/>
  <c r="K49" i="17"/>
  <c r="L49" i="17"/>
  <c r="I47" i="17"/>
  <c r="I28" i="17"/>
  <c r="K51" i="17"/>
  <c r="L42" i="17"/>
  <c r="K42" i="17"/>
  <c r="L17" i="17"/>
  <c r="K17" i="17"/>
  <c r="L34" i="17"/>
  <c r="K34" i="17"/>
  <c r="L12" i="17"/>
  <c r="K12" i="17"/>
  <c r="L10" i="17"/>
  <c r="K10" i="17"/>
  <c r="L54" i="17"/>
  <c r="K54" i="17"/>
  <c r="H6" i="17"/>
  <c r="J47" i="17"/>
  <c r="H29" i="17"/>
  <c r="J27" i="17"/>
  <c r="I26" i="17"/>
  <c r="L18" i="17"/>
  <c r="K18" i="17"/>
  <c r="H33" i="17"/>
  <c r="H32" i="17" s="1"/>
  <c r="D35" i="17" l="1"/>
  <c r="K48" i="17"/>
  <c r="H38" i="17"/>
  <c r="I38" i="17"/>
  <c r="F53" i="17"/>
  <c r="F56" i="17" s="1"/>
  <c r="F58" i="17" s="1"/>
  <c r="K14" i="17"/>
  <c r="D53" i="17"/>
  <c r="I25" i="17"/>
  <c r="J32" i="17"/>
  <c r="L38" i="17"/>
  <c r="K38" i="17"/>
  <c r="K11" i="17"/>
  <c r="H11" i="17"/>
  <c r="H19" i="17" s="1"/>
  <c r="H37" i="17"/>
  <c r="H35" i="17" s="1"/>
  <c r="E53" i="17"/>
  <c r="E56" i="17" s="1"/>
  <c r="E58" i="17" s="1"/>
  <c r="I33" i="17"/>
  <c r="I32" i="17" s="1"/>
  <c r="I37" i="17"/>
  <c r="I36" i="17"/>
  <c r="I11" i="17"/>
  <c r="I19" i="17" s="1"/>
  <c r="G56" i="17"/>
  <c r="G58" i="17" s="1"/>
  <c r="L14" i="17"/>
  <c r="J11" i="17"/>
  <c r="J19" i="17" s="1"/>
  <c r="J38" i="17"/>
  <c r="J36" i="17"/>
  <c r="J25" i="17"/>
  <c r="J37" i="17"/>
  <c r="L48" i="17"/>
  <c r="K27" i="17"/>
  <c r="L11" i="17"/>
  <c r="L47" i="17"/>
  <c r="K47" i="17"/>
  <c r="H50" i="17"/>
  <c r="K28" i="17"/>
  <c r="L28" i="17"/>
  <c r="L36" i="17"/>
  <c r="K36" i="17"/>
  <c r="L6" i="17"/>
  <c r="K6" i="17"/>
  <c r="H26" i="17"/>
  <c r="H25" i="17" s="1"/>
  <c r="L33" i="17"/>
  <c r="L32" i="17" s="1"/>
  <c r="K33" i="17"/>
  <c r="K32" i="17" s="1"/>
  <c r="L27" i="17"/>
  <c r="L29" i="17"/>
  <c r="K29" i="17"/>
  <c r="D56" i="17" l="1"/>
  <c r="D58" i="17" s="1"/>
  <c r="J53" i="17"/>
  <c r="I35" i="17"/>
  <c r="K19" i="17"/>
  <c r="K37" i="17"/>
  <c r="K35" i="17" s="1"/>
  <c r="I53" i="17"/>
  <c r="J35" i="17"/>
  <c r="L37" i="17"/>
  <c r="L35" i="17" s="1"/>
  <c r="L19" i="17"/>
  <c r="K50" i="17"/>
  <c r="L50" i="17"/>
  <c r="L26" i="17"/>
  <c r="L25" i="17" s="1"/>
  <c r="K26" i="17"/>
  <c r="K25" i="17" s="1"/>
  <c r="J56" i="17" l="1"/>
  <c r="J58" i="17" s="1"/>
  <c r="I56" i="17"/>
  <c r="I58" i="17" s="1"/>
  <c r="H53" i="17"/>
  <c r="H56" i="17" s="1"/>
  <c r="H58" i="17" s="1"/>
  <c r="K53" i="17" l="1"/>
  <c r="K56" i="17" s="1"/>
  <c r="K58" i="17" s="1"/>
  <c r="L53" i="17"/>
  <c r="L56" i="17" s="1"/>
  <c r="L58" i="17" s="1"/>
</calcChain>
</file>

<file path=xl/comments1.xml><?xml version="1.0" encoding="utf-8"?>
<comments xmlns="http://schemas.openxmlformats.org/spreadsheetml/2006/main">
  <authors>
    <author>Biasutti Elisabetta</author>
  </authors>
  <commentList>
    <comment ref="I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45" authorId="0" shapeId="0">
      <text>
        <r>
          <rPr>
            <sz val="9"/>
            <color indexed="81"/>
            <rFont val="Tahoma"/>
            <family val="2"/>
          </rPr>
          <t xml:space="preserve">da compilare in linea con tab. 22 Crediti N.I.
</t>
        </r>
      </text>
    </comment>
    <comment ref="G136" authorId="0" shapeId="0">
      <text>
        <r>
          <rPr>
            <sz val="9"/>
            <color indexed="81"/>
            <rFont val="Tahoma"/>
            <family val="2"/>
          </rPr>
          <t xml:space="preserve">da compilare in linea con tab. 44 Debiti N.I.
</t>
        </r>
      </text>
    </comment>
  </commentList>
</comments>
</file>

<file path=xl/sharedStrings.xml><?xml version="1.0" encoding="utf-8"?>
<sst xmlns="http://schemas.openxmlformats.org/spreadsheetml/2006/main" count="9373" uniqueCount="5460">
  <si>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</si>
  <si>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</si>
  <si>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</si>
  <si>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</si>
  <si>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</si>
  <si>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</si>
  <si>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</si>
  <si>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</si>
  <si>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</si>
  <si>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</si>
  <si>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</si>
  <si>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</si>
  <si>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</si>
  <si>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</si>
  <si>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</si>
  <si>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</si>
  <si>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</si>
  <si>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</si>
  <si>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</si>
  <si>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</si>
  <si>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</si>
  <si>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</si>
  <si>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</si>
  <si>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</si>
  <si>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</si>
  <si>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</si>
  <si>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</si>
  <si>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</si>
  <si>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</si>
  <si>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</si>
  <si>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</si>
  <si>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</si>
  <si>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</si>
  <si>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</si>
  <si>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</si>
  <si>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</si>
  <si>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</si>
  <si>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</si>
  <si>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</si>
  <si>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</si>
  <si>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</si>
  <si>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</si>
  <si>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</si>
  <si>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</si>
  <si>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</si>
  <si>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</si>
  <si>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</si>
  <si>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</si>
  <si>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</si>
  <si>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</si>
  <si>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</si>
  <si>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</si>
  <si>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</si>
  <si>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</si>
  <si>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</si>
  <si>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</si>
  <si>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</si>
  <si>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</si>
  <si>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</si>
  <si>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</si>
  <si>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</si>
  <si>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</si>
  <si>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</si>
  <si>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</si>
  <si>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</si>
  <si>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</si>
  <si>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</si>
  <si>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</si>
  <si>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</si>
  <si>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</si>
  <si>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</si>
  <si>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</si>
  <si>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</si>
  <si>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</si>
  <si>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</si>
  <si>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</si>
  <si>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</si>
  <si>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</si>
  <si>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</si>
  <si>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</si>
  <si>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</si>
  <si>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</si>
  <si>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</si>
  <si>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</si>
  <si>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</si>
  <si>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</si>
  <si>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</si>
  <si>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</si>
  <si>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</si>
  <si>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</si>
  <si>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</si>
  <si>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</si>
  <si>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</si>
  <si>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</si>
  <si>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</si>
  <si>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</si>
  <si>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</si>
  <si>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</si>
  <si>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</si>
  <si>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</si>
  <si>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</si>
  <si>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</si>
  <si>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</si>
  <si>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</si>
  <si>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</si>
  <si>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</si>
  <si>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</si>
  <si>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</si>
  <si>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</si>
  <si>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</si>
  <si>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</si>
  <si>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</si>
  <si>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</si>
  <si>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</si>
  <si>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</si>
  <si>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</si>
  <si>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</si>
  <si>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</si>
  <si>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</si>
  <si>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</si>
  <si>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</si>
  <si>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</si>
  <si>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</si>
  <si>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</si>
  <si>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</si>
  <si>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</si>
  <si>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</si>
  <si>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</si>
  <si>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</si>
  <si>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</si>
  <si>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</si>
  <si>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</si>
  <si>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</si>
  <si>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AA0040</t>
  </si>
  <si>
    <t>Altri contributi da FS regionale vincolati</t>
  </si>
  <si>
    <t>AA0050</t>
  </si>
  <si>
    <t>AA0060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</si>
  <si>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</si>
  <si>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</si>
  <si>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</si>
  <si>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</si>
  <si>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</si>
  <si>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</si>
  <si>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</si>
  <si>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</si>
  <si>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</si>
  <si>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</si>
  <si>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</si>
  <si>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</si>
  <si>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</si>
  <si>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</si>
  <si>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</si>
  <si>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</si>
  <si>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>AA0140</t>
  </si>
  <si>
    <t xml:space="preserve">Contributi da Ministero della Salute  (extra fondo) </t>
  </si>
  <si>
    <t>AA0141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</si>
  <si>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</si>
  <si>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</si>
  <si>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</si>
  <si>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</si>
  <si>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</si>
  <si>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</si>
  <si>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</si>
  <si>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</si>
  <si>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</si>
  <si>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</si>
  <si>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</si>
  <si>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</si>
  <si>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</si>
  <si>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</si>
  <si>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</si>
  <si>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</si>
  <si>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</si>
  <si>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</si>
  <si>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</si>
  <si>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</si>
  <si>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</si>
  <si>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</si>
  <si>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</si>
  <si>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</si>
  <si>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</si>
  <si>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</si>
  <si>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</si>
  <si>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</si>
  <si>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</si>
  <si>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</si>
  <si>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</si>
  <si>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</si>
  <si>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</si>
  <si>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</si>
  <si>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</si>
  <si>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</si>
  <si>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</si>
  <si>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</si>
  <si>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</si>
  <si>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</si>
  <si>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</si>
  <si>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AA0330</t>
  </si>
  <si>
    <t>AA0340</t>
  </si>
  <si>
    <t>Prestazioni di ricovero</t>
  </si>
  <si>
    <t>AA0350</t>
  </si>
  <si>
    <t>Rimborso per prestazioni in regime di ricovero (DRG)</t>
  </si>
  <si>
    <t>AA0360</t>
  </si>
  <si>
    <t>Rimborso per prestazioni ambulatoriali e diagnostiche</t>
  </si>
  <si>
    <t>AA0361</t>
  </si>
  <si>
    <t>AA0370</t>
  </si>
  <si>
    <t>AA0380</t>
  </si>
  <si>
    <t>AA0390</t>
  </si>
  <si>
    <t>AA0400</t>
  </si>
  <si>
    <t>AA0410</t>
  </si>
  <si>
    <t>AA0420</t>
  </si>
  <si>
    <t>AA0421</t>
  </si>
  <si>
    <t>AA0422</t>
  </si>
  <si>
    <t>AA0423</t>
  </si>
  <si>
    <t>AA0424</t>
  </si>
  <si>
    <t>AA0425</t>
  </si>
  <si>
    <t>AA0430</t>
  </si>
  <si>
    <t xml:space="preserve">Ricavi per prestaz. sanitarie e sociosanitarie a rilevanza sanitaria erogate ad altri soggetti pubblici </t>
  </si>
  <si>
    <t>AA0440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</si>
  <si>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</si>
  <si>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</si>
  <si>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</si>
  <si>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</si>
  <si>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</si>
  <si>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</si>
  <si>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AA0471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</si>
  <si>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</si>
  <si>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</si>
  <si>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</si>
  <si>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</si>
  <si>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</si>
  <si>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</si>
  <si>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</si>
  <si>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</si>
  <si>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</si>
  <si>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</si>
  <si>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</si>
  <si>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</si>
  <si>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</si>
  <si>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</si>
  <si>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</si>
  <si>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</si>
  <si>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</si>
  <si>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</si>
  <si>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</si>
  <si>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</si>
  <si>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</si>
  <si>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</si>
  <si>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</si>
  <si>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</si>
  <si>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</si>
  <si>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</si>
  <si>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</si>
  <si>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</si>
  <si>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</si>
  <si>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</si>
  <si>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</si>
  <si>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</si>
  <si>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</si>
  <si>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</si>
  <si>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</si>
  <si>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</si>
  <si>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</si>
  <si>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</si>
  <si>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</si>
  <si>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</si>
  <si>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</si>
  <si>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</si>
  <si>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</si>
  <si>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</si>
  <si>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</si>
  <si>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</si>
  <si>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</si>
  <si>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</si>
  <si>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</si>
  <si>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</si>
  <si>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</si>
  <si>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</si>
  <si>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</si>
  <si>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</si>
  <si>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</si>
  <si>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</si>
  <si>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</si>
  <si>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</si>
  <si>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</si>
  <si>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</si>
  <si>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</si>
  <si>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</si>
  <si>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</si>
  <si>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</si>
  <si>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</si>
  <si>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</si>
  <si>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</si>
  <si>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</si>
  <si>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</si>
  <si>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</si>
  <si>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</si>
  <si>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</si>
  <si>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</si>
  <si>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</si>
  <si>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</si>
  <si>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</si>
  <si>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</si>
  <si>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</si>
  <si>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</si>
  <si>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</si>
  <si>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</si>
  <si>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</si>
  <si>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</si>
  <si>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</si>
  <si>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</si>
  <si>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</si>
  <si>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</si>
  <si>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</si>
  <si>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</si>
  <si>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Rimborsi assicurativi</t>
  </si>
  <si>
    <t>AA0760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</si>
  <si>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</si>
  <si>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</si>
  <si>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</si>
  <si>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</si>
  <si>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</si>
  <si>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</si>
  <si>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</si>
  <si>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</si>
  <si>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AA0830</t>
  </si>
  <si>
    <t>Altri concorsi, recuperi e rimborsi da parte della Regione - GSA</t>
  </si>
  <si>
    <t>AA0831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</si>
  <si>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</si>
  <si>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</si>
  <si>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</si>
  <si>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</si>
  <si>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</si>
  <si>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</si>
  <si>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</si>
  <si>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</si>
  <si>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</si>
  <si>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</si>
  <si>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</si>
  <si>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</si>
  <si>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AA0880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</si>
  <si>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</si>
  <si>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</si>
  <si>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</si>
  <si>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</si>
  <si>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</si>
  <si>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</si>
  <si>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</si>
  <si>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</si>
  <si>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</si>
  <si>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</si>
  <si>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</si>
  <si>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</si>
  <si>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</si>
  <si>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</si>
  <si>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</si>
  <si>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</si>
  <si>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</si>
  <si>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</si>
  <si>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</si>
  <si>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</si>
  <si>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</si>
  <si>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</si>
  <si>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</si>
  <si>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</si>
  <si>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</si>
  <si>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</si>
  <si>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</si>
  <si>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</si>
  <si>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</si>
  <si>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</si>
  <si>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</si>
  <si>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</si>
  <si>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</si>
  <si>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</si>
  <si>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</si>
  <si>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</si>
  <si>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</si>
  <si>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</si>
  <si>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</si>
  <si>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</si>
  <si>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</si>
  <si>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</si>
  <si>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</si>
  <si>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</si>
  <si>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AA1070</t>
  </si>
  <si>
    <t>Differenze alberghiere camere speciali</t>
  </si>
  <si>
    <t>Cessione liquidi di fissaggio, rottami e materiali diversi</t>
  </si>
  <si>
    <t>Altri ricavi per prestazioni non sanitarie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</si>
  <si>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</si>
  <si>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</si>
  <si>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</si>
  <si>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</si>
  <si>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</si>
  <si>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</si>
  <si>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</si>
  <si>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</si>
  <si>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CA0010</t>
  </si>
  <si>
    <t>Interessi attivi su c/tesoreria unica</t>
  </si>
  <si>
    <t>CA0020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</si>
  <si>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</si>
  <si>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</si>
  <si>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</si>
  <si>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</si>
  <si>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</si>
  <si>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</si>
  <si>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</si>
  <si>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</si>
  <si>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</si>
  <si>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</si>
  <si>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</si>
  <si>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</si>
  <si>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</si>
  <si>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</si>
  <si>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</si>
  <si>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</si>
  <si>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</si>
  <si>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</si>
  <si>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</si>
  <si>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</si>
  <si>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</si>
  <si>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</si>
  <si>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</si>
  <si>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</si>
  <si>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</si>
  <si>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</si>
  <si>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</si>
  <si>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</si>
  <si>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</si>
  <si>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</si>
  <si>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</si>
  <si>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</si>
  <si>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</si>
  <si>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</si>
  <si>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</si>
  <si>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</si>
  <si>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</si>
  <si>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</si>
  <si>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</si>
  <si>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</si>
  <si>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</si>
  <si>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</si>
  <si>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</si>
  <si>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</si>
  <si>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</si>
  <si>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</si>
  <si>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>Insussistenze attive v/Aziende sanitarie pubbliche della Regione</t>
  </si>
  <si>
    <t>EA0160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</si>
  <si>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</si>
  <si>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</si>
  <si>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</si>
  <si>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</si>
  <si>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</si>
  <si>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</si>
  <si>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</si>
  <si>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</si>
  <si>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</si>
  <si>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</si>
  <si>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</si>
  <si>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</si>
  <si>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</si>
  <si>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</si>
  <si>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</si>
  <si>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BA0010</t>
  </si>
  <si>
    <t>BA0020</t>
  </si>
  <si>
    <t>BA0030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</si>
  <si>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</si>
  <si>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</si>
  <si>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</si>
  <si>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</si>
  <si>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</si>
  <si>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</si>
  <si>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</si>
  <si>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</si>
  <si>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</si>
  <si>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</si>
  <si>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</si>
  <si>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</si>
  <si>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</si>
  <si>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BA0070</t>
  </si>
  <si>
    <t>BA0080</t>
  </si>
  <si>
    <t>BA0090</t>
  </si>
  <si>
    <t>da altri soggetti</t>
  </si>
  <si>
    <t>BA0100</t>
  </si>
  <si>
    <t>Dispositivi medici</t>
  </si>
  <si>
    <t>BA0210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</si>
  <si>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</si>
  <si>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</si>
  <si>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</si>
  <si>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</si>
  <si>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</si>
  <si>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</si>
  <si>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</si>
  <si>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</si>
  <si>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</si>
  <si>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</si>
  <si>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</si>
  <si>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</si>
  <si>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</si>
  <si>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</si>
  <si>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</si>
  <si>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BA0300</t>
  </si>
  <si>
    <t>BA0301</t>
  </si>
  <si>
    <t>BA0303</t>
  </si>
  <si>
    <t>BA0304</t>
  </si>
  <si>
    <t>BA0305</t>
  </si>
  <si>
    <t>BA0306</t>
  </si>
  <si>
    <t>BA0307</t>
  </si>
  <si>
    <t>BA0308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</si>
  <si>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</si>
  <si>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</si>
  <si>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</si>
  <si>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</si>
  <si>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</si>
  <si>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</si>
  <si>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</si>
  <si>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BA0350</t>
  </si>
  <si>
    <t>Cancelleria e stampati</t>
  </si>
  <si>
    <t>Materiali di consumo per l'informatica</t>
  </si>
  <si>
    <t>Materiale didattico, audiovisivo e fotografico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</si>
  <si>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</si>
  <si>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</si>
  <si>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</si>
  <si>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</si>
  <si>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</si>
  <si>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BA0380</t>
  </si>
  <si>
    <t>BA0390</t>
  </si>
  <si>
    <t>BA0400</t>
  </si>
  <si>
    <t>BA0410</t>
  </si>
  <si>
    <t>BA0420</t>
  </si>
  <si>
    <t>BA0430</t>
  </si>
  <si>
    <t>BA0440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</si>
  <si>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</si>
  <si>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</si>
  <si>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</si>
  <si>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</si>
  <si>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</si>
  <si>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</si>
  <si>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</si>
  <si>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</si>
  <si>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</si>
  <si>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</si>
  <si>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</si>
  <si>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</si>
  <si>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</si>
  <si>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</si>
  <si>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BA0460</t>
  </si>
  <si>
    <t>Medicina fiscale</t>
  </si>
  <si>
    <t>BA0470</t>
  </si>
  <si>
    <t>BA0480</t>
  </si>
  <si>
    <t>BA0490</t>
  </si>
  <si>
    <t>BA0500</t>
  </si>
  <si>
    <t>Prodotti farmaceutici e galenici</t>
  </si>
  <si>
    <t>Contributi farmacie rurali ed Enpaf</t>
  </si>
  <si>
    <t>BA0510</t>
  </si>
  <si>
    <t>BA0520</t>
  </si>
  <si>
    <t>BA0530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</si>
  <si>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</si>
  <si>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</si>
  <si>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</si>
  <si>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</si>
  <si>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</si>
  <si>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</si>
  <si>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</si>
  <si>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</si>
  <si>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</si>
  <si>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</si>
  <si>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</si>
  <si>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</si>
  <si>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</si>
  <si>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BA0570</t>
  </si>
  <si>
    <t>BA0580</t>
  </si>
  <si>
    <t>Servizi sanitari per assistenza specialistica da IRCCS privati e Policlinici privati</t>
  </si>
  <si>
    <t>BA0590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</si>
  <si>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</si>
  <si>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</si>
  <si>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</si>
  <si>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</si>
  <si>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</si>
  <si>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</si>
  <si>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</si>
  <si>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</si>
  <si>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</si>
  <si>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</si>
  <si>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</si>
  <si>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</si>
  <si>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</si>
  <si>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</si>
  <si>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</si>
  <si>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</si>
  <si>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BA0640</t>
  </si>
  <si>
    <t>BA0650</t>
  </si>
  <si>
    <t>BA0660</t>
  </si>
  <si>
    <t>BA0670</t>
  </si>
  <si>
    <t>BA0680</t>
  </si>
  <si>
    <t>BA0690</t>
  </si>
  <si>
    <t>BA0700</t>
  </si>
  <si>
    <t>BA0710</t>
  </si>
  <si>
    <t>BA0720</t>
  </si>
  <si>
    <t>BA0730</t>
  </si>
  <si>
    <t>BA0740</t>
  </si>
  <si>
    <t>AFIR farmacie convenzionate</t>
  </si>
  <si>
    <t>Fornitura ausilii per incontinenti</t>
  </si>
  <si>
    <t>Ossigeno terapia domiciliare</t>
  </si>
  <si>
    <t>AFIR altro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</si>
  <si>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</si>
  <si>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</si>
  <si>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</si>
  <si>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</si>
  <si>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</si>
  <si>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</si>
  <si>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</si>
  <si>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</si>
  <si>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</si>
  <si>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</si>
  <si>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</si>
  <si>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</si>
  <si>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</si>
  <si>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</si>
  <si>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</si>
  <si>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</si>
  <si>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</si>
  <si>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</si>
  <si>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</si>
  <si>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</si>
  <si>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</si>
  <si>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</si>
  <si>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</si>
  <si>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</si>
  <si>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BA0900</t>
  </si>
  <si>
    <t>BA0910</t>
  </si>
  <si>
    <t>BA0920</t>
  </si>
  <si>
    <t>BA0930</t>
  </si>
  <si>
    <t>BA0940</t>
  </si>
  <si>
    <t>BA0950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</si>
  <si>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</si>
  <si>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</si>
  <si>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</si>
  <si>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</si>
  <si>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</si>
  <si>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</si>
  <si>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</si>
  <si>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BA1010</t>
  </si>
  <si>
    <t>BA1020</t>
  </si>
  <si>
    <t>BA1030</t>
  </si>
  <si>
    <t>BA1040</t>
  </si>
  <si>
    <t>BA1050</t>
  </si>
  <si>
    <t>BA1060</t>
  </si>
  <si>
    <t>BA1070</t>
  </si>
  <si>
    <t>BA1080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</si>
  <si>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</si>
  <si>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</si>
  <si>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</si>
  <si>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</si>
  <si>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</si>
  <si>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</si>
  <si>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</si>
  <si>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</si>
  <si>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</si>
  <si>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BA1140</t>
  </si>
  <si>
    <t>BA1150</t>
  </si>
  <si>
    <t>Assistenza domiciliare integrata (ADI)</t>
  </si>
  <si>
    <t>BA1151</t>
  </si>
  <si>
    <t>BA1152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</si>
  <si>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</si>
  <si>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</si>
  <si>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</si>
  <si>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</si>
  <si>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</si>
  <si>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>BA1161</t>
  </si>
  <si>
    <t>BA1170</t>
  </si>
  <si>
    <t>BA1180</t>
  </si>
  <si>
    <t>Conv. per ass. ostetrica ed infermieristica</t>
  </si>
  <si>
    <t>Conv. per ass. domiciliare -ADI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</si>
  <si>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</si>
  <si>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</si>
  <si>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</si>
  <si>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</si>
  <si>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</si>
  <si>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</si>
  <si>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</si>
  <si>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</si>
  <si>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</si>
  <si>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</si>
  <si>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</si>
  <si>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</si>
  <si>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</si>
  <si>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</si>
  <si>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</si>
  <si>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BA1250</t>
  </si>
  <si>
    <t>BA1260</t>
  </si>
  <si>
    <t>Consulenze a favore di terzi, rimborsate Dirigenza ruolo professionale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</si>
  <si>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</si>
  <si>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</si>
  <si>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</si>
  <si>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>Personale di supporto diretto e indiretto</t>
  </si>
  <si>
    <t>Quota di perequazione</t>
  </si>
  <si>
    <t>BA1270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</si>
  <si>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</si>
  <si>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</si>
  <si>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</si>
  <si>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</si>
  <si>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</si>
  <si>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</si>
  <si>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</si>
  <si>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</si>
  <si>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</si>
  <si>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</si>
  <si>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</si>
  <si>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</si>
  <si>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</si>
  <si>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</si>
  <si>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</si>
  <si>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</si>
  <si>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</si>
  <si>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</si>
  <si>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</si>
  <si>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</si>
  <si>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</si>
  <si>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</si>
  <si>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</si>
  <si>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</si>
  <si>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</si>
  <si>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</si>
  <si>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</si>
  <si>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</si>
  <si>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</si>
  <si>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</si>
  <si>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BA1380</t>
  </si>
  <si>
    <t>Consulenze sanitarie da privato - articolo 55, comma 2, CCNL 8 giugno 2000</t>
  </si>
  <si>
    <t>BA1390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</si>
  <si>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</si>
  <si>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</si>
  <si>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</si>
  <si>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</si>
  <si>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</si>
  <si>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</si>
  <si>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</si>
  <si>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</si>
  <si>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</si>
  <si>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>BA1420</t>
  </si>
  <si>
    <t>BA1430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</si>
  <si>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</si>
  <si>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</si>
  <si>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</si>
  <si>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</si>
  <si>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</si>
  <si>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</si>
  <si>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</si>
  <si>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</si>
  <si>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</si>
  <si>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</si>
  <si>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</si>
  <si>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</si>
  <si>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</si>
  <si>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</si>
  <si>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</si>
  <si>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</si>
  <si>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</si>
  <si>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</si>
  <si>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</si>
  <si>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</si>
  <si>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</si>
  <si>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</si>
  <si>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</si>
  <si>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</si>
  <si>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</si>
  <si>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</si>
  <si>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</si>
  <si>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</si>
  <si>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</si>
  <si>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</si>
  <si>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</si>
  <si>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</si>
  <si>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</si>
  <si>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</si>
  <si>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</si>
  <si>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>BA1570</t>
  </si>
  <si>
    <t>Lavanderia</t>
  </si>
  <si>
    <t>BA1580</t>
  </si>
  <si>
    <t>Pulizia</t>
  </si>
  <si>
    <t>BA1590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</si>
  <si>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</si>
  <si>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</si>
  <si>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</si>
  <si>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</si>
  <si>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</si>
  <si>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</si>
  <si>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</si>
  <si>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</si>
  <si>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</si>
  <si>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</si>
  <si>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</si>
  <si>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</si>
  <si>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</si>
  <si>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</si>
  <si>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</si>
  <si>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</si>
  <si>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</si>
  <si>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</si>
  <si>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</si>
  <si>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</si>
  <si>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</si>
  <si>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</si>
  <si>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</si>
  <si>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</si>
  <si>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</si>
  <si>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</si>
  <si>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BA1680</t>
  </si>
  <si>
    <t>BA1690</t>
  </si>
  <si>
    <t>Premi di assicurazione - Altri premi assicurativi</t>
  </si>
  <si>
    <t>BA1700</t>
  </si>
  <si>
    <t>BA1710</t>
  </si>
  <si>
    <t>Altri servizi non sanitari da pubblico (Aziende sanitarie pubbliche della Regione)</t>
  </si>
  <si>
    <t>BA1720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</si>
  <si>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</si>
  <si>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</si>
  <si>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</si>
  <si>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</si>
  <si>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</si>
  <si>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</si>
  <si>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</si>
  <si>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</si>
  <si>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</si>
  <si>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</si>
  <si>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</si>
  <si>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</si>
  <si>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</si>
  <si>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</si>
  <si>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</si>
  <si>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</si>
  <si>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</si>
  <si>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</si>
  <si>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</si>
  <si>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</si>
  <si>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</si>
  <si>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</si>
  <si>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</si>
  <si>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</si>
  <si>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BA1780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</si>
  <si>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</si>
  <si>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</si>
  <si>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</si>
  <si>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</si>
  <si>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</si>
  <si>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</si>
  <si>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</si>
  <si>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</si>
  <si>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>BA1810</t>
  </si>
  <si>
    <t>BA1820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</si>
  <si>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</si>
  <si>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</si>
  <si>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</si>
  <si>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</si>
  <si>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</si>
  <si>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BA1831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</si>
  <si>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</si>
  <si>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</si>
  <si>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</si>
  <si>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</si>
  <si>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</si>
  <si>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</si>
  <si>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</si>
  <si>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</si>
  <si>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</si>
  <si>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</si>
  <si>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</si>
  <si>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</si>
  <si>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ai fabbricati e loro pertinenze</t>
  </si>
  <si>
    <t>BA1920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</si>
  <si>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</si>
  <si>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</si>
  <si>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</si>
  <si>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</si>
  <si>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</si>
  <si>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</si>
  <si>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</si>
  <si>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</si>
  <si>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</si>
  <si>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</si>
  <si>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</si>
  <si>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</si>
  <si>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</si>
  <si>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</si>
  <si>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</si>
  <si>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</si>
  <si>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</si>
  <si>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BA2000</t>
  </si>
  <si>
    <t>Locazioni passive</t>
  </si>
  <si>
    <t>Spese condominiali</t>
  </si>
  <si>
    <t>BA2010</t>
  </si>
  <si>
    <t>Canoni di noleggio - area sanitaria</t>
  </si>
  <si>
    <t>BA2020</t>
  </si>
  <si>
    <t>BA2030</t>
  </si>
  <si>
    <t>Canoni hardware e software</t>
  </si>
  <si>
    <t>Canoni fotocopiatrici</t>
  </si>
  <si>
    <t>Canoni noleggio automezzi</t>
  </si>
  <si>
    <t>Canoni noleggio altro</t>
  </si>
  <si>
    <t>BA2040</t>
  </si>
  <si>
    <t>BA2050</t>
  </si>
  <si>
    <t>BA2060</t>
  </si>
  <si>
    <t>Canoni di project financing</t>
  </si>
  <si>
    <t>BA2061</t>
  </si>
  <si>
    <t>Locazioni e noleggi da Aziende sanitarie pubbliche della Regione</t>
  </si>
  <si>
    <t>BA2070</t>
  </si>
  <si>
    <t>BA2090</t>
  </si>
  <si>
    <t>BA2100</t>
  </si>
  <si>
    <t>BA2110</t>
  </si>
  <si>
    <t>BA2120</t>
  </si>
  <si>
    <t>BA2130</t>
  </si>
  <si>
    <t>Costo del personale dirigente medico - altro</t>
  </si>
  <si>
    <t>BA2140</t>
  </si>
  <si>
    <t>BA2150</t>
  </si>
  <si>
    <t>BA2160</t>
  </si>
  <si>
    <t>BA2170</t>
  </si>
  <si>
    <t>BA2180</t>
  </si>
  <si>
    <t>BA2190</t>
  </si>
  <si>
    <t>BA2200</t>
  </si>
  <si>
    <t>BA2210</t>
  </si>
  <si>
    <t>Costo del personale comparto ruolo sanitario - altro</t>
  </si>
  <si>
    <t>BA2220</t>
  </si>
  <si>
    <t>BA2230</t>
  </si>
  <si>
    <t>BA2240</t>
  </si>
  <si>
    <t>BA2250</t>
  </si>
  <si>
    <t>BA2260</t>
  </si>
  <si>
    <t>Costo del personale dirigente ruolo professionale - altro</t>
  </si>
  <si>
    <t>BA2270</t>
  </si>
  <si>
    <t>BA2280</t>
  </si>
  <si>
    <t>BA2290</t>
  </si>
  <si>
    <t>BA2300</t>
  </si>
  <si>
    <t>Costo del personale comparto ruolo professionale - altro</t>
  </si>
  <si>
    <t>BA2310</t>
  </si>
  <si>
    <t>BA2320</t>
  </si>
  <si>
    <t>BA2330</t>
  </si>
  <si>
    <t>BA2340</t>
  </si>
  <si>
    <t>BA2350</t>
  </si>
  <si>
    <t>Costo del personale dirigente ruolo tecnico - altro</t>
  </si>
  <si>
    <t>BA2360</t>
  </si>
  <si>
    <t>BA2370</t>
  </si>
  <si>
    <t>BA2380</t>
  </si>
  <si>
    <t>BA2390</t>
  </si>
  <si>
    <t>Costo del personale comparto ruolo tecnico - altro</t>
  </si>
  <si>
    <t>BA2400</t>
  </si>
  <si>
    <t>BA2410</t>
  </si>
  <si>
    <t>BA2420</t>
  </si>
  <si>
    <t>BA2430</t>
  </si>
  <si>
    <t>BA2440</t>
  </si>
  <si>
    <t>Costo del personale dirigente ruolo amministrativo - altro</t>
  </si>
  <si>
    <t>BA2450</t>
  </si>
  <si>
    <t>BA2460</t>
  </si>
  <si>
    <t>BA2470</t>
  </si>
  <si>
    <t>BA2480</t>
  </si>
  <si>
    <t>Costo del personale comparto ruolo amministrativo - altro</t>
  </si>
  <si>
    <t>BA2490</t>
  </si>
  <si>
    <t>BA2500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</si>
  <si>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</si>
  <si>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</si>
  <si>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</si>
  <si>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</si>
  <si>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</si>
  <si>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</si>
  <si>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</si>
  <si>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</si>
  <si>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</si>
  <si>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</si>
  <si>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</si>
  <si>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</si>
  <si>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BA2540</t>
  </si>
  <si>
    <t>Compensi agli organi direttivi e di indirizzo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</si>
  <si>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</si>
  <si>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</si>
  <si>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</si>
  <si>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</si>
  <si>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</si>
  <si>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</si>
  <si>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</si>
  <si>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</si>
  <si>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</si>
  <si>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</si>
  <si>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</si>
  <si>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</si>
  <si>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BA2570</t>
  </si>
  <si>
    <t>Ammortamento Costi di impianto e ampliamento</t>
  </si>
  <si>
    <t>Ammortamento Costi di ricerca, sviluppo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</si>
  <si>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</si>
  <si>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</si>
  <si>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</si>
  <si>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</si>
  <si>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</si>
  <si>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BA2580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</si>
  <si>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</si>
  <si>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</si>
  <si>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</si>
  <si>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</si>
  <si>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</si>
  <si>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</si>
  <si>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</si>
  <si>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</si>
  <si>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</si>
  <si>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</si>
  <si>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</si>
  <si>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BA2630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</si>
  <si>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</si>
  <si>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</si>
  <si>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</si>
  <si>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</si>
  <si>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</si>
  <si>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</si>
  <si>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</si>
  <si>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</si>
  <si>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</si>
  <si>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</si>
  <si>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</si>
  <si>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</si>
  <si>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</si>
  <si>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</si>
  <si>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>Svalutazione oggetti d'arte</t>
  </si>
  <si>
    <t>Svalutazione altre immobilizzazioni materiali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</si>
  <si>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</si>
  <si>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</si>
  <si>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</si>
  <si>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</si>
  <si>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</si>
  <si>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</si>
  <si>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</si>
  <si>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</si>
  <si>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</si>
  <si>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</si>
  <si>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</si>
  <si>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</si>
  <si>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</si>
  <si>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</si>
  <si>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</si>
  <si>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</si>
  <si>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</si>
  <si>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</si>
  <si>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</si>
  <si>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</si>
  <si>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</si>
  <si>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</si>
  <si>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</si>
  <si>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</si>
  <si>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</si>
  <si>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</si>
  <si>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</si>
  <si>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</si>
  <si>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</si>
  <si>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</si>
  <si>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</si>
  <si>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</si>
  <si>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</si>
  <si>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</si>
  <si>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</si>
  <si>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</si>
  <si>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</si>
  <si>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</si>
  <si>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</si>
  <si>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</si>
  <si>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</si>
  <si>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</si>
  <si>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</si>
  <si>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</si>
  <si>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</si>
  <si>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</si>
  <si>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</si>
  <si>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</si>
  <si>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</si>
  <si>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</si>
  <si>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</si>
  <si>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</si>
  <si>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</si>
  <si>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BA2680</t>
  </si>
  <si>
    <t>BA2681</t>
  </si>
  <si>
    <t>BA2682</t>
  </si>
  <si>
    <t>BA2683</t>
  </si>
  <si>
    <t>BA2684</t>
  </si>
  <si>
    <t>BA2685</t>
  </si>
  <si>
    <t>BA2686</t>
  </si>
  <si>
    <t>BA2690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</si>
  <si>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</si>
  <si>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</si>
  <si>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</si>
  <si>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</si>
  <si>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</si>
  <si>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</si>
  <si>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</si>
  <si>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</si>
  <si>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</si>
  <si>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</si>
  <si>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</si>
  <si>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</si>
  <si>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</si>
  <si>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</si>
  <si>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</si>
  <si>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</si>
  <si>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</si>
  <si>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BA2760</t>
  </si>
  <si>
    <t>Accantonamento al fondo SUMAI - Specialisti ambulatoriali</t>
  </si>
  <si>
    <t>Accantonamento al fondo SUMAI - altre professioni</t>
  </si>
  <si>
    <t>BA2770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</si>
  <si>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</si>
  <si>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</si>
  <si>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</si>
  <si>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</si>
  <si>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</si>
  <si>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</si>
  <si>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</si>
  <si>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</si>
  <si>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</si>
  <si>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</si>
  <si>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</si>
  <si>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</si>
  <si>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</si>
  <si>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</si>
  <si>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</si>
  <si>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</si>
  <si>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</si>
  <si>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</si>
  <si>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</si>
  <si>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</si>
  <si>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</si>
  <si>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</si>
  <si>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</si>
  <si>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</si>
  <si>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</si>
  <si>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</si>
  <si>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</si>
  <si>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</si>
  <si>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</si>
  <si>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</si>
  <si>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</si>
  <si>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</si>
  <si>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</si>
  <si>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</si>
  <si>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</si>
  <si>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</si>
  <si>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</si>
  <si>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</si>
  <si>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</si>
  <si>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</si>
  <si>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</si>
  <si>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</si>
  <si>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</si>
  <si>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</si>
  <si>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</si>
  <si>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</si>
  <si>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</si>
  <si>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</si>
  <si>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</si>
  <si>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</si>
  <si>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</si>
  <si>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</si>
  <si>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</si>
  <si>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</si>
  <si>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</si>
  <si>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EA0310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</si>
  <si>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</si>
  <si>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</si>
  <si>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</si>
  <si>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</si>
  <si>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</si>
  <si>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EA0350</t>
  </si>
  <si>
    <t>Sopravvenienze passive v/terzi relative alla mobilità extraregionale</t>
  </si>
  <si>
    <t>EA0360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</si>
  <si>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</si>
  <si>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</si>
  <si>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</si>
  <si>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</si>
  <si>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</si>
  <si>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</si>
  <si>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</si>
  <si>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</si>
  <si>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</si>
  <si>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</si>
  <si>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</si>
  <si>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</si>
  <si>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</si>
  <si>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</si>
  <si>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</si>
  <si>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</si>
  <si>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</si>
  <si>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</si>
  <si>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</si>
  <si>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</si>
  <si>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</si>
  <si>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</si>
  <si>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</si>
  <si>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</si>
  <si>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</si>
  <si>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</si>
  <si>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</si>
  <si>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</si>
  <si>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</si>
  <si>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</si>
  <si>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</si>
  <si>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</si>
  <si>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</si>
  <si>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</si>
  <si>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</si>
  <si>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</si>
  <si>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</si>
  <si>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</si>
  <si>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</si>
  <si>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</si>
  <si>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</si>
  <si>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</si>
  <si>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</si>
  <si>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</si>
  <si>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</si>
  <si>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</si>
  <si>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</si>
  <si>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</si>
  <si>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</si>
  <si>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</si>
  <si>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</si>
  <si>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</si>
  <si>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</si>
  <si>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</si>
  <si>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</si>
  <si>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</si>
  <si>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</si>
  <si>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</si>
  <si>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</si>
  <si>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</si>
  <si>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</si>
  <si>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CONSUNTIVO</t>
  </si>
  <si>
    <t>APPROVAZIONE BILANCIO DA PARTE DEL COLLEGIO SINDACALE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</si>
  <si>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</si>
  <si>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</si>
  <si>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</si>
  <si>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</si>
  <si>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</si>
  <si>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</si>
  <si>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</si>
  <si>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</si>
  <si>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</si>
  <si>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</si>
  <si>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</si>
  <si>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</si>
  <si>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</si>
  <si>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</si>
  <si>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</si>
  <si>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</si>
  <si>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</si>
  <si>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</si>
  <si>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</si>
  <si>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</si>
  <si>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</si>
  <si>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</si>
  <si>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</si>
  <si>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</si>
  <si>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</si>
  <si>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</si>
  <si>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</si>
  <si>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</si>
  <si>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</si>
  <si>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</si>
  <si>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</si>
  <si>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</si>
  <si>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</si>
  <si>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</si>
  <si>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</si>
  <si>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</si>
  <si>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</si>
  <si>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</si>
  <si>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</si>
  <si>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</si>
  <si>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</si>
  <si>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</si>
  <si>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</si>
  <si>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</si>
  <si>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</si>
  <si>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</si>
  <si>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</si>
  <si>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</si>
  <si>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</si>
  <si>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</si>
  <si>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</si>
  <si>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</si>
  <si>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</si>
  <si>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</si>
  <si>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</si>
  <si>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</si>
  <si>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</si>
  <si>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</si>
  <si>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</si>
  <si>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</si>
  <si>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</si>
  <si>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</si>
  <si>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</si>
  <si>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</si>
  <si>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</si>
  <si>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</si>
  <si>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</si>
  <si>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</si>
  <si>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</si>
  <si>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</si>
  <si>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</si>
  <si>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</si>
  <si>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</si>
  <si>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</si>
  <si>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</si>
  <si>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</si>
  <si>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</si>
  <si>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</si>
  <si>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</si>
  <si>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</si>
  <si>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</si>
  <si>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</si>
  <si>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</si>
  <si>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</si>
  <si>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</si>
  <si>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</si>
  <si>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</si>
  <si>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</si>
  <si>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</si>
  <si>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</si>
  <si>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</si>
  <si>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</si>
  <si>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</si>
  <si>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</si>
  <si>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</si>
  <si>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</si>
  <si>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</si>
  <si>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</si>
  <si>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</si>
  <si>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</si>
  <si>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</si>
  <si>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</si>
  <si>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</si>
  <si>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</si>
  <si>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</si>
  <si>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</si>
  <si>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</si>
  <si>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</si>
  <si>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</si>
  <si>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</si>
  <si>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</si>
  <si>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</si>
  <si>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</si>
  <si>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</si>
  <si>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</si>
  <si>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</si>
  <si>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</si>
  <si>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</si>
  <si>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</si>
  <si>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</si>
  <si>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</si>
  <si>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</si>
  <si>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</si>
  <si>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</si>
  <si>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</si>
  <si>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</si>
  <si>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</si>
  <si>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</si>
  <si>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</si>
  <si>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</si>
  <si>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</si>
  <si>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</si>
  <si>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</si>
  <si>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</si>
  <si>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</si>
  <si>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</si>
  <si>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</si>
  <si>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</si>
  <si>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</si>
  <si>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</si>
  <si>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</si>
  <si>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</si>
  <si>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</si>
  <si>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</si>
  <si>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</si>
  <si>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</si>
  <si>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</si>
  <si>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</si>
  <si>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</si>
  <si>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</si>
  <si>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</si>
  <si>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</si>
  <si>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</si>
  <si>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</si>
  <si>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</si>
  <si>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</si>
  <si>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</si>
  <si>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</si>
  <si>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</si>
  <si>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</si>
  <si>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</si>
  <si>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</si>
  <si>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</si>
  <si>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</si>
  <si>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</si>
  <si>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</si>
  <si>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</si>
  <si>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</si>
  <si>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</si>
  <si>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</si>
  <si>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</si>
  <si>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</si>
  <si>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</si>
  <si>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</si>
  <si>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</si>
  <si>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</si>
  <si>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</si>
  <si>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</si>
  <si>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</si>
  <si>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</si>
  <si>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</si>
  <si>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</si>
  <si>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</si>
  <si>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</si>
  <si>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</si>
  <si>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</si>
  <si>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</si>
  <si>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</si>
  <si>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</si>
  <si>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</si>
  <si>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</si>
  <si>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</si>
  <si>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</si>
  <si>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</si>
  <si>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</si>
  <si>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</si>
  <si>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</si>
  <si>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</si>
  <si>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</si>
  <si>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</si>
  <si>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</si>
  <si>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</si>
  <si>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</si>
  <si>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</si>
  <si>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</si>
  <si>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</si>
  <si>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</si>
  <si>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</si>
  <si>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</si>
  <si>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</si>
  <si>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</si>
  <si>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</si>
  <si>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</si>
  <si>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</si>
  <si>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</si>
  <si>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</si>
  <si>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</si>
  <si>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</si>
  <si>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</si>
  <si>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</si>
  <si>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</si>
  <si>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</si>
  <si>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</si>
  <si>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</si>
  <si>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</si>
  <si>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</si>
  <si>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</si>
  <si>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</si>
  <si>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</si>
  <si>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</si>
  <si>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</si>
  <si>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</si>
  <si>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</si>
  <si>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</si>
  <si>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</si>
  <si>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</si>
  <si>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</si>
  <si>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</si>
  <si>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</si>
  <si>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</si>
  <si>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</si>
  <si>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</si>
  <si>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</si>
  <si>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</si>
  <si>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</si>
  <si>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</si>
  <si>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</si>
  <si>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</si>
  <si>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</si>
  <si>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</si>
  <si>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</si>
  <si>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</si>
  <si>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</si>
  <si>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</si>
  <si>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</si>
  <si>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</si>
  <si>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</si>
  <si>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</si>
  <si>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</si>
  <si>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</si>
  <si>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</si>
  <si>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</si>
  <si>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</si>
  <si>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</si>
  <si>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</si>
  <si>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</si>
  <si>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</si>
  <si>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</si>
  <si>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</si>
  <si>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</si>
  <si>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</si>
  <si>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</si>
  <si>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</si>
  <si>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</si>
  <si>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</si>
  <si>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</si>
  <si>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</si>
  <si>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</si>
  <si>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</si>
  <si>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</si>
  <si>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</si>
  <si>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</si>
  <si>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</si>
  <si>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</si>
  <si>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</si>
  <si>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</si>
  <si>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</si>
  <si>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</si>
  <si>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</si>
  <si>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</si>
  <si>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</si>
  <si>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</si>
  <si>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</si>
  <si>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</si>
  <si>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</si>
  <si>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</si>
  <si>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</si>
  <si>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</si>
  <si>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</si>
  <si>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</si>
  <si>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</si>
  <si>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</si>
  <si>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</si>
  <si>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</si>
  <si>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</si>
  <si>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</si>
  <si>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</si>
  <si>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</si>
  <si>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</si>
  <si>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</si>
  <si>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</si>
  <si>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</si>
  <si>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</si>
  <si>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</si>
  <si>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</si>
  <si>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</si>
  <si>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</si>
  <si>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</si>
  <si>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</si>
  <si>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</si>
  <si>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</si>
  <si>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</si>
  <si>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</si>
  <si>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</si>
  <si>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</si>
  <si>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</si>
  <si>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</si>
  <si>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</si>
  <si>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</si>
  <si>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</si>
  <si>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</si>
  <si>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</si>
  <si>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</si>
  <si>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</si>
  <si>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</si>
  <si>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</si>
  <si>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</si>
  <si>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</si>
  <si>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</si>
  <si>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</si>
  <si>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</si>
  <si>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</si>
  <si>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</si>
  <si>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</si>
  <si>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</si>
  <si>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</si>
  <si>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</si>
  <si>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</si>
  <si>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</si>
  <si>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</si>
  <si>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</si>
  <si>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</si>
  <si>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</si>
  <si>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</si>
  <si>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</si>
  <si>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</si>
  <si>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</si>
  <si>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</si>
  <si>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</si>
  <si>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</si>
  <si>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</si>
  <si>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</si>
  <si>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</si>
  <si>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</si>
  <si>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</si>
  <si>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</si>
  <si>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</si>
  <si>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</si>
  <si>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</si>
  <si>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</si>
  <si>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</si>
  <si>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</si>
  <si>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</si>
  <si>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</si>
  <si>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</si>
  <si>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</si>
  <si>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</si>
  <si>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</si>
  <si>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</si>
  <si>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</si>
  <si>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</si>
  <si>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</si>
  <si>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</si>
  <si>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</si>
  <si>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</si>
  <si>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</si>
  <si>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</si>
  <si>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</si>
  <si>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</si>
  <si>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</si>
  <si>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</si>
  <si>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</si>
  <si>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</si>
  <si>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</si>
  <si>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</si>
  <si>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</si>
  <si>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</si>
  <si>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</si>
  <si>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</si>
  <si>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</si>
  <si>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</si>
  <si>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</si>
  <si>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</si>
  <si>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</si>
  <si>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</si>
  <si>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</si>
  <si>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</si>
  <si>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</si>
  <si>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</si>
  <si>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</si>
  <si>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</si>
  <si>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</si>
  <si>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</si>
  <si>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</si>
  <si>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</si>
  <si>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</si>
  <si>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</si>
  <si>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</si>
  <si>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</si>
  <si>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</si>
  <si>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</si>
  <si>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</si>
  <si>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</si>
  <si>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</si>
  <si>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</si>
  <si>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</si>
  <si>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</si>
  <si>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</si>
  <si>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</si>
  <si>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</si>
  <si>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</si>
  <si>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</si>
  <si>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</si>
  <si>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</si>
  <si>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</si>
  <si>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</si>
  <si>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</si>
  <si>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</si>
  <si>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</si>
  <si>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</si>
  <si>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</si>
  <si>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</si>
  <si>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</si>
  <si>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</si>
  <si>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</si>
  <si>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</si>
  <si>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</si>
  <si>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</si>
  <si>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</si>
  <si>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</si>
  <si>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</si>
  <si>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</si>
  <si>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</si>
  <si>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</si>
  <si>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</si>
  <si>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</si>
  <si>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</si>
  <si>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</si>
  <si>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</si>
  <si>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</si>
  <si>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</si>
  <si>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</si>
  <si>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</si>
  <si>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</si>
  <si>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</si>
  <si>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</si>
  <si>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</si>
  <si>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</si>
  <si>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</si>
  <si>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</si>
  <si>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</si>
  <si>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</si>
  <si>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</si>
  <si>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</si>
  <si>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</si>
  <si>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</si>
  <si>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</si>
  <si>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</si>
  <si>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</si>
  <si>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</si>
  <si>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</si>
  <si>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</si>
  <si>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</si>
  <si>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</si>
  <si>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</si>
  <si>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</si>
  <si>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</si>
  <si>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</si>
  <si>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</si>
  <si>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</si>
  <si>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</si>
  <si>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</si>
  <si>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</si>
  <si>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</si>
  <si>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</si>
  <si>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</si>
  <si>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</si>
  <si>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</si>
  <si>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</si>
  <si>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</si>
  <si>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</si>
  <si>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</si>
  <si>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</si>
  <si>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</si>
  <si>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</si>
  <si>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</si>
  <si>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</si>
  <si>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</si>
  <si>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</si>
  <si>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</si>
  <si>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</si>
  <si>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</si>
  <si>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</si>
  <si>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</si>
  <si>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</si>
  <si>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</si>
  <si>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</si>
  <si>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</si>
  <si>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</si>
  <si>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</si>
  <si>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</si>
  <si>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</si>
  <si>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</si>
  <si>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</si>
  <si>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</si>
  <si>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</si>
  <si>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</si>
  <si>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</si>
  <si>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</si>
  <si>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</si>
  <si>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</si>
  <si>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</si>
  <si>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</si>
  <si>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</si>
  <si>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</si>
  <si>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</si>
  <si>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</si>
  <si>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</si>
  <si>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</si>
  <si>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</si>
  <si>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</si>
  <si>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</si>
  <si>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</si>
  <si>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</si>
  <si>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</si>
  <si>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</si>
  <si>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</si>
  <si>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</si>
  <si>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</si>
  <si>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</si>
  <si>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</si>
  <si>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</si>
  <si>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</si>
  <si>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</si>
  <si>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</si>
  <si>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</si>
  <si>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</si>
  <si>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</si>
  <si>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</si>
  <si>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</si>
  <si>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</si>
  <si>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</si>
  <si>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</si>
  <si>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</si>
  <si>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</si>
  <si>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</si>
  <si>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</si>
  <si>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</si>
  <si>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</si>
  <si>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</si>
  <si>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</si>
  <si>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</si>
  <si>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</si>
  <si>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</si>
  <si>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</si>
  <si>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</si>
  <si>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</si>
  <si>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</si>
  <si>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</si>
  <si>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</si>
  <si>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</si>
  <si>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</si>
  <si>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</si>
  <si>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</si>
  <si>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</si>
  <si>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</si>
  <si>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</si>
  <si>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</si>
  <si>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</si>
  <si>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</si>
  <si>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</si>
  <si>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</si>
  <si>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</si>
  <si>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</si>
  <si>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Finanziamento indistinto</t>
  </si>
  <si>
    <t>Compartecipazione alla spesa per prestazioni sanitarie - Ticket sulle prestazioni di specialistica ambulatoriale e APA-PAC</t>
  </si>
  <si>
    <t>SCHEMA DI BILANCIO
Decreto interministeriale 20 marzo 2013</t>
  </si>
  <si>
    <t>Variazione
proiezione/preventivo</t>
  </si>
  <si>
    <t>Variazione
proiezione/consuntivo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</si>
  <si>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</si>
  <si>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</si>
  <si>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</si>
  <si>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</si>
  <si>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</si>
  <si>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</si>
  <si>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</si>
  <si>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</si>
  <si>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</si>
  <si>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SOMMA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</si>
  <si>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</si>
  <si>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</si>
  <si>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</si>
  <si>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</si>
  <si>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</si>
  <si>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</si>
  <si>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</si>
  <si>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</si>
  <si>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</si>
  <si>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</si>
  <si>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</si>
  <si>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</si>
  <si>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</si>
  <si>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</si>
  <si>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</si>
  <si>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</si>
  <si>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</si>
  <si>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</si>
  <si>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</si>
  <si>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</si>
  <si>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</si>
  <si>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</si>
  <si>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</si>
  <si>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</si>
  <si>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</si>
  <si>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</si>
  <si>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</si>
  <si>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</si>
  <si>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</si>
  <si>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</si>
  <si>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</si>
  <si>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</si>
  <si>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</si>
  <si>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</si>
  <si>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</si>
  <si>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</si>
  <si>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</si>
  <si>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</si>
  <si>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</si>
  <si>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</si>
  <si>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</si>
  <si>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</si>
  <si>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</si>
  <si>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</si>
  <si>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</si>
  <si>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</si>
  <si>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</si>
  <si>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</si>
  <si>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</si>
  <si>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</si>
  <si>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</si>
  <si>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</si>
  <si>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</si>
  <si>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</si>
  <si>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</si>
  <si>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</si>
  <si>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</si>
  <si>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</si>
  <si>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</si>
  <si>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</si>
  <si>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</si>
  <si>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</si>
  <si>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</si>
  <si>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</si>
  <si>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</si>
  <si>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</si>
  <si>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</si>
  <si>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</si>
  <si>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</si>
  <si>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</si>
  <si>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</si>
  <si>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</si>
  <si>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</si>
  <si>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</si>
  <si>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</si>
  <si>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</si>
  <si>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</si>
  <si>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</si>
  <si>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</si>
  <si>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</si>
  <si>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</si>
  <si>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</si>
  <si>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</si>
  <si>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</si>
  <si>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</si>
  <si>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</si>
  <si>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</si>
  <si>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</si>
  <si>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</si>
  <si>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</si>
  <si>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</si>
  <si>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</si>
  <si>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</si>
  <si>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</si>
  <si>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</si>
  <si>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</si>
  <si>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</si>
  <si>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</si>
  <si>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</si>
  <si>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</si>
  <si>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t>TIPO CONTO</t>
  </si>
  <si>
    <t>IVA indetraibile acquisti intercompany per medicinali con AIC</t>
  </si>
  <si>
    <t>IVA indetraibile acquisti intercompany per medicinali senza AIC</t>
  </si>
  <si>
    <t xml:space="preserve">IVA indetraibile acquisti intercompany per dispositivi medici </t>
  </si>
  <si>
    <t>IVA indetraibile acquisti intercompany per dispositivi medici impiantabili attivi</t>
  </si>
  <si>
    <t>IVA indetraibile acquisti intercompany per dispositivi medico diagnostici in vitro (IVD)</t>
  </si>
  <si>
    <t>IVA indetraibile acquisti intercompany per prodotti dietetici</t>
  </si>
  <si>
    <t>IVA indetraibile acquisti intercompany per materiali per la profilassi (vaccini)</t>
  </si>
  <si>
    <t>IVA indetraibile acquisti intercompany per prodotti chimici</t>
  </si>
  <si>
    <t>IVA indetraibile acquisti intercompany per materiali e prodotti per uso veterinario</t>
  </si>
  <si>
    <t>IVA indetraibile acquisti intercompany per altri beni e prodotti sanitari</t>
  </si>
  <si>
    <t>IVA indetraibile acquisti intercompany per prodotti alimentari</t>
  </si>
  <si>
    <t>IVA indetraibile acquisti intercompany per materiali di guardaroba, di pulizia e di convivenza in genere</t>
  </si>
  <si>
    <t>IVA indetraibile acquisti intercompany per combustibili, carburanti e lubrificanti</t>
  </si>
  <si>
    <t>IVA indetraibile acquisti intercompany per supporti informatici e cancelleria</t>
  </si>
  <si>
    <t>IVA indetraibile acquisti intercompany per materiali per manutenzione</t>
  </si>
  <si>
    <t>IVA indetraibile acquisti intercompany per altri beni e prodotti non sanitari</t>
  </si>
  <si>
    <t xml:space="preserve">Retribuzione di posizione personale sanitario universitario </t>
  </si>
  <si>
    <t>PERIODO DI RILEVAZIONE</t>
  </si>
  <si>
    <t>ENTE SSN</t>
  </si>
  <si>
    <t xml:space="preserve">            ANNO</t>
  </si>
  <si>
    <t xml:space="preserve">    TRIMESTRE</t>
  </si>
  <si>
    <t xml:space="preserve">    PREVENTIVO</t>
  </si>
  <si>
    <t xml:space="preserve">SI </t>
  </si>
  <si>
    <t>Regione Friuli Venezia Giulia</t>
  </si>
  <si>
    <t>Contributi da Regione o Prov. Aut. (extra fondo) - Risorse aggiuntive da bilancio regionale a titolo di copertura LEA</t>
  </si>
  <si>
    <t>Contributi da Regione o Prov. Aut. (extra fondo) - Risorse aggiuntive da bilancio regionale a titolo di copertura extra LEA</t>
  </si>
  <si>
    <t>2</t>
  </si>
  <si>
    <t>AA0000</t>
  </si>
  <si>
    <t>A) Valore della produzione</t>
  </si>
  <si>
    <t>3</t>
  </si>
  <si>
    <t>A.1) Contributi in c/esercizio</t>
  </si>
  <si>
    <t>4</t>
  </si>
  <si>
    <t>A.1.A) Contributi da Regione o Prov. Aut. per quota F.S. regionale</t>
  </si>
  <si>
    <t>5</t>
  </si>
  <si>
    <t>A.1.A.1) da Regione o Prov. Aut. per quota F.S. regionale indistinto</t>
  </si>
  <si>
    <t>6</t>
  </si>
  <si>
    <t>600100100100000</t>
  </si>
  <si>
    <t>600100100200000</t>
  </si>
  <si>
    <t>7</t>
  </si>
  <si>
    <t>A.1.A.1.3.A) Funzioni - Pronto soccorso</t>
  </si>
  <si>
    <t>600100100301000</t>
  </si>
  <si>
    <t>600100100302000</t>
  </si>
  <si>
    <t>600100100400000</t>
  </si>
  <si>
    <t>A.1.A.2) da Regione o Prov. Aut. per quota F.S. regionale vincolato</t>
  </si>
  <si>
    <t>600100200000000</t>
  </si>
  <si>
    <t>A.1.B) Contributi c/esercizio (extra fondo)</t>
  </si>
  <si>
    <t>A.1.B.1) da Regione o Prov. Aut. (extra fondo)</t>
  </si>
  <si>
    <t>A.1.B.1.1) Contributi da Regione o Prov. Aut. (extra fondo) vincolati</t>
  </si>
  <si>
    <t>600200100101000</t>
  </si>
  <si>
    <t>600200100102000</t>
  </si>
  <si>
    <t>600200100103000</t>
  </si>
  <si>
    <t>600200100104000</t>
  </si>
  <si>
    <t>600200100108000</t>
  </si>
  <si>
    <t>600200100109000</t>
  </si>
  <si>
    <t>A.1.B.1.2) Contributi da Regione o Prov. Aut. (extra fondo) - Risorse aggiuntive da bilancio regionale a titolo di copertura LEA</t>
  </si>
  <si>
    <t>600200100200000</t>
  </si>
  <si>
    <t>A.1.B.1.3) Contributi da Regione o Prov. Aut. (extra fondo) - Risorse aggiuntive da bilancio regionale a titolo di copertura extra LEA</t>
  </si>
  <si>
    <t>600200100300000</t>
  </si>
  <si>
    <t>A.1.B.1.4) Contributi da Regione o Prov. Aut. (extra fondo) - Altro</t>
  </si>
  <si>
    <t>600200100400000</t>
  </si>
  <si>
    <t>A.1.B.2) Contributi da Aziende sanitarie pubbliche della Regione o Prov. Aut. (extra fondo)</t>
  </si>
  <si>
    <t>A.1.B.2.1) Contributi da Aziende sanitarie pubbliche della Regione o Prov. Aut. (extra fondo) vincolati</t>
  </si>
  <si>
    <t>600200200100000</t>
  </si>
  <si>
    <t>A.1.B.2.2) Contributi da Aziende sanitarie pubbliche della Regione o Prov. Aut. (extra fondo) altro</t>
  </si>
  <si>
    <t>600200200200000</t>
  </si>
  <si>
    <t>A.1.B.3) Contributi da altri soggetti pubblici (extra fondo)</t>
  </si>
  <si>
    <t>600200300050000</t>
  </si>
  <si>
    <t>600200300101000</t>
  </si>
  <si>
    <t>600200300102000</t>
  </si>
  <si>
    <t>600200300103000</t>
  </si>
  <si>
    <t>600200300104000</t>
  </si>
  <si>
    <t>600200300108000</t>
  </si>
  <si>
    <t>600200300109000</t>
  </si>
  <si>
    <t>600200300200000</t>
  </si>
  <si>
    <t>600200300300000</t>
  </si>
  <si>
    <t>A.1.B.3.5)  Contributi da altri soggetti pubblici (extra fondo) - in attuazione dell'art.79, comma 1 sexies lettera c), del D.L. 112/2008, convertito con legge 133/2008 e della legge 23 dicembre 2009, n. 191</t>
  </si>
  <si>
    <t>600200300400000</t>
  </si>
  <si>
    <t>A.1.C) Contributi c/esercizio per ricerca</t>
  </si>
  <si>
    <t>A.1.C.1) Contributi da Ministero della Salute per ricerca corrente</t>
  </si>
  <si>
    <t>600300100000000</t>
  </si>
  <si>
    <t>A.1.C.2) Contributi da Ministero della Salute per ricerca finalizzata</t>
  </si>
  <si>
    <t>600300200000000</t>
  </si>
  <si>
    <t>A.1.C.3) Contributi da Regione ed altri soggetti pubblici per ricerca</t>
  </si>
  <si>
    <t>600300300100000</t>
  </si>
  <si>
    <t>600300300900000</t>
  </si>
  <si>
    <t>A.1.C.4) Contributi da privati per ricerca</t>
  </si>
  <si>
    <t>600300400000000</t>
  </si>
  <si>
    <t>A.1.D) Contributi c/esercizio da privati</t>
  </si>
  <si>
    <t>600400000000000</t>
  </si>
  <si>
    <t>A.2) Rettifica contributi c/esercizio per destinazione ad investimenti</t>
  </si>
  <si>
    <t>A.2.A) Rettifica contributi in c/esercizio per destinazione ad investimenti - da Regione o Prov. Aut. per quota F.S. regionale</t>
  </si>
  <si>
    <t>610100000000000</t>
  </si>
  <si>
    <t>A.2.B) Rettifica contributi in c/esercizio per destinazione ad investimenti - altri contributi</t>
  </si>
  <si>
    <t>610200000000000</t>
  </si>
  <si>
    <t>A.3) Utilizzo fondi per quote inutilizzate contributi vincolati di esercizi precedenti</t>
  </si>
  <si>
    <t>620050000000000</t>
  </si>
  <si>
    <t>620100000000000</t>
  </si>
  <si>
    <t>620200000000000</t>
  </si>
  <si>
    <t>620300000000000</t>
  </si>
  <si>
    <t>620400000000000</t>
  </si>
  <si>
    <t>A.4) Ricavi per prestazioni sanitarie e sociosanitarie a rilevanza sanitaria</t>
  </si>
  <si>
    <t>A.4.A) Ricavi per prestazioni sanitarie e sociosanitarie a rilevanza sanitaria erogate a soggetti pubblici</t>
  </si>
  <si>
    <t>A.4.A.1) Ricavi per prestaz. sanitarie e sociosanitarie a rilevanza sanitaria erogate ad Aziende sanitarie pubbliche della Regione</t>
  </si>
  <si>
    <t>630100100101000</t>
  </si>
  <si>
    <t>630100100102000</t>
  </si>
  <si>
    <t>Rimborso per prestazioni fatturate in regime di ricovero - Az. sanitarie pubb. della Regione</t>
  </si>
  <si>
    <t>630100100201000</t>
  </si>
  <si>
    <t>630100100202000</t>
  </si>
  <si>
    <t>Rimborso per prestazioni ambulatoriali e diagnostiche fatturate  - Az. sanitarie pubb. della Regione</t>
  </si>
  <si>
    <t>630100100250000</t>
  </si>
  <si>
    <t>Prestazioni di pronto soccorso non seguite da ricovero - Az. sanitarie pubb. della Regione</t>
  </si>
  <si>
    <t>630100100300000</t>
  </si>
  <si>
    <t>Prestazioni di psichiatria residenziale e semiresidenziale - Az. sanitarie pubb. della Regione</t>
  </si>
  <si>
    <t>630100100400000</t>
  </si>
  <si>
    <t>Prestazioni di File F  - Az. sanitarie pubb. della Regione</t>
  </si>
  <si>
    <t>630100100500000</t>
  </si>
  <si>
    <t>Prestazioni servizi MMG, PLS, Contin. Assistenziale  - Az. sanitarie pubb. della Regione</t>
  </si>
  <si>
    <t>630100100600000</t>
  </si>
  <si>
    <t>Prestazioni servizi farmaceutica convenzionata  - Az. sanitarie pubb. della Regione</t>
  </si>
  <si>
    <t>630100100700000</t>
  </si>
  <si>
    <t>Prestazioni termali  - Az. sanitarie pubb. della Regione</t>
  </si>
  <si>
    <t>630100100800000</t>
  </si>
  <si>
    <t>Prestazioni trasporto ambulanze ed elisoccorso - Az. sanitarie pubb. della Regione</t>
  </si>
  <si>
    <t>630100100810000</t>
  </si>
  <si>
    <t>Prestazioni assistenza integrativa - Az. sanitarie pubb. della Regione</t>
  </si>
  <si>
    <t>630100100820000</t>
  </si>
  <si>
    <t>Prestazioni assistenza protesica - Az. sanitarie pubb. della Regione</t>
  </si>
  <si>
    <t>630100100830000</t>
  </si>
  <si>
    <t>Prestazioni assistenza riabilitativa extraospedaliera - Az. sanitarie pubb. della Regione</t>
  </si>
  <si>
    <t>630100100840000</t>
  </si>
  <si>
    <t>Ricavi per cessione di emocomponenti e cellule staminali - Az. sanitarie pubb. della Regione</t>
  </si>
  <si>
    <t>630100100850000</t>
  </si>
  <si>
    <t>Prestazioni assistenza domiciliare integrata (ADI) - Az. sanitarie pubb. della Regione</t>
  </si>
  <si>
    <t>630100100911000</t>
  </si>
  <si>
    <t>Consulenze sanitarie  - Az. sanitarie pubb. della Regione</t>
  </si>
  <si>
    <t>630100100909000</t>
  </si>
  <si>
    <t>Altre prestazioni sanitarie e socio-sanitarie a rilevanza sanitaria  - Az. sanitarie pubb. della Regione</t>
  </si>
  <si>
    <t>A.4.A.2) Ricavi per prestaz. sanitarie e sociosanitarie a rilevanza sanitaria erogate ad altri soggetti pubblici</t>
  </si>
  <si>
    <t>630100200000000</t>
  </si>
  <si>
    <t>630100300100000</t>
  </si>
  <si>
    <t>630100300150000</t>
  </si>
  <si>
    <t>630100300160000</t>
  </si>
  <si>
    <t>Prestazioni di pronto soccorso non seguite da ricovero -  a soggetti pubblici Extraregione</t>
  </si>
  <si>
    <t>630100300200000</t>
  </si>
  <si>
    <t>Prestazioni di psichiatria ad extraregione non soggetta a compensazione (resid. e semiresid.)</t>
  </si>
  <si>
    <t>630100300250000</t>
  </si>
  <si>
    <t>Prestazioni di File F - a soggetti pubblici Extraregione</t>
  </si>
  <si>
    <t>630100300300000</t>
  </si>
  <si>
    <t>630100300350000</t>
  </si>
  <si>
    <t>630100300400000</t>
  </si>
  <si>
    <t>630100300450000</t>
  </si>
  <si>
    <t>630100300510000</t>
  </si>
  <si>
    <t>630100300520000</t>
  </si>
  <si>
    <t>630100300550000</t>
  </si>
  <si>
    <t>8</t>
  </si>
  <si>
    <t>630100300600000</t>
  </si>
  <si>
    <t>630100300610000</t>
  </si>
  <si>
    <t>630100300651000</t>
  </si>
  <si>
    <t>630100300652010</t>
  </si>
  <si>
    <t>Consulenze sanitarie a compensazione Extraregione</t>
  </si>
  <si>
    <t>630100300652020</t>
  </si>
  <si>
    <t>Rimborso per prestazioni fatturate in regime di ricovero extraregione</t>
  </si>
  <si>
    <t>630100300652030</t>
  </si>
  <si>
    <t>Rimborso per prestazioni ambulatoriali e diagnostiche fatturate extraregione</t>
  </si>
  <si>
    <t>630100300652040</t>
  </si>
  <si>
    <t>630100300700000</t>
  </si>
  <si>
    <t>630100300800000</t>
  </si>
  <si>
    <t>630100300900000</t>
  </si>
  <si>
    <t>A.4.B) Ricavi per prestazioni sanitarie e sociosanitarie a rilevanza sanitaria erogate da privati v/residenti Extraregione in compensazione (mobilità attiva)</t>
  </si>
  <si>
    <t>A.4.B.1) Prestazioni di ricovero da priv. Extraregione in compensazione (mobilità attiva)</t>
  </si>
  <si>
    <t>630200100000000</t>
  </si>
  <si>
    <t>A.4.B.2) Prestazioni ambulatoriali da priv. Extraregione in compensazione (mobilità attiva)</t>
  </si>
  <si>
    <t>630200200000000</t>
  </si>
  <si>
    <t>A.4.B.3)  Prestazioni di pronto soccorso non seguite da ricovero da priv. Extraregione in compensazione  (mobilità attiva)</t>
  </si>
  <si>
    <t>630200250000000</t>
  </si>
  <si>
    <t>Prestazioni di pronto soccorso non seguite da ricovero da priv. Extraregione in compensazione (mobilità attiva)</t>
  </si>
  <si>
    <t>A.4.B.4) Prestazioni di File F da priv. Extraregione in compensazione (mobilità attiva)</t>
  </si>
  <si>
    <t>630200300000000</t>
  </si>
  <si>
    <t>630200400000000</t>
  </si>
  <si>
    <t>A.4.C) Ricavi per prestazioni sanitarie e sociosanitarie a rilevanza sanitaria erogate a privati</t>
  </si>
  <si>
    <t>6303001000000</t>
  </si>
  <si>
    <t>630300100100000</t>
  </si>
  <si>
    <t>630300100200000</t>
  </si>
  <si>
    <t>630300100300000</t>
  </si>
  <si>
    <t>630300100400000</t>
  </si>
  <si>
    <t>630300100500000</t>
  </si>
  <si>
    <t>630300100600000</t>
  </si>
  <si>
    <t>630300100900000</t>
  </si>
  <si>
    <t>6303002000000</t>
  </si>
  <si>
    <t>630300200100000</t>
  </si>
  <si>
    <t>630300200150000</t>
  </si>
  <si>
    <t>630300200200000</t>
  </si>
  <si>
    <t>630300200250000</t>
  </si>
  <si>
    <t>630300200300000</t>
  </si>
  <si>
    <t>630300200350000</t>
  </si>
  <si>
    <t>630300200400000</t>
  </si>
  <si>
    <t>630300200450000</t>
  </si>
  <si>
    <t>630300200500000</t>
  </si>
  <si>
    <t>630300200550000</t>
  </si>
  <si>
    <t>630300200600000</t>
  </si>
  <si>
    <t>630300200650000</t>
  </si>
  <si>
    <t>630300200700000</t>
  </si>
  <si>
    <t>630300200750000</t>
  </si>
  <si>
    <t>6303002008000</t>
  </si>
  <si>
    <t>630300200801000</t>
  </si>
  <si>
    <t>630300200802000</t>
  </si>
  <si>
    <t>630300200900000</t>
  </si>
  <si>
    <t>630300300000000</t>
  </si>
  <si>
    <t>Prestazioni amministrative e gestionali a privati</t>
  </si>
  <si>
    <t>630300400000000</t>
  </si>
  <si>
    <t>630300500000000</t>
  </si>
  <si>
    <t>630300600000000</t>
  </si>
  <si>
    <t>630300700000000</t>
  </si>
  <si>
    <t>630300800000000</t>
  </si>
  <si>
    <t>6303009000000</t>
  </si>
  <si>
    <t>630300900100000</t>
  </si>
  <si>
    <t>630300900900000</t>
  </si>
  <si>
    <t>A.4.D) Ricavi per prestazioni sanitarie erogate in regime di intramoenia</t>
  </si>
  <si>
    <t>A.4.D.1) Ricavi per prestazioni sanitarie intramoenia - Area ospedaliera</t>
  </si>
  <si>
    <t>630400100000000</t>
  </si>
  <si>
    <t>A.4.D.2) Ricavi per prestazioni sanitarie intramoenia - Area specialistica</t>
  </si>
  <si>
    <t>630400200000000</t>
  </si>
  <si>
    <t>A.4.D.3) Ricavi per prestazioni sanitarie intramoenia - Area sanità pubblica</t>
  </si>
  <si>
    <t>630400300000000</t>
  </si>
  <si>
    <t>A.4.D.4) Ricavi per prestazioni sanitarie intramoenia - Consulenze (ex art. 55 c.1 lett. c), d) ed ex art. 57-58)</t>
  </si>
  <si>
    <t>630400400000000</t>
  </si>
  <si>
    <t>A.4.D.5) Ricavi per prestazioni sanitarie intramoenia - Consulenze (ex art. 55 c.1 lett. c), d) ed ex art. 57-58) (Aziende sanitarie pubbliche della Regione)</t>
  </si>
  <si>
    <t>630400500000000</t>
  </si>
  <si>
    <t>A.4.D.6) Ricavi per prestazioni sanitarie intramoenia - Altro</t>
  </si>
  <si>
    <t>630400600000000</t>
  </si>
  <si>
    <t>A.4.D.7) Ricavi per prestazioni sanitarie intramoenia - Altro (Aziende sanitarie pubbliche della Regione)</t>
  </si>
  <si>
    <t>630400700000000</t>
  </si>
  <si>
    <t>640100000000000</t>
  </si>
  <si>
    <t>640200100000000</t>
  </si>
  <si>
    <t>640200200000000</t>
  </si>
  <si>
    <t>640300100000000</t>
  </si>
  <si>
    <t>640300200000000</t>
  </si>
  <si>
    <t>640300300100000</t>
  </si>
  <si>
    <t>Prestazioni amministrative e gestionali - Az. sanitarie pubb. della Regione</t>
  </si>
  <si>
    <t>640300300200000</t>
  </si>
  <si>
    <t>Consulenze non sanitarie  - Az. sanitarie pubb. della Regione</t>
  </si>
  <si>
    <t>640300300900000</t>
  </si>
  <si>
    <t>Altri concorsi, recuperi e rimborsi  - Az. sanitarie pubb. della Regione</t>
  </si>
  <si>
    <t>640300400000000</t>
  </si>
  <si>
    <t>640400100000000</t>
  </si>
  <si>
    <t>640400200000000</t>
  </si>
  <si>
    <t>640400300100000</t>
  </si>
  <si>
    <t>640400300200000</t>
  </si>
  <si>
    <t>640400300300000</t>
  </si>
  <si>
    <t>640400300400000</t>
  </si>
  <si>
    <t>640400300500000</t>
  </si>
  <si>
    <t>640400300900000</t>
  </si>
  <si>
    <t>640500100100000</t>
  </si>
  <si>
    <t>640500100200000</t>
  </si>
  <si>
    <t>640500100300000</t>
  </si>
  <si>
    <t>640500150000000</t>
  </si>
  <si>
    <t>640500200100000</t>
  </si>
  <si>
    <t>640500200150000</t>
  </si>
  <si>
    <t>640500200200000</t>
  </si>
  <si>
    <t>640500200250000</t>
  </si>
  <si>
    <t>640500200300000</t>
  </si>
  <si>
    <t>640500200350000</t>
  </si>
  <si>
    <t>640500200400000</t>
  </si>
  <si>
    <t>640500200450000</t>
  </si>
  <si>
    <t>640500200500000</t>
  </si>
  <si>
    <t>640500200550000</t>
  </si>
  <si>
    <t>640500200600000</t>
  </si>
  <si>
    <t>640500200650000</t>
  </si>
  <si>
    <t>640500200900000</t>
  </si>
  <si>
    <t>A.6) Compartecipazione alla spesa per prestazioni sanitarie (Ticket)</t>
  </si>
  <si>
    <t>A.6.A) Compartecipazione alla spesa per prestazioni sanitarie - Ticket sulle prestazioni di specialistica ambulatoriale</t>
  </si>
  <si>
    <t>650100000000000</t>
  </si>
  <si>
    <t>A.6.B) Compartecipazione alla spesa per prestazioni sanitarie - Ticket sul pronto soccorso</t>
  </si>
  <si>
    <t>650200000000000</t>
  </si>
  <si>
    <t>A.6.C) Compartecipazione alla spesa per prestazioni sanitarie (Ticket) - Altro</t>
  </si>
  <si>
    <t>650300000000000</t>
  </si>
  <si>
    <t>A.7) Quota contributi c/capitale imputata all'esercizio</t>
  </si>
  <si>
    <t>660100000000000</t>
  </si>
  <si>
    <t>A.7.B) Quota imputata all'esercizio dei finanziamenti per investimenti da Regione</t>
  </si>
  <si>
    <t>660200000000000</t>
  </si>
  <si>
    <t>A.7.C) Quota imputata all'esercizio dei finanziamenti per beni di prima dotazione</t>
  </si>
  <si>
    <t>660300000000000</t>
  </si>
  <si>
    <t>660400000000000</t>
  </si>
  <si>
    <t>660500000000000</t>
  </si>
  <si>
    <t>660600000000000</t>
  </si>
  <si>
    <t>A.8) Incrementi delle immobilizzazioni per lavori interni</t>
  </si>
  <si>
    <t>670000000000000</t>
  </si>
  <si>
    <t>680100100000000</t>
  </si>
  <si>
    <t>680100200000000</t>
  </si>
  <si>
    <t>680100900000000</t>
  </si>
  <si>
    <t>680200100000000</t>
  </si>
  <si>
    <t>680200200000000</t>
  </si>
  <si>
    <t>680200900000000</t>
  </si>
  <si>
    <t>680300100000000</t>
  </si>
  <si>
    <t>680300200000000</t>
  </si>
  <si>
    <t>680300900000000</t>
  </si>
  <si>
    <t>CONTO</t>
  </si>
  <si>
    <t>BA0000</t>
  </si>
  <si>
    <t>B) Costi della produzione</t>
  </si>
  <si>
    <t>B.1) Acquisti di beni</t>
  </si>
  <si>
    <t>B.1.A) Acquisti di beni sanitari</t>
  </si>
  <si>
    <t>B.1.A.1) Prodotti farmaceutici ed emoderivati</t>
  </si>
  <si>
    <t>B.1.A.1.1) Medicinali con AIC, ad eccezione di vaccini ed emoderivati di produzione regionale</t>
  </si>
  <si>
    <t>300100100100000</t>
  </si>
  <si>
    <t>300100100110000</t>
  </si>
  <si>
    <t>300100100200000</t>
  </si>
  <si>
    <t>300100100210000</t>
  </si>
  <si>
    <t>300100100250000</t>
  </si>
  <si>
    <t>300100100301000</t>
  </si>
  <si>
    <t>B.1.A.1.4.2) Emoderivati di produzione regionale da pubblico (Aziende sanitarie pubbliche extra Regione) - Mobilità extraregionale</t>
  </si>
  <si>
    <t>300100100302000</t>
  </si>
  <si>
    <t>300100100303000</t>
  </si>
  <si>
    <t>B.1.A.2) Sangue ed emocomponenti</t>
  </si>
  <si>
    <t>300100200100000</t>
  </si>
  <si>
    <t>Sangue e emocomp. da pubblico (Aziende sanitarie pubbliche della Regione) – Mobilità intraregionale</t>
  </si>
  <si>
    <t>300100200200000</t>
  </si>
  <si>
    <t>Sangue e emocomp. da pubblico (Aziende sanitarie pubbliche extra Regione) – Mobilità extraregionale</t>
  </si>
  <si>
    <t>300100200300000</t>
  </si>
  <si>
    <t>B.1.A.3.1) Dispositivi medici</t>
  </si>
  <si>
    <t>300100300100000</t>
  </si>
  <si>
    <t>300100300110000</t>
  </si>
  <si>
    <t>B.1.A.3.2) Dispositivi medici impiantabili attivi</t>
  </si>
  <si>
    <t>300100300200000</t>
  </si>
  <si>
    <t>300100300210000</t>
  </si>
  <si>
    <t>B.1.A.3.3) Dispositivi medico diagnostici in vitro (IVD)</t>
  </si>
  <si>
    <t>300100300300000</t>
  </si>
  <si>
    <t>300100300310000</t>
  </si>
  <si>
    <t>B.1.A.4) Prodotti dietetici</t>
  </si>
  <si>
    <t>300100400000000</t>
  </si>
  <si>
    <t>300100400100000</t>
  </si>
  <si>
    <t>B.1.A.5) Materiali per la profilassi (vaccini)</t>
  </si>
  <si>
    <t>300100500000000</t>
  </si>
  <si>
    <t>300100500100000</t>
  </si>
  <si>
    <t>B.1.A.6) Prodotti chimici</t>
  </si>
  <si>
    <t>300100600000000</t>
  </si>
  <si>
    <t>300100600100000</t>
  </si>
  <si>
    <t>B.1.A.7) Materiali e prodotti per uso veterinario</t>
  </si>
  <si>
    <t>300100700000000</t>
  </si>
  <si>
    <t>300100700100000</t>
  </si>
  <si>
    <t>B.1.A.8) Altri beni e prodotti sanitari</t>
  </si>
  <si>
    <t>300100800000000</t>
  </si>
  <si>
    <t>300100800100000</t>
  </si>
  <si>
    <t>B.1.A.9) Beni e prodotti sanitari da Aziende sanitarie pubbliche della Regione</t>
  </si>
  <si>
    <t>300100900100000</t>
  </si>
  <si>
    <t>Medicinali con AIC, ad eccezione di vaccini ed emoderivati di produzione regionale  - Az. sanitarie pubb. della Regione</t>
  </si>
  <si>
    <t>300100900150000</t>
  </si>
  <si>
    <t>Medicinali senza AIC - Az. sanitarie pubb. della Regione</t>
  </si>
  <si>
    <t>300100900200000</t>
  </si>
  <si>
    <t>Emoderivati di produzione regionale - Az. sanitarie pubb. della Regione</t>
  </si>
  <si>
    <t>BA0302</t>
  </si>
  <si>
    <t>B.1.A.9.2)  Sangue ed emocomponenti</t>
  </si>
  <si>
    <t>300100900250000</t>
  </si>
  <si>
    <t>Sangue ed emocomponenti - Az. sanitarie pubb. della Regione</t>
  </si>
  <si>
    <t>300100900300000</t>
  </si>
  <si>
    <t>Dispositivi medici  - Az. sanitarie pubb. della Regione</t>
  </si>
  <si>
    <t>300100900350000</t>
  </si>
  <si>
    <t>Dispositivi medici impiantabili attivi - Az. sanitarie pubb. della Regione</t>
  </si>
  <si>
    <t>300100900400000</t>
  </si>
  <si>
    <t>Dispositivi medico diagnostici in vitro (IVD) - Az. sanitarie pubb. della Regione</t>
  </si>
  <si>
    <t>300100900450000</t>
  </si>
  <si>
    <t>Prodotti dietetici - Az. sanitarie pubb. della Regione</t>
  </si>
  <si>
    <t>300100900500000</t>
  </si>
  <si>
    <t>Materiali per la profilassi (vaccini) - Az. sanitarie pubb. della Regione</t>
  </si>
  <si>
    <t>300100900550000</t>
  </si>
  <si>
    <t>Prodotti chimici - Az. sanitarie pubb. della Regione</t>
  </si>
  <si>
    <t>300100900600000</t>
  </si>
  <si>
    <t>Materiali e prodotti per uso veterinario - Az. sanitarie pubb. della Regione</t>
  </si>
  <si>
    <t>300100900900000</t>
  </si>
  <si>
    <t>Altri beni e prodotti sanitari  - Az. sanitarie pubb. della Regione</t>
  </si>
  <si>
    <t>B.1.B) Acquisti di beni non sanitari</t>
  </si>
  <si>
    <t>B.1.B.1) Prodotti alimentari</t>
  </si>
  <si>
    <t>300200100000000</t>
  </si>
  <si>
    <t>300200100100000</t>
  </si>
  <si>
    <t>B.1.B.2) Materiali di guardaroba, di pulizia e di convivenza in genere</t>
  </si>
  <si>
    <t>300200200000000</t>
  </si>
  <si>
    <t>300200200100000</t>
  </si>
  <si>
    <t>B.1.B.3) Combustibili, carburanti e lubrificanti</t>
  </si>
  <si>
    <t>300200300000000</t>
  </si>
  <si>
    <t>300200300100000</t>
  </si>
  <si>
    <t>B.1.B.4) Supporti informatici e cancelleria</t>
  </si>
  <si>
    <t>300200400100000</t>
  </si>
  <si>
    <t>300200400200000</t>
  </si>
  <si>
    <t>300200400300000</t>
  </si>
  <si>
    <t>300200400400000</t>
  </si>
  <si>
    <t>B.1.B.5) Materiale per la manutenzione</t>
  </si>
  <si>
    <t>300200500100000</t>
  </si>
  <si>
    <t>300200500200000</t>
  </si>
  <si>
    <t>300200500300000</t>
  </si>
  <si>
    <t>B.1.B.6) Altri beni e prodotti non sanitari</t>
  </si>
  <si>
    <t>300200600000000</t>
  </si>
  <si>
    <t>300200600100000</t>
  </si>
  <si>
    <t>B.1.B.7) Beni e prodotti non sanitari da Aziende sanitarie pubbliche della Regione</t>
  </si>
  <si>
    <t>300200700100000</t>
  </si>
  <si>
    <t>Prodotti alimentari - Az. sanitarie pubb. della Regione</t>
  </si>
  <si>
    <t>300200700200000</t>
  </si>
  <si>
    <t>Materiali di guardaroba, di pulizia e di convivenza in genere - Az. sanitarie pubb. della Regione</t>
  </si>
  <si>
    <t>300200700300000</t>
  </si>
  <si>
    <t>Combustibili, carburanti e lubrificanti - Az. sanitarie pubb. della Regione</t>
  </si>
  <si>
    <t>300200700400000</t>
  </si>
  <si>
    <t>Supporti informatici e cancelleria - Az. sanitarie pubb. della Regione</t>
  </si>
  <si>
    <t>300200700500000</t>
  </si>
  <si>
    <t>Materiale per la manutenzione - Az. sanitarie pubb. della Regione</t>
  </si>
  <si>
    <t>300200700900000</t>
  </si>
  <si>
    <t>Altri beni e prodotti non sanitari  - Az. sanitarie pubb. della Regione</t>
  </si>
  <si>
    <t>B.2) Acquisti di servizi</t>
  </si>
  <si>
    <t>B.2.A) Acquisti servizi sanitari</t>
  </si>
  <si>
    <t>B.2.A.1) Acquisti servizi sanitari per medicina di base</t>
  </si>
  <si>
    <t>305100050101005</t>
  </si>
  <si>
    <t>Quota capitaria nazionale MMG</t>
  </si>
  <si>
    <t>305100050101010</t>
  </si>
  <si>
    <t>Compensi da fondo ponderazione MMG</t>
  </si>
  <si>
    <t>305100050101015</t>
  </si>
  <si>
    <t>Compensi da fondo qualità dell'assistenza MMG</t>
  </si>
  <si>
    <t>305100050101020</t>
  </si>
  <si>
    <t>Compensi da fondo quota capitaria regionale MMG</t>
  </si>
  <si>
    <t>305100050101025</t>
  </si>
  <si>
    <t>Compensi extra derivanti da accordi nazionali MMG</t>
  </si>
  <si>
    <t>305100050101030</t>
  </si>
  <si>
    <t>Compensi da accordi regionali MMG</t>
  </si>
  <si>
    <t>305100050101035</t>
  </si>
  <si>
    <t>Compensi da accordi aziendali MMG</t>
  </si>
  <si>
    <t>305100050101040</t>
  </si>
  <si>
    <t>Premi assicurativi malattia MMG</t>
  </si>
  <si>
    <t>305100050101045</t>
  </si>
  <si>
    <t>Formazione MMG</t>
  </si>
  <si>
    <t>305100050101050</t>
  </si>
  <si>
    <t>Altre competenze MMG</t>
  </si>
  <si>
    <t>305100050101055</t>
  </si>
  <si>
    <t>Oneri sociali MMG</t>
  </si>
  <si>
    <t>305100050102005</t>
  </si>
  <si>
    <t>Quota capitaria nazionale PLS</t>
  </si>
  <si>
    <t>305100050102010</t>
  </si>
  <si>
    <t>Compensi da fondo ponderazione PLS</t>
  </si>
  <si>
    <t>305100050102015</t>
  </si>
  <si>
    <t>Compensi da fondo qualità dell'assistenza PLS</t>
  </si>
  <si>
    <t>305100050102020</t>
  </si>
  <si>
    <t>Compensi da fondo quota capitaria regionale PLS</t>
  </si>
  <si>
    <t>305100050102025</t>
  </si>
  <si>
    <t>Compensi extra derivanti da accordi nazionali PLS</t>
  </si>
  <si>
    <t>305100050102030</t>
  </si>
  <si>
    <t>Compensi da accordi regionali PLS</t>
  </si>
  <si>
    <t>305100050102035</t>
  </si>
  <si>
    <t>Compensi da accordi aziendali PLS</t>
  </si>
  <si>
    <t>305100050102040</t>
  </si>
  <si>
    <t>Premi assicurativi malattia PLS</t>
  </si>
  <si>
    <t>305100050102045</t>
  </si>
  <si>
    <t>Formazione PLS</t>
  </si>
  <si>
    <t>305100050102050</t>
  </si>
  <si>
    <t>Altre competenze PLS</t>
  </si>
  <si>
    <t>305100050102055</t>
  </si>
  <si>
    <t>Oneri sociali PLS</t>
  </si>
  <si>
    <t>305100050103005</t>
  </si>
  <si>
    <t>305100050103010</t>
  </si>
  <si>
    <t>305100050103015</t>
  </si>
  <si>
    <t>305100050103020</t>
  </si>
  <si>
    <t>305100050103025</t>
  </si>
  <si>
    <t>305100050103030</t>
  </si>
  <si>
    <t>305100050103035</t>
  </si>
  <si>
    <t>305100050103040</t>
  </si>
  <si>
    <t xml:space="preserve">Altri compensi Conv. per emergenza sanitaria territoriale </t>
  </si>
  <si>
    <t>305100050103045</t>
  </si>
  <si>
    <t>305100050103050</t>
  </si>
  <si>
    <t>305100050103055</t>
  </si>
  <si>
    <t>305100050103060</t>
  </si>
  <si>
    <t>305100050103065</t>
  </si>
  <si>
    <t>305100050103070</t>
  </si>
  <si>
    <t>305100050104005</t>
  </si>
  <si>
    <t>Compensi fissi altro personale sanitario convenzionato</t>
  </si>
  <si>
    <t>305100050104010</t>
  </si>
  <si>
    <t>Compensi da fondo ponderazione altro personale sanitario convenzionato</t>
  </si>
  <si>
    <t>305100050104015</t>
  </si>
  <si>
    <t>Compensi extra derivanti da accordi nazionali altro personale sanitario convenzionato</t>
  </si>
  <si>
    <t>305100050104020</t>
  </si>
  <si>
    <t>Compensi da accordi regionali altro personale sanitario convenzionato</t>
  </si>
  <si>
    <t>305100050104025</t>
  </si>
  <si>
    <t>Compensi da accordi aziendali altro personale sanitario convenzionato</t>
  </si>
  <si>
    <t>305100050104030</t>
  </si>
  <si>
    <t>Altre competenze altro personale sanitario convenzionato</t>
  </si>
  <si>
    <t>305100050104035</t>
  </si>
  <si>
    <t>Oneri sociali altro personale sanitario convenzionato</t>
  </si>
  <si>
    <t>305100050104040</t>
  </si>
  <si>
    <t>305100050200000</t>
  </si>
  <si>
    <t>Servizi sanitari per medicina di base da pubblico (Aziende sanitarie pubbliche della Regione) - Mobilità intraregionale</t>
  </si>
  <si>
    <t>305100050300000</t>
  </si>
  <si>
    <t>Servizi sanitari per medicina di base da pubblico (Aziende sanitarie pubbliche Extraregione) - Mobilità extraregionale</t>
  </si>
  <si>
    <t>B.2.A.2) Acquisti servizi sanitari per farmaceutica</t>
  </si>
  <si>
    <t>305100100101000</t>
  </si>
  <si>
    <t>305100100102000</t>
  </si>
  <si>
    <t>305100100200000</t>
  </si>
  <si>
    <t>Servizi sanitari per farmaceutica da pubblico (Aziende sanitarie pubbliche della Regione)- Mobilità intraregionale</t>
  </si>
  <si>
    <t>305100100300000</t>
  </si>
  <si>
    <t>Servizi sanitari per farmaceuticada pubblico (Extraregione)</t>
  </si>
  <si>
    <t>B.2.A.3) Acquisti servizi sanitari per assistenza specialistica ambulatoriale</t>
  </si>
  <si>
    <t>305100150101000</t>
  </si>
  <si>
    <t>305100150102000</t>
  </si>
  <si>
    <t>B.2.A.3.2) Prestazioni di pronto soccorso non seguite da ricovero - da pubblico (Aziende sanitarie pubbliche della Regione)</t>
  </si>
  <si>
    <t>305100150150000</t>
  </si>
  <si>
    <t>B.2.A.3.3) - da pubblico (altri soggetti pubbl. della Regione), ad eccezione delle somministrazionidi farmaci e dispositivi ad alto costoin trattamento</t>
  </si>
  <si>
    <t>305100150200000</t>
  </si>
  <si>
    <t>Servizi sanitari per assistenza specialistica ambulatoriale da pubblico (altri soggetti pubbl. della Regione)</t>
  </si>
  <si>
    <t>B.2.A.3.4) Prestazioni di pronto soccorso non seguite da ricovero - da pubblico (altri soggetti pubbl. della Regione)</t>
  </si>
  <si>
    <t>305100150250000</t>
  </si>
  <si>
    <t>305100150301000</t>
  </si>
  <si>
    <t>B.2.A.3.6) - Prestazioni di pronto soccorso non seguite da ricovero - da pubblico (Extraregione)</t>
  </si>
  <si>
    <t>305100150350000</t>
  </si>
  <si>
    <t>305100150401000</t>
  </si>
  <si>
    <t>Compensi fissi medici SUMAI</t>
  </si>
  <si>
    <t>305100150402000</t>
  </si>
  <si>
    <t>Compendi da fondo ponderazione medici SUMAI</t>
  </si>
  <si>
    <t>305100150403000</t>
  </si>
  <si>
    <t>Compensi extra derivanti da accordi nazionali medici SUMAI</t>
  </si>
  <si>
    <t>305100150404000</t>
  </si>
  <si>
    <t>Compensi da accordi regionali medici SUMAI</t>
  </si>
  <si>
    <t>305100150405000</t>
  </si>
  <si>
    <t>Compensi da accordi aziendali medici SUMAI</t>
  </si>
  <si>
    <t>305100150406000</t>
  </si>
  <si>
    <t>Altre competenze medici SUMAI</t>
  </si>
  <si>
    <t>305100150407000</t>
  </si>
  <si>
    <t>Oneri sociali medici SUMAI</t>
  </si>
  <si>
    <t>305100150501000</t>
  </si>
  <si>
    <t>B.2.A.3.8.B) Servizi sanitari per prestazioni di pronto soccorso non seguite da ricovero da IRCCS privati e Policlinici privati</t>
  </si>
  <si>
    <t>305100150501500</t>
  </si>
  <si>
    <t>Servizi sanitari per prestazioni di pronto soccorso non seguite da ricovero - da IRCCS privati e Policlinici privati</t>
  </si>
  <si>
    <t>305100150502000</t>
  </si>
  <si>
    <t>B.2.A.3.8.D) Servizi sanitari per prestazioni di pronto soccorso non seguite da ricovero da Ospedali Classificati privati</t>
  </si>
  <si>
    <t>305100150502500</t>
  </si>
  <si>
    <t>305100150503000</t>
  </si>
  <si>
    <t>B.2.A.3.8.F) Servizi sanitari per prestazioni di pronto soccorso non seguite da ricovero da Case di Cura private</t>
  </si>
  <si>
    <t>305100150503500</t>
  </si>
  <si>
    <t>305100150504000</t>
  </si>
  <si>
    <t>B.2.A.3.8.H) Servizi sanitari per prestazioni di pronto soccorso non seguite da ricovero da altri privati</t>
  </si>
  <si>
    <t>305100150504500</t>
  </si>
  <si>
    <t>305100150600000</t>
  </si>
  <si>
    <t>Servizi sanitari per ass. spec. ambulatoriale da privato per cittadini non residenti - Extraregione (mobilità attiva in compensazione)</t>
  </si>
  <si>
    <t>B.2.A.3.10) - Servizi sanitari per prestazioni di pronto soccorso non seguite da ricovero - da privato per cittadini non residenti - Extraregione (mobilità attiva in compensazione)</t>
  </si>
  <si>
    <t>305100150700000</t>
  </si>
  <si>
    <t>B.2.A.4) Acquisti servizi sanitari per assistenza riabilitativa</t>
  </si>
  <si>
    <t>305100200100000</t>
  </si>
  <si>
    <t>Servizi sanitari per assistenza riabilitativa da pubblico (Aziende sanitarie pubbliche della Regione)</t>
  </si>
  <si>
    <t>305100200200000</t>
  </si>
  <si>
    <t>Servizi sanitari per assistenza riabilitativa da pubblico (altri soggetti pubbl. della Regione)</t>
  </si>
  <si>
    <t>305100200300000</t>
  </si>
  <si>
    <t>Servizi sanitari per assistenza riabilitativada pubblico (Extraregione) non soggetti a compensazione</t>
  </si>
  <si>
    <t>305100200401000</t>
  </si>
  <si>
    <t>Assistenza riabilitativa ex art.26 L.833/78 - in regime di ricovero da privato (intraregionale)</t>
  </si>
  <si>
    <t>305100200402000</t>
  </si>
  <si>
    <t>Assistenza riabilitativa ex art.26 L.833/78 - in regime ambulatoriale da privato (intraregionale)</t>
  </si>
  <si>
    <t>305100200501000</t>
  </si>
  <si>
    <t>Assistenza riabilitativa ex art.26 L.833/78 - in regime di ricovero da privato (extraregionale)</t>
  </si>
  <si>
    <t>305100200502000</t>
  </si>
  <si>
    <t>Assistenza riabilitativa ex art.26 L.833/78 - in regime ambulatoriale da privato (extraregionale)</t>
  </si>
  <si>
    <t>B.2.A.5) Acquisti servizi sanitari per assistenza integrativa</t>
  </si>
  <si>
    <t>305100250100000</t>
  </si>
  <si>
    <t>Servizi sanitari per assistenza integrativa da pubblico (Aziende sanitarie pubbliche della Regione)</t>
  </si>
  <si>
    <t>305100250200000</t>
  </si>
  <si>
    <t>Servizi sanitari per assistenza integrativa da pubblico (altri soggetti pubbl. della Regione)</t>
  </si>
  <si>
    <t>305100250300000</t>
  </si>
  <si>
    <t>Servizi sanitari per assistenza integrativa da pubblico (Extraregione)</t>
  </si>
  <si>
    <t>305100250401000</t>
  </si>
  <si>
    <t>305100250402000</t>
  </si>
  <si>
    <t>305100250409000</t>
  </si>
  <si>
    <t>B.2.A.6) Acquisti servizi sanitari per assistenza protesica</t>
  </si>
  <si>
    <t>305100300100000</t>
  </si>
  <si>
    <t>Servizi sanitari per assistenza protesica da pubblico (Aziende sanitarie pubbliche della Regione)</t>
  </si>
  <si>
    <t>305100300200000</t>
  </si>
  <si>
    <t>Servizi sanitari per assistenza protesica da pubblico (altri soggetti pubbl. della Regione)</t>
  </si>
  <si>
    <t>305100300300000</t>
  </si>
  <si>
    <t>Servizi sanitari per assistenza protesica da pubblico (Extraregione)</t>
  </si>
  <si>
    <t>305100300401000</t>
  </si>
  <si>
    <t>305100300402000</t>
  </si>
  <si>
    <t>B.2.A.7) Acquisti servizi sanitari per assistenza ospedaliera</t>
  </si>
  <si>
    <t>305100350101000</t>
  </si>
  <si>
    <t>305100350102000</t>
  </si>
  <si>
    <t>305100350200000</t>
  </si>
  <si>
    <t>Acquisto di prestazioni in regime di ricovero (DRG) da pubblico (altri soggetti pubbl. della Regione)</t>
  </si>
  <si>
    <t>305100350300000</t>
  </si>
  <si>
    <t>305100350401000</t>
  </si>
  <si>
    <t>305100350402000</t>
  </si>
  <si>
    <t>305100350403000</t>
  </si>
  <si>
    <t>305100350404000</t>
  </si>
  <si>
    <t>305100350500000</t>
  </si>
  <si>
    <t>Servizi sanitari per ass. osped. da privato per cittadini non residenti - Extraregione (mobilità attiva in compensazione)</t>
  </si>
  <si>
    <t>B.2.A.8) Acquisto prestazioni di psichiatria residenziale e semiresidenziale</t>
  </si>
  <si>
    <t>305100400100000</t>
  </si>
  <si>
    <t>Prestazioni di psichiatria resid. e semiresid. da pubblico (Aziende sanitarie pubbliche della Regione)</t>
  </si>
  <si>
    <t>305100400200000</t>
  </si>
  <si>
    <t>Prestazioni di psichiatria resid. e semiresid. da pubblico (altri soggetti pubbl. della Regione)</t>
  </si>
  <si>
    <t>305100400300000</t>
  </si>
  <si>
    <t>Prestazioni di psichiatria resid. e semiresid. da pubblico (Extraregione) - non soggette a compensazione</t>
  </si>
  <si>
    <t>305100400400000</t>
  </si>
  <si>
    <t>Prestazioni di psichiatria resid. e semiresid. da privato (intraregionale)</t>
  </si>
  <si>
    <t>305100400500000</t>
  </si>
  <si>
    <t>Prestazioni di psichiatria resid. e semiresid.  da privato (extraregionale)</t>
  </si>
  <si>
    <t>B.2.A.9) Acquisto prestazioni di distribuzione farmaci File F</t>
  </si>
  <si>
    <t>305100450101000</t>
  </si>
  <si>
    <t>305100450102000</t>
  </si>
  <si>
    <t>305100450200000</t>
  </si>
  <si>
    <t>Prestazioni di distribuzione farmaci File F da pubblico (altri soggetti pubbl. della Regione)</t>
  </si>
  <si>
    <t>305100450300000</t>
  </si>
  <si>
    <t>Prestazioni di distribuzione farmaci File F da pubblico (Extraregione)</t>
  </si>
  <si>
    <t>305100450500000</t>
  </si>
  <si>
    <t>Prestazioni di distribuzione farmaci File F da privato (extraregionale)</t>
  </si>
  <si>
    <t>305100450600000</t>
  </si>
  <si>
    <t>Prestazioni di distribuzione farmaci File F da privato per cittadini non residenti - Extraregione (mobilità attiva in compensazione)</t>
  </si>
  <si>
    <t>B.2.A.10) Acquisto prestazioni termali in convenzione</t>
  </si>
  <si>
    <t>305100500100000</t>
  </si>
  <si>
    <t>Prestazioni termali in convenzione da pubblico (Aziende sanitarie pubbliche della Regione) - Mobilità intraregionale</t>
  </si>
  <si>
    <t>305100500200000</t>
  </si>
  <si>
    <t>Prestazioni termali in convenzione da pubblico (altri soggetti pubbl. della Regione)</t>
  </si>
  <si>
    <t>305100500300000</t>
  </si>
  <si>
    <t>Prestazioni termali in convenzione da pubblico (Extraregione)</t>
  </si>
  <si>
    <t>305100500400000</t>
  </si>
  <si>
    <t>Prestazioni termali in convenzione da privato</t>
  </si>
  <si>
    <t>305100500500000</t>
  </si>
  <si>
    <t>Prestazioni termali in convenzione da privato per cittadini non residenti - Extraregione (mobilità attiva in compensazione)</t>
  </si>
  <si>
    <t>B.2.A.11) Acquisto prestazioni di trasporto sanitario</t>
  </si>
  <si>
    <t>305100550100000</t>
  </si>
  <si>
    <t>Prestazioni di trasporto sanitario da pubblico (Aziende sanitarie pubbliche della Regione) - Mobilità intraregionale</t>
  </si>
  <si>
    <t>305100550200000</t>
  </si>
  <si>
    <t>Prestazioni di trasporto sanitario da pubblico (altri soggetti pubbl. della Regione)</t>
  </si>
  <si>
    <t>305100550300000</t>
  </si>
  <si>
    <t>Prestazioni di trasporto sanitario da pubblico (Extraregione)</t>
  </si>
  <si>
    <t>305100550401000</t>
  </si>
  <si>
    <t>305100550402000</t>
  </si>
  <si>
    <t>305100550403000</t>
  </si>
  <si>
    <t>305100550404000</t>
  </si>
  <si>
    <t>B.2.A.12) Acquisto prestazioni Socio-Sanitarie a rilevanza sanitaria</t>
  </si>
  <si>
    <t>B.2.A.12.1.A) Assistenza domiciliare integrata</t>
  </si>
  <si>
    <t>305100600101000</t>
  </si>
  <si>
    <t>305100600102000</t>
  </si>
  <si>
    <t>Altre prestazioni socio-sanitarie a rilevanza sanitaria</t>
  </si>
  <si>
    <t>305100600201000</t>
  </si>
  <si>
    <t>RSA esterne (altri soggetti pubblici della Regione)</t>
  </si>
  <si>
    <t>305100600202000</t>
  </si>
  <si>
    <t>Rimborso per ass. san. in strutture resid. e semi resid. per anziani (altri soggetti pubblici della Regione)</t>
  </si>
  <si>
    <t>305100600203000</t>
  </si>
  <si>
    <t>Abbattimento rette anziani non autosufficienti (altri soggetti pubblici della Regione)</t>
  </si>
  <si>
    <t>305100600209000</t>
  </si>
  <si>
    <t>305100600250000</t>
  </si>
  <si>
    <t>Acquisto di Altre prestazioni sociosanitarie a rilevanza sanitaria erogate a soggetti pubblici Extraregione  - da pubblico  (Extraregione)</t>
  </si>
  <si>
    <t>305100600300000</t>
  </si>
  <si>
    <t>Acquisto di Altre prestazioni sociosanitarie a rilevanza sanitaria erogate a soggetti pubblici (Extraregione) non soggette a compensazione</t>
  </si>
  <si>
    <t>305100600301000</t>
  </si>
  <si>
    <t>305100600302000</t>
  </si>
  <si>
    <t>305100600401000</t>
  </si>
  <si>
    <t>305100600402000</t>
  </si>
  <si>
    <t>305100600403000</t>
  </si>
  <si>
    <t>305100600404000</t>
  </si>
  <si>
    <t>305100600405000</t>
  </si>
  <si>
    <t>305100600406000</t>
  </si>
  <si>
    <t>Assist. riabilitativa residenziale e integrativa territoriale per tossicodipendenti da privato (intraregionale)</t>
  </si>
  <si>
    <t>305100600407000</t>
  </si>
  <si>
    <t>305100600409000</t>
  </si>
  <si>
    <t>305100600501000</t>
  </si>
  <si>
    <t>Assist. riabilitativa residenziale e integrativa territoriale per tossicodipendenti da privato (extraregionale)</t>
  </si>
  <si>
    <t>305100600509000</t>
  </si>
  <si>
    <t>B.2.A.13) Compartecipazione al personale per att. libero-prof. (intramoenia)</t>
  </si>
  <si>
    <t>B.2.A.13.1) Compartecipazione al personale per att. libero professionale intramoenia - Area ospedaliera</t>
  </si>
  <si>
    <t>305100650100000</t>
  </si>
  <si>
    <t>B.2.A.13.2) Compartecipazione al personale per att. libero professionale intramoenia- Area specialistica</t>
  </si>
  <si>
    <t>305100650200000</t>
  </si>
  <si>
    <t>B.2.A.13.3) Compartecipazione al personale per att. libero professionale intramoenia - Area sanità pubblica</t>
  </si>
  <si>
    <t>305100650300000</t>
  </si>
  <si>
    <t>B.2.A.13.4) Compartecipazione al personale per att. libero professionale intramoenia - Consulenze (ex art. 55 c.1 lett. c), d) ed ex Art. 57-58)</t>
  </si>
  <si>
    <t>305100650401000</t>
  </si>
  <si>
    <t>305100650402000</t>
  </si>
  <si>
    <t>305100650403000</t>
  </si>
  <si>
    <t>305100650409000</t>
  </si>
  <si>
    <t>Oneri su compartecipazione al  personale Dirigenza  med-vet-san. e delle prof. sanitarie per att. libero  professionale intramoenia - Altro</t>
  </si>
  <si>
    <t>B.2.A.13.5) Compartecipazione al personale per att. libero professionale intramoenia - Consulenze (ex art. 55 c.1 lett. c), d) ed ex Art. 57-58) (Aziende sanitarie pubbliche della Regione)</t>
  </si>
  <si>
    <t>305100650501000</t>
  </si>
  <si>
    <t>Consulenze a favore di terzi, rimborsate Dirigenza medica e veterinaria (Aziende sanitarie pubbliche della Regione)</t>
  </si>
  <si>
    <t>305100650502000</t>
  </si>
  <si>
    <t>Consulenze a favore di terzi, rimborsate Dirigenza sanitaria e delle professioni sanitarie (Aziende sanitarie pubbliche della Regione)</t>
  </si>
  <si>
    <t>305100650503000</t>
  </si>
  <si>
    <t>Consulenze a favore di terzi, rimborsate Dirigenza medica universitaria (Aziende sanitarie pubbliche della Regione)</t>
  </si>
  <si>
    <t>305100650509000</t>
  </si>
  <si>
    <t>Oneri su compart. al  personale Dirigenza  med-vet-san. e delle prof. sani. per att. libero  professionale intramoenia - Altro (Aziende sanitarie pubbliche della Regione)</t>
  </si>
  <si>
    <t>B.2.A.13.6) Compartecipazione al personale per att. libero professionale intramoenia - Altro</t>
  </si>
  <si>
    <t>305100650600500</t>
  </si>
  <si>
    <t>305100650601000</t>
  </si>
  <si>
    <t>Consulenze a favore di terzi, rimborsate Dirigenza ruolo tecnico</t>
  </si>
  <si>
    <t>305100650601500</t>
  </si>
  <si>
    <t>Consulenze a favore di terzi, rimborsate Dirigenza ruolo amministrativo</t>
  </si>
  <si>
    <t>305100650602000</t>
  </si>
  <si>
    <t>305100650602500</t>
  </si>
  <si>
    <t>305100650603000</t>
  </si>
  <si>
    <t>305100650603500</t>
  </si>
  <si>
    <t>Consulenze a favore di terzi, rimborsate Comparto ruolo amministrativo</t>
  </si>
  <si>
    <t>305100650604000</t>
  </si>
  <si>
    <t>305100650604500</t>
  </si>
  <si>
    <t>305100650605000</t>
  </si>
  <si>
    <t>305100650609000</t>
  </si>
  <si>
    <t>B.2.A.13.7) Compartecipazione al personale per att. libero professionale intramoenia - Altro (Aziende sanitarie pubbliche della Regione)</t>
  </si>
  <si>
    <t>305100650700500</t>
  </si>
  <si>
    <t>Consulenze a favore di terzi, rimborsate Dirigenza ruolo professionale  (Aziende sanitarie pubbliche della Regione)</t>
  </si>
  <si>
    <t>305100650701000</t>
  </si>
  <si>
    <t>Consulenze a favore di terzi, rimborsate Dirigenza ruolo tecnico  (Aziende sanitarie pubbliche della Regione)</t>
  </si>
  <si>
    <t>305100650701500</t>
  </si>
  <si>
    <t>Consulenze a favore di terzi, rimborsate Dirigenza ruolo amministrativo  (Aziende sanitarie pubbliche della Regione)</t>
  </si>
  <si>
    <t>305100650702000</t>
  </si>
  <si>
    <t>Consulenze a favore di terzi, rimborsate Comparto ruolo sanitario (Aziende sanitarie pubbliche della Regione)</t>
  </si>
  <si>
    <t>305100650702500</t>
  </si>
  <si>
    <t>Consulenze a favore di terzi, rimborsate Comparto ruolo professionale (Aziende sanitarie pubbliche della Regione)</t>
  </si>
  <si>
    <t>305100650703000</t>
  </si>
  <si>
    <t>Consulenze a favore di terzi, rimborsate Comparto ruolo tecnico (Aziende sanitarie pubbliche della Regione)</t>
  </si>
  <si>
    <t>305100650703500</t>
  </si>
  <si>
    <t>Consulenze a favore di terzi, rimborsate Comparto ruolo amministrativo (Aziende sanitarie pubbliche della Regione)</t>
  </si>
  <si>
    <t>305100650704000</t>
  </si>
  <si>
    <t>305100650709000</t>
  </si>
  <si>
    <t>B.2.A.14) Rimborsi, assegni e contributi sanitari</t>
  </si>
  <si>
    <t>B.2.A.14.1) Contributi ad associazioni di volontariato</t>
  </si>
  <si>
    <t>305100700100000</t>
  </si>
  <si>
    <t>B.2.A.14.2) Rimborsi per cure all'estero</t>
  </si>
  <si>
    <t>305100700200000</t>
  </si>
  <si>
    <t>B.2.A.14.3) Contributi a società partecipate e/o enti dipendenti della Regione</t>
  </si>
  <si>
    <t>305100700300000</t>
  </si>
  <si>
    <t>B.2.A.14.4) Contributo Legge 210/92</t>
  </si>
  <si>
    <t>305100700400000</t>
  </si>
  <si>
    <t>B.2.A.14.5) Altri rimborsi, assegni e contributi</t>
  </si>
  <si>
    <t>305100700500500</t>
  </si>
  <si>
    <t>305100700501000</t>
  </si>
  <si>
    <t>305100700501500</t>
  </si>
  <si>
    <t>305100700502000</t>
  </si>
  <si>
    <t>305100700502500</t>
  </si>
  <si>
    <t>305100700503000</t>
  </si>
  <si>
    <t>305100700503500</t>
  </si>
  <si>
    <t>305100700504000</t>
  </si>
  <si>
    <t>305100700504500</t>
  </si>
  <si>
    <t>305100700509000</t>
  </si>
  <si>
    <t>B.2.A.14.6) Rimborsi, assegni e contributi v/Aziende sanitarie pubbliche della Regione</t>
  </si>
  <si>
    <t>305100700601000</t>
  </si>
  <si>
    <t>305100700609000</t>
  </si>
  <si>
    <t>305100700700000</t>
  </si>
  <si>
    <t>B.2.A.15) Consulenze, Collaborazioni, Interinale e altre prestazioni di lavoro sanitarie e sociosanitarie</t>
  </si>
  <si>
    <t>B.2.A.15.1) Consulenze sanitarie e sociosan. da Aziende sanitarie pubbliche della Regione</t>
  </si>
  <si>
    <t>305100750100000</t>
  </si>
  <si>
    <t>B.2.A.15.2) Consulenze sanitarie e sociosanit. da terzi - Altri soggetti pubblici</t>
  </si>
  <si>
    <t>305100750200000</t>
  </si>
  <si>
    <t>B.2.A.15.3) Consulenze, Collaborazioni, Interinale e altre prestazioni di lavoro sanitarie e socios. da privato</t>
  </si>
  <si>
    <t>305100750301000</t>
  </si>
  <si>
    <t>305100750302005</t>
  </si>
  <si>
    <t>305100750302010</t>
  </si>
  <si>
    <t>305100750302015</t>
  </si>
  <si>
    <t>B.2.A.15.3.C) Collaborazioni coordinate e continuative sanitarie e socios. da privato</t>
  </si>
  <si>
    <t>305100750303005</t>
  </si>
  <si>
    <t>305100750303010</t>
  </si>
  <si>
    <t>305100750303015</t>
  </si>
  <si>
    <t>305100750303020</t>
  </si>
  <si>
    <t>B.2.A.15.3.D) Indennità a personale universitario - area sanitaria</t>
  </si>
  <si>
    <t>305100750304005</t>
  </si>
  <si>
    <t xml:space="preserve">Indennità personale sanitario universitario </t>
  </si>
  <si>
    <t>305100750304010</t>
  </si>
  <si>
    <t>305100750304015</t>
  </si>
  <si>
    <t xml:space="preserve">Retribuzione di risultato personale sanitario universitario </t>
  </si>
  <si>
    <t>305100750304020</t>
  </si>
  <si>
    <t xml:space="preserve">Condizioni di lavoro personale personale sanitario universitario </t>
  </si>
  <si>
    <t>305100750304025</t>
  </si>
  <si>
    <t>Altri compensi personale sanitario universitario</t>
  </si>
  <si>
    <t>305100750304030</t>
  </si>
  <si>
    <t xml:space="preserve">Oneri sociali personale sanitario universitario </t>
  </si>
  <si>
    <t>B.2.A.15.3.E) Lavoro interinale - area sanitaria</t>
  </si>
  <si>
    <t>305100750305000</t>
  </si>
  <si>
    <t>Lavoro interinale - area sanitaria</t>
  </si>
  <si>
    <t>B.2.A.15.3.F) Altre collaborazioni e prestazioni di lavoro - area sanitaria</t>
  </si>
  <si>
    <t>305100750306005</t>
  </si>
  <si>
    <t>305100750306010</t>
  </si>
  <si>
    <t>305100750306015</t>
  </si>
  <si>
    <t>305100750306020</t>
  </si>
  <si>
    <t>305100750306025</t>
  </si>
  <si>
    <t>305100750306030</t>
  </si>
  <si>
    <t>305100750306035</t>
  </si>
  <si>
    <t>305100750306040</t>
  </si>
  <si>
    <t>305100750306090</t>
  </si>
  <si>
    <t>Oneri sociali su altre collaborazioni e prestazioni di lavoro - area sanitaria</t>
  </si>
  <si>
    <t>305100750401000</t>
  </si>
  <si>
    <t>305100750402000</t>
  </si>
  <si>
    <t>305100750403000</t>
  </si>
  <si>
    <t>B.2.A.16.1) Altri servizi sanitari e sociosanitari a rilevanza sanitaria da pubblico - Aziende sanitarie pubbliche della Regione</t>
  </si>
  <si>
    <t>305100800100000</t>
  </si>
  <si>
    <t>B.2.A.16.2) Altri servizi sanitari e sociosanitari a rilevanza sanitaria da pubblico - Altri soggetti pubblici della Regione</t>
  </si>
  <si>
    <t>305100800200000</t>
  </si>
  <si>
    <t>305100800300000</t>
  </si>
  <si>
    <t>B.2.A.16.4) Altri servizi sanitari da privato</t>
  </si>
  <si>
    <t>305100800401000</t>
  </si>
  <si>
    <t>305100800402000</t>
  </si>
  <si>
    <t>305100800409000</t>
  </si>
  <si>
    <t>B.2.A.16.5) Costi per servizi sanitari - Mobilità internazionale passiva</t>
  </si>
  <si>
    <t>305100800500000</t>
  </si>
  <si>
    <t>305100800600000</t>
  </si>
  <si>
    <t>B.2.A.16.7)   Costi per prestazioni sanitarie erogate da aziende sanitarie estere (fatturate direttamente)</t>
  </si>
  <si>
    <t>305100800700000</t>
  </si>
  <si>
    <t>305100850000000</t>
  </si>
  <si>
    <t>B.2.B.1) Servizi non sanitari</t>
  </si>
  <si>
    <t>B.2.B.1.1) Lavanderia</t>
  </si>
  <si>
    <t>305200100500000</t>
  </si>
  <si>
    <t>B.2.B.1.2) Pulizia</t>
  </si>
  <si>
    <t>305200100100000</t>
  </si>
  <si>
    <t>B.2.B.1.3) Mensa</t>
  </si>
  <si>
    <t>305200100151000</t>
  </si>
  <si>
    <t>305200100152000</t>
  </si>
  <si>
    <t>B.2.B.1.4) Riscaldamento</t>
  </si>
  <si>
    <t>305200100200000</t>
  </si>
  <si>
    <t>B.2.B.1.5) Servizi di assistenza informatica</t>
  </si>
  <si>
    <t>305200100251000</t>
  </si>
  <si>
    <t>305200100252000</t>
  </si>
  <si>
    <t>305200100259000</t>
  </si>
  <si>
    <t>B.2.B.1.6) Servizi trasporti (non sanitari)</t>
  </si>
  <si>
    <t>305200100300000</t>
  </si>
  <si>
    <t>B.2.B.1.7) Smaltimento rifiuti</t>
  </si>
  <si>
    <t>305200100350000</t>
  </si>
  <si>
    <t>B.2.B.1.8) Utenze telefoniche</t>
  </si>
  <si>
    <t>305200100401000</t>
  </si>
  <si>
    <t>305200100402000</t>
  </si>
  <si>
    <t>B.2.B.1.9) Utenze elettricità</t>
  </si>
  <si>
    <t>305200100450000</t>
  </si>
  <si>
    <t>B.2.B.1.10) Altre utenze</t>
  </si>
  <si>
    <t>305200100501000</t>
  </si>
  <si>
    <t>305200100502000</t>
  </si>
  <si>
    <t>305200100503000</t>
  </si>
  <si>
    <t>305200100504000</t>
  </si>
  <si>
    <t>305200100505000</t>
  </si>
  <si>
    <t>B.2.B.1.11) Premi di assicurazione</t>
  </si>
  <si>
    <t>B.2.B.1.11.A) Premi di assicurazione - R.C. Professionale</t>
  </si>
  <si>
    <t>305200100551000</t>
  </si>
  <si>
    <t>Premi di assicurazione - R.C. Professionale</t>
  </si>
  <si>
    <t>B.2.B.1.11.B) Premi di assicurazione - Altri premi assicurativi</t>
  </si>
  <si>
    <t>305200100552000</t>
  </si>
  <si>
    <t>305200100601000</t>
  </si>
  <si>
    <t>305200100602005</t>
  </si>
  <si>
    <t>305200100602010</t>
  </si>
  <si>
    <t>305200100603005</t>
  </si>
  <si>
    <t>305200100603010</t>
  </si>
  <si>
    <t>305200100603015</t>
  </si>
  <si>
    <t>305200100603020</t>
  </si>
  <si>
    <t>305200100603025</t>
  </si>
  <si>
    <t>305200100603030</t>
  </si>
  <si>
    <t>305200100603035</t>
  </si>
  <si>
    <t>305200100603040</t>
  </si>
  <si>
    <t>305200100603045</t>
  </si>
  <si>
    <t>305200100603050</t>
  </si>
  <si>
    <t>305200100603055</t>
  </si>
  <si>
    <t>305200100603060</t>
  </si>
  <si>
    <t>305200100603065</t>
  </si>
  <si>
    <t>305200100603080</t>
  </si>
  <si>
    <t>305200100603090</t>
  </si>
  <si>
    <t>B.2.B.2) Consulenze, Collaborazioni, Interinale e altre prestazioni di lavoro non sanitarie</t>
  </si>
  <si>
    <t>305200200100000</t>
  </si>
  <si>
    <t>305200200200000</t>
  </si>
  <si>
    <t>305200200301005</t>
  </si>
  <si>
    <t>305200200301010</t>
  </si>
  <si>
    <t>305200200301015</t>
  </si>
  <si>
    <t>305200200301020</t>
  </si>
  <si>
    <t>305200200301090</t>
  </si>
  <si>
    <t>305200200302000</t>
  </si>
  <si>
    <t>B.2.B.2.3.C) Indennità a personale universitario - area non sanitaria</t>
  </si>
  <si>
    <t>305200200303000</t>
  </si>
  <si>
    <t>Indennità a personale universitario - area non sanitaria</t>
  </si>
  <si>
    <t>B.2.B.2.3.D) Lavoro interinale - area non sanitaria</t>
  </si>
  <si>
    <t>305200200304000</t>
  </si>
  <si>
    <t>Lavoro interinale - area non sanitaria</t>
  </si>
  <si>
    <t>B.2.B.2.3.E) Altre collaborazioni e prestazioni di lavoro - area non sanitaria</t>
  </si>
  <si>
    <t>305200200305010</t>
  </si>
  <si>
    <t>305200200305020</t>
  </si>
  <si>
    <t>305200200305030</t>
  </si>
  <si>
    <t>305200200305040</t>
  </si>
  <si>
    <t>305200200305090</t>
  </si>
  <si>
    <t>Altre collaborazioni e prestazioni di lavoro - area non sanitaria</t>
  </si>
  <si>
    <t>B.2.B.2.3.F) Altre Consulenze non sanitarie da privato - in attuazione dell'art.79, comma 1 sexies lettera c), del D.L. 112/2008, convertito con legge 133/2008 e della legge 23 dicembre 2009 n. 191.</t>
  </si>
  <si>
    <t>305200200306000</t>
  </si>
  <si>
    <t>Altre Consulenze non sanitarie da privato - in attuazione dell'art.79, comma 1 sexies lettera c), del D.L. 112/2008, convertito con legge 133/2008 e della legge 23 dicembre 2009 n. 191.</t>
  </si>
  <si>
    <t>305200200401000</t>
  </si>
  <si>
    <t>305200200402000</t>
  </si>
  <si>
    <t>305200200403000</t>
  </si>
  <si>
    <t>305200300100000</t>
  </si>
  <si>
    <t>305200300200000</t>
  </si>
  <si>
    <t>B.3) Manutenzione e riparazione (ordinaria esternalizzata)</t>
  </si>
  <si>
    <t>B.3.A) Manutenzione e riparazione ai fabbricati e loro pertinenze</t>
  </si>
  <si>
    <t>310100000000000</t>
  </si>
  <si>
    <t>B.3.B) Manutenzione e riparazione agli impianti e macchinari</t>
  </si>
  <si>
    <t>310200100000000</t>
  </si>
  <si>
    <t>310200200000000</t>
  </si>
  <si>
    <t>310200300000000</t>
  </si>
  <si>
    <t>B.3.C) Manutenzione e riparazione alle attrezzature sanitarie e scientifiche</t>
  </si>
  <si>
    <t>310300000000000</t>
  </si>
  <si>
    <t>B.3.D) Manutenzione e riparazione ai mobili e arredi</t>
  </si>
  <si>
    <t>310400000000000</t>
  </si>
  <si>
    <t>B.3.E) Manutenzione e riparazione agli automezzi</t>
  </si>
  <si>
    <t>310500000000000</t>
  </si>
  <si>
    <t>B.3.F) Altre manutenzioni e riparazioni</t>
  </si>
  <si>
    <t>310600100000000</t>
  </si>
  <si>
    <t>310600200000000</t>
  </si>
  <si>
    <t>310600300000000</t>
  </si>
  <si>
    <t>B.3.G) Manutenzioni e riparazioni da Aziende sanitarie pubbliche della Regione</t>
  </si>
  <si>
    <t>310700000000000</t>
  </si>
  <si>
    <t>B.4) Godimento di beni di terzi</t>
  </si>
  <si>
    <t>B.4.A) Fitti passivi</t>
  </si>
  <si>
    <t>315100100000000</t>
  </si>
  <si>
    <t>315100200000000</t>
  </si>
  <si>
    <t>B.4.B) Canoni di noleggio</t>
  </si>
  <si>
    <t>315200100000000</t>
  </si>
  <si>
    <t>315200200100000</t>
  </si>
  <si>
    <t>315200200200000</t>
  </si>
  <si>
    <t>315200200300000</t>
  </si>
  <si>
    <t>315200200900000</t>
  </si>
  <si>
    <t>B.4.C) Canoni di leasing</t>
  </si>
  <si>
    <t>315300100100000</t>
  </si>
  <si>
    <t>Canoni di leasing operativo  - area sanitaria</t>
  </si>
  <si>
    <t>315300100200000</t>
  </si>
  <si>
    <t>Canoni di leasing finanziario  - area sanitaria</t>
  </si>
  <si>
    <t>315300200100000</t>
  </si>
  <si>
    <t>Canoni di leasing operativo - area non sanitaria</t>
  </si>
  <si>
    <t>315300200200000</t>
  </si>
  <si>
    <t>Canoni di leasing finanziario - area non sanitaria</t>
  </si>
  <si>
    <t>315350000000000</t>
  </si>
  <si>
    <t>315400000000000</t>
  </si>
  <si>
    <t>B.5) Personale del ruolo sanitario</t>
  </si>
  <si>
    <t>320100100101000</t>
  </si>
  <si>
    <t>Voci di costo a carattere stipendiale - personale dirigente medico tempo indeterm.</t>
  </si>
  <si>
    <t>320100100102000</t>
  </si>
  <si>
    <t>Retribuzione di posizione - personale dirigente medico tempo indeterm.</t>
  </si>
  <si>
    <t>320100100103000</t>
  </si>
  <si>
    <t>Retribuzione di risultato - personale dirigente medico tempo indeterm.</t>
  </si>
  <si>
    <t>320100100104000</t>
  </si>
  <si>
    <t>Condizioni di lavoro - personale dirigente medico tempo indeterm.</t>
  </si>
  <si>
    <t>320100100105000</t>
  </si>
  <si>
    <t>Accantonamento al fondo per TFR dipendenti - personale dirigente medico tempo indeterm.</t>
  </si>
  <si>
    <t>320100100106000</t>
  </si>
  <si>
    <t>Accantonamento ai fondi integrativi pensione - personale dirigente medico tempo indeterm.</t>
  </si>
  <si>
    <t>320100100107000</t>
  </si>
  <si>
    <t>Altre competenze personale dirigente medico tempo indeterm.</t>
  </si>
  <si>
    <t>320100100109000</t>
  </si>
  <si>
    <t>Oneri sociali su retribuzione - personale dirigente medico tempo indeterm.</t>
  </si>
  <si>
    <t>B.5.A.1.2) Costo del personale dirigente medico - tempo determ.</t>
  </si>
  <si>
    <t>320100100201000</t>
  </si>
  <si>
    <t>Voci di costo a carattere stipendiale - personale dirigente medico tempo determ.</t>
  </si>
  <si>
    <t>320100100202000</t>
  </si>
  <si>
    <t>Retribuzione di posizione - personale dirigente medico tempo determ.</t>
  </si>
  <si>
    <t>320100100203000</t>
  </si>
  <si>
    <t>Retribuzione di risultato - personale dirigente medico tempo determ.</t>
  </si>
  <si>
    <t>320100100204000</t>
  </si>
  <si>
    <t>Condizioni di lavoro - personale dirigente medico tempo determ.</t>
  </si>
  <si>
    <t>320100100205000</t>
  </si>
  <si>
    <t>Accantonamento al fondo per TFR dipendenti - dirigente medico tempo determ.</t>
  </si>
  <si>
    <t>320100100206000</t>
  </si>
  <si>
    <t>Accantonamento ai fondi integrativi pensione - dirigente medico tempo determ.</t>
  </si>
  <si>
    <t>320100100207000</t>
  </si>
  <si>
    <t>Altre competenze personale dirigente medico tempo determ.</t>
  </si>
  <si>
    <t>320100100209000</t>
  </si>
  <si>
    <t>Oneri sociali su retribuzione - personale dirigente medico tempo determ.</t>
  </si>
  <si>
    <t>320100100300000</t>
  </si>
  <si>
    <t>B.5.A.2.1) Costo del personale dirigente non medico - tempo indeterm.</t>
  </si>
  <si>
    <t>320100200101000</t>
  </si>
  <si>
    <t>Voci di costo a carattere stipendiale - personale dirigente non medico tempo indeterm.</t>
  </si>
  <si>
    <t>320100200102000</t>
  </si>
  <si>
    <t>Retribuzione di posizione - personale dirigente non medico tempo indeterm.</t>
  </si>
  <si>
    <t>320100200103000</t>
  </si>
  <si>
    <t>Retribuzione di risultato - personale dirigente non medico tempo indeterm.</t>
  </si>
  <si>
    <t>320100200104000</t>
  </si>
  <si>
    <t>Condizioni di lavoro - personale dirigente non medico tempo indeterm.</t>
  </si>
  <si>
    <t>320100200105000</t>
  </si>
  <si>
    <t>Accantonamento al fondo per TFR dipendenti - personale dirigente non medico tempo indeterm.</t>
  </si>
  <si>
    <t>320100200106000</t>
  </si>
  <si>
    <t>Accantonamento ai fondi integrativi pensione - personale dirigente non medico tempo indeterm.</t>
  </si>
  <si>
    <t>320100200107000</t>
  </si>
  <si>
    <t>Altre competenze personale dirigente non medico - personale dirigente non medico tempo indeterm.</t>
  </si>
  <si>
    <t>320100200109000</t>
  </si>
  <si>
    <t>Oneri sociali su retribuzione - personale dirigente non medico tempo indeterm.</t>
  </si>
  <si>
    <t>B.5.A.2.2) Costo del personale dirigente non medico - tempo determ.</t>
  </si>
  <si>
    <t>320100200201000</t>
  </si>
  <si>
    <t>Voci di costo a carattere stipendiale - personale dirigente non medico tempo determ.</t>
  </si>
  <si>
    <t>320100200202000</t>
  </si>
  <si>
    <t>Retribuzione di posizione - personale dirigente non medico tempo determ.</t>
  </si>
  <si>
    <t>320100200203000</t>
  </si>
  <si>
    <t>Retribuzione di risultato - personale dirigente non medico tempo determ.</t>
  </si>
  <si>
    <t>320100200204000</t>
  </si>
  <si>
    <t>Condizioni di lavoro - personale dirigente non medico tempo determ.</t>
  </si>
  <si>
    <t>320100200205000</t>
  </si>
  <si>
    <t>Accantonamento al fondo per TFR dipendenti - personale dirigente non medico tempo determ.</t>
  </si>
  <si>
    <t>320100200206000</t>
  </si>
  <si>
    <t>Accantonamento ai fondi integrativi pensione - personale dirigente non medico tempo determ.</t>
  </si>
  <si>
    <t>320100200207000</t>
  </si>
  <si>
    <t>Altre competenze personale dirigente non medico - personale dirigente non medico tempo determ.</t>
  </si>
  <si>
    <t>320100200209000</t>
  </si>
  <si>
    <t>Oneri sociali su retribuzione - personale dirigente non medico tempo determ.</t>
  </si>
  <si>
    <t>320100200300000</t>
  </si>
  <si>
    <t>Costo del personale dirigente non medico - altro</t>
  </si>
  <si>
    <t>B.5.B.1) Costo del personale comparto ruolo sanitario - tempo indeterm.</t>
  </si>
  <si>
    <t>320200100100000</t>
  </si>
  <si>
    <t>Voci di costo a carattere stipendiale - personale comparto ruolo sanitario tempo indeterm.</t>
  </si>
  <si>
    <t>3202001002000</t>
  </si>
  <si>
    <t>Premialità e condizioni di lavoro personale comparto ruolo sanitario tempo indeterm.</t>
  </si>
  <si>
    <t>320200100201000</t>
  </si>
  <si>
    <t>Straordinario - personale comparto ruolo sanitario tempo indeterm.</t>
  </si>
  <si>
    <t>320200100202000</t>
  </si>
  <si>
    <t>Condizioni di lavoro - personale comparto ruolo sanitario tempo indeterm.</t>
  </si>
  <si>
    <t>320200100203000</t>
  </si>
  <si>
    <t>Premialità - personale comparto ruolo sanitario tempo indeterm.</t>
  </si>
  <si>
    <t>3202001003000</t>
  </si>
  <si>
    <t>Incarichi, progressioni economiche ed indennità professionali comparto ruolo sanitario tempo indeterm.</t>
  </si>
  <si>
    <t>320200100301000</t>
  </si>
  <si>
    <t>Incarichi - personale comparto ruolo sanitario tempo indeterm.</t>
  </si>
  <si>
    <t>320200100302000</t>
  </si>
  <si>
    <t>Progressioni economiche - personale comparto ruolo sanitario tempo indeterm.</t>
  </si>
  <si>
    <t>320200100303000</t>
  </si>
  <si>
    <t>Indennità professionali - personale comparto ruolo sanitario tempo indeterm.</t>
  </si>
  <si>
    <t>320200100400000</t>
  </si>
  <si>
    <t>Accantonamento al fondo per TFR dipendenti - personale comparto ruolo sanitario tempo indeterm.</t>
  </si>
  <si>
    <t>320200100500000</t>
  </si>
  <si>
    <t>Accantonamento ai fondi integrativi pensione - personale comparto ruolo sanitario tempo indeterm.</t>
  </si>
  <si>
    <t>320200100600000</t>
  </si>
  <si>
    <t>Altri oneri per il personale comparto ruolo sanitario tempo indeterm.</t>
  </si>
  <si>
    <t>320200100900000</t>
  </si>
  <si>
    <t>Oneri sociali su retribuzione - personale comparto ruolo sanitario tempo indeterm.</t>
  </si>
  <si>
    <t>B.5.B.2) Costo del personale comparto ruolo sanitario - tempo determ.</t>
  </si>
  <si>
    <t>3202002000000</t>
  </si>
  <si>
    <t>B.5.B.2) a) Costo del personale comparto ruolo sanitario - tempo determ.</t>
  </si>
  <si>
    <t>320200200100000</t>
  </si>
  <si>
    <t>Voci di costo a carattere stipendiale - personale comparto ruolo sanitario tempo determ.</t>
  </si>
  <si>
    <t>3202002002000</t>
  </si>
  <si>
    <t>Premialità e condizioni di lavoro personale comparto ruolo sanitario tempo determ.</t>
  </si>
  <si>
    <t>320200200201000</t>
  </si>
  <si>
    <t>Straordinario - personale comparto ruolo sanitario tempo determ.</t>
  </si>
  <si>
    <t>320200200202000</t>
  </si>
  <si>
    <t>Condizioni di lavoro - personale comparto ruolo sanitario tempo determ.</t>
  </si>
  <si>
    <t>320200200203000</t>
  </si>
  <si>
    <t>Premialità - personale comparto ruolo sanitario tempo determ.</t>
  </si>
  <si>
    <t>3202002003000</t>
  </si>
  <si>
    <t>Incarichi, progressioni economiche ed indennità professionali comparto ruolo sanitario tempo determ.</t>
  </si>
  <si>
    <t>320200200301000</t>
  </si>
  <si>
    <t>Incarichi - personale comparto ruolo sanitario tempo determ.</t>
  </si>
  <si>
    <t>320200200302000</t>
  </si>
  <si>
    <t>Progressioni economiche - personale comparto ruolo sanitario tempo determ.</t>
  </si>
  <si>
    <t>320200200303000</t>
  </si>
  <si>
    <t>Indennità professionali - personale comparto ruolo sanitario tempo determ.</t>
  </si>
  <si>
    <t>320200200400000</t>
  </si>
  <si>
    <t>Accantonamento al fondo per TFR dipendenti - personale comparto ruolo sanitario tempo determ.</t>
  </si>
  <si>
    <t>320200200500000</t>
  </si>
  <si>
    <t>Accantonamento ai fondi integrativi pensione - personale comparto ruolo sanitario tempo determ.</t>
  </si>
  <si>
    <t>320200200600000</t>
  </si>
  <si>
    <t>Altri oneri per il personale comparto ruolo sanitario tempo determ.</t>
  </si>
  <si>
    <t>320200200900000</t>
  </si>
  <si>
    <t>Oneri sociali su retribuzione - personale comparto ruolo sanitario tempo determ.</t>
  </si>
  <si>
    <t>3202002010000</t>
  </si>
  <si>
    <t>B.5.B.2) b) Costo del personale comparto ruolo ricercatori piramide - tempo determ.</t>
  </si>
  <si>
    <t>320200201100000</t>
  </si>
  <si>
    <t>Voci di costo a carattere stipendiale - personale comparto ruolo ricercatori piramide tempo determ.</t>
  </si>
  <si>
    <t>3202002012000</t>
  </si>
  <si>
    <t>Premialità e condizioni di lavoro personale ruolo ricercatori piramide - tempo determ.</t>
  </si>
  <si>
    <t>320200201201000</t>
  </si>
  <si>
    <t>Straordinario - personale comparto ruolo ricercatori  piramide tempo determ.</t>
  </si>
  <si>
    <t>320200201202000</t>
  </si>
  <si>
    <t>Condizioni di lavoro - ruolo ricercatori piramide tempo determ.</t>
  </si>
  <si>
    <t>320200201203000</t>
  </si>
  <si>
    <t>Premialità - ruolo ricercatori piramide tempo determ.</t>
  </si>
  <si>
    <t>3202002013000</t>
  </si>
  <si>
    <t>Incarichi, progressioni economiche ed indennità professionali comparto ruolo ricercatori piramide tempo determ.</t>
  </si>
  <si>
    <t>320200201301000</t>
  </si>
  <si>
    <t>Incarichi - personale ruolo ricercatori piramide tempo determ.</t>
  </si>
  <si>
    <t>320200201302000</t>
  </si>
  <si>
    <t>Progressioni economiche - personale ruolo ricercatori piramide tempo determ.</t>
  </si>
  <si>
    <t>320200201303000</t>
  </si>
  <si>
    <t>Indennità professionali - personale ruolo ricercatori piramide tempo determ.</t>
  </si>
  <si>
    <t>320200201400000</t>
  </si>
  <si>
    <t>Accantonamento al fondo per TFR dipendenti - personale comparto ruolo ricercatori piramide  tempo determ.</t>
  </si>
  <si>
    <t>320200201500000</t>
  </si>
  <si>
    <t>Accantonamento ai fondi integrativi pensione - personale comparto ruolo ricercatori piramide  tempo determ.</t>
  </si>
  <si>
    <t>320200201600000</t>
  </si>
  <si>
    <t>Altri oneri per il personale comparto ruolo ricercatori piramide  tempo determ.</t>
  </si>
  <si>
    <t>320200201900000</t>
  </si>
  <si>
    <t>Oneri sociali su retribuzione - personale comparto ruolo ricercatori piramide  tempo determ.</t>
  </si>
  <si>
    <t>3202002020000</t>
  </si>
  <si>
    <t>B.5.B.2) c) Costo del personale comparto ruolo collaboratori piramide - tempo determ.</t>
  </si>
  <si>
    <t>320200202100000</t>
  </si>
  <si>
    <t>Voci di costo a carattere stipendiale - personale comparto ruolo collaboratori piramide tempo determ.</t>
  </si>
  <si>
    <t>3202002022000</t>
  </si>
  <si>
    <t>Premialità e condizioni di lavoro personale ruolo collaboratori piramide - tempo determ.</t>
  </si>
  <si>
    <t>320200202201000</t>
  </si>
  <si>
    <t>Straordinario - personale comparto ruolo collaboratori  piramide tempo determ.</t>
  </si>
  <si>
    <t>320200202202000</t>
  </si>
  <si>
    <t>Condizioni di lavoro - ruolo collaboratori piramide tempo determ.</t>
  </si>
  <si>
    <t>320200202203000</t>
  </si>
  <si>
    <t>Premialità - ruolo collaboratori piramide tempo determ.</t>
  </si>
  <si>
    <t>3202002023000</t>
  </si>
  <si>
    <t>Incarichi, progressioni economiche ed indennità professionali comparto ruolo collaboratori piramide tempo determ.</t>
  </si>
  <si>
    <t>320200202301000</t>
  </si>
  <si>
    <t>Incarichi - personale ruolo collaboratori piramide tempo determ.</t>
  </si>
  <si>
    <t>320200202302000</t>
  </si>
  <si>
    <t>Progressioni economiche - personale ruolo collaboratori piramide tempo determ.</t>
  </si>
  <si>
    <t>320200202303000</t>
  </si>
  <si>
    <t>Indennità professionali - personale ruolo collaboratori piramide tempo determ.</t>
  </si>
  <si>
    <t>320200202400000</t>
  </si>
  <si>
    <t>Accantonamento al fondo per TFR dipendenti - personale comparto ruolo collaboratori piramide  tempo determ.</t>
  </si>
  <si>
    <t>320200202500000</t>
  </si>
  <si>
    <t>Accantonamento ai fondi integrativi pensione - personale comparto ruolo collaboratori piramide  tempo determ.</t>
  </si>
  <si>
    <t>320200202600000</t>
  </si>
  <si>
    <t>Altri oneri per il personale comparto ruolo collaboratori piramide  tempo determ.</t>
  </si>
  <si>
    <t>320200202900000</t>
  </si>
  <si>
    <t>Oneri sociali su retribuzione - personale comparto ruolo collaboratori piramide  tempo determ.</t>
  </si>
  <si>
    <t>320200300000000</t>
  </si>
  <si>
    <t>B.6) Personale del ruolo professionale</t>
  </si>
  <si>
    <t>B.6.A.1) Costo del personale dirigente ruolo professionale - tempo indeterm.</t>
  </si>
  <si>
    <t>325100100100000</t>
  </si>
  <si>
    <t>Voci di costo a carattere stipendiale - personale dirigente ruolo professionale tempo indeterm.</t>
  </si>
  <si>
    <t>325100100200000</t>
  </si>
  <si>
    <t>Retribuzione di posizione - personale dirigente ruolo professionale tempo indeterm.</t>
  </si>
  <si>
    <t>325100100300000</t>
  </si>
  <si>
    <t>Retribuzione di risultato - personale dirigente ruolo professionale tempo indeterm.</t>
  </si>
  <si>
    <t>325100100400000</t>
  </si>
  <si>
    <t>Trattamento accessorio - personale dirigente ruolo professionale tempo indeterm.</t>
  </si>
  <si>
    <t>325100100500000</t>
  </si>
  <si>
    <t>Accantonamento al fondo per TFR dipendenti - personale dirigente ruolo professionale tempo indeterm.</t>
  </si>
  <si>
    <t>325100100600000</t>
  </si>
  <si>
    <t>Accantonamento ai fondi integrativi pensione - personale dirigente ruolo professionale tempo indeterm.</t>
  </si>
  <si>
    <t>325100100700000</t>
  </si>
  <si>
    <t>Altre competenze personale dirigente ruolo professionale - personale dirigente ruolo professionale tempo indeterm.</t>
  </si>
  <si>
    <t>325100100900000</t>
  </si>
  <si>
    <t>Oneri sociali su retribuzione - personale dirigente ruolo professionale tempo indeterm.</t>
  </si>
  <si>
    <t>B.6.A.2) Costo del personale dirigente ruolo professionale - tempo determ.</t>
  </si>
  <si>
    <t>325100200100000</t>
  </si>
  <si>
    <t>Voci di costo a carattere stipendiale - personale dirigente ruolo professionale tempo determ.</t>
  </si>
  <si>
    <t>325100200200000</t>
  </si>
  <si>
    <t>Retribuzione di posizione - personale dirigente ruolo professionale tempo determ.</t>
  </si>
  <si>
    <t>325100200300000</t>
  </si>
  <si>
    <t>Retribuzione di risultato - personale dirigente ruolo professionale tempo determ.</t>
  </si>
  <si>
    <t>325100200400000</t>
  </si>
  <si>
    <t>Trattamento accessorio - personale dirigente ruolo professionale tempo determ.</t>
  </si>
  <si>
    <t>325100200500000</t>
  </si>
  <si>
    <t>Accantonamento al fondo per TFR dipendenti - personale dirigente ruolo professionale tempo determ.</t>
  </si>
  <si>
    <t>325100200600000</t>
  </si>
  <si>
    <t>Accantonamento ai fondi integrativi pensione - personale dirigente ruolo professionale tempo determ.</t>
  </si>
  <si>
    <t>325100200700000</t>
  </si>
  <si>
    <t>Altre competenze personale dirigente ruolo professionale - personale dirigente ruolo professionale tempo determ.</t>
  </si>
  <si>
    <t>325100200900000</t>
  </si>
  <si>
    <t>Oneri sociali su retribuzione - personale dirigente ruolo professionale tempo determ.</t>
  </si>
  <si>
    <t>325100300000000</t>
  </si>
  <si>
    <t>B.6.B.1) Costo del personale comparto ruolo professionale - tempo indeterm.</t>
  </si>
  <si>
    <t>325200100100000</t>
  </si>
  <si>
    <t>Voci di costo a carattere stipendiale - personale comparto ruolo professionale tempo indeterm.</t>
  </si>
  <si>
    <t>3252001002000</t>
  </si>
  <si>
    <t>Premialità e condizioni di lavoro personale comparto ruolo professionale - tempo indeterm.</t>
  </si>
  <si>
    <t>325200100201000</t>
  </si>
  <si>
    <t>Straordinario - personale comparto ruolo professionale tempo indeterm.</t>
  </si>
  <si>
    <t>325200100202000</t>
  </si>
  <si>
    <t>Condizioni di lavoro - comparto ruolo professionale tempo indeterm.</t>
  </si>
  <si>
    <t>325200100203000</t>
  </si>
  <si>
    <t>Premialità - comparto ruolo professionale tempo indeterm.</t>
  </si>
  <si>
    <t>3252001003000</t>
  </si>
  <si>
    <t>325200100301000</t>
  </si>
  <si>
    <t>Incarichi - personale comparto ruolo professionale tempo indeterm.</t>
  </si>
  <si>
    <t>325200100302000</t>
  </si>
  <si>
    <t>Progressioni economiche - personale comparto ruolo professionale tempo indeterm.</t>
  </si>
  <si>
    <t>325200100303000</t>
  </si>
  <si>
    <t>Indennità professionali - personale comparto ruolo professionale tempo indeterm.</t>
  </si>
  <si>
    <t>325200100400000</t>
  </si>
  <si>
    <t>Accantonamento al fondo per TFR dipendenti - personale comparto ruolo professionale tempo indeterm.</t>
  </si>
  <si>
    <t>325200100500000</t>
  </si>
  <si>
    <t>Accantonamento ai fondi integrativi pensione - personale comparto ruolo professionale tempo indeterm.</t>
  </si>
  <si>
    <t>325200100600000</t>
  </si>
  <si>
    <t>Altri oneri per il personale comparto ruolo professionale tempo indeterm.</t>
  </si>
  <si>
    <t>325200100900000</t>
  </si>
  <si>
    <t>Oneri sociali su retribuzione - personale comparto ruolo professionale tempo indeterm.</t>
  </si>
  <si>
    <t>B.6.B.2) Costo del personale comparto ruolo professionale - tempo determ.</t>
  </si>
  <si>
    <t>325200200100000</t>
  </si>
  <si>
    <t>Voci di costo a carattere stipendiale - personale comparto ruolo professionale tempo determ.</t>
  </si>
  <si>
    <t>3252002002000</t>
  </si>
  <si>
    <t>Premialità e condizioni di lavoro personale comparto ruolo professionale - tempo determ.</t>
  </si>
  <si>
    <t>325200200201000</t>
  </si>
  <si>
    <t>Straordinario - personale comparto ruolo professionale tempo determ.</t>
  </si>
  <si>
    <t>325200200202000</t>
  </si>
  <si>
    <t>Condizioni di lavoro - comparto ruolo professionale tempo determ.</t>
  </si>
  <si>
    <t>325200200203000</t>
  </si>
  <si>
    <t>Premialità - comparto ruolo professionale tempo determ.</t>
  </si>
  <si>
    <t>3252002003000</t>
  </si>
  <si>
    <t>325200200301000</t>
  </si>
  <si>
    <t>Incarichi - personale comparto ruolo professionale tempo determ.</t>
  </si>
  <si>
    <t>325200200302000</t>
  </si>
  <si>
    <t>Progressioni economiche - personale comparto ruolo professionale tempo determ.</t>
  </si>
  <si>
    <t>325200200303000</t>
  </si>
  <si>
    <t>Indennità professionali - personale comparto ruolo professionale tempo determ.</t>
  </si>
  <si>
    <t>325200200400000</t>
  </si>
  <si>
    <t>Accantonamento al fondo per TFR dipendenti - personale comparto ruolo professionale tempo determ.</t>
  </si>
  <si>
    <t>325200200500000</t>
  </si>
  <si>
    <t>Accantonamento ai fondi integrativi pensione - personale comparto ruolo professionale tempo determ.</t>
  </si>
  <si>
    <t>325200200600000</t>
  </si>
  <si>
    <t>Altri oneri per il personale comparto ruolo professionale tempo determ.</t>
  </si>
  <si>
    <t>325200200900000</t>
  </si>
  <si>
    <t>Oneri sociali su retribuzione - personale comparto ruolo professionale tempo determ.</t>
  </si>
  <si>
    <t>325200300000000</t>
  </si>
  <si>
    <t>B.7) Personale del ruolo tecnico</t>
  </si>
  <si>
    <t>330100100100000</t>
  </si>
  <si>
    <t>Voci di costo a carattere stipendiale - personale dirigente ruolo tecnico tempo indeterm.</t>
  </si>
  <si>
    <t>330100100200000</t>
  </si>
  <si>
    <t>Retribuzione di posizione - personale dirigente ruolo tecnico tempo indeterm.</t>
  </si>
  <si>
    <t>330100100300000</t>
  </si>
  <si>
    <t>Retribuzione di risultato - personale dirigente ruolo tecnico tempo indeterm.</t>
  </si>
  <si>
    <t>330100100400000</t>
  </si>
  <si>
    <t>Trattamento accessorio - personale dirigente ruolo tecnico tempo indeterm.</t>
  </si>
  <si>
    <t>330100100500000</t>
  </si>
  <si>
    <t>Accantonamento al fondo per TFR dipendenti - personale dirigente ruolo tecnico tempo indeterm.</t>
  </si>
  <si>
    <t>330100100600000</t>
  </si>
  <si>
    <t>Accantonamento ai fondi integrativi pensione - personale dirigente ruolo tecnico tempo indeterm.</t>
  </si>
  <si>
    <t>330100100700000</t>
  </si>
  <si>
    <t>Altre competenze personale dirigente ruolo tecnico - personale dirigente ruolo tecnico tempo indeterm.</t>
  </si>
  <si>
    <t>330100100900000</t>
  </si>
  <si>
    <t>Oneri sociali su retribuzione - personale dirigente ruolo tecnico tempo indeterm.</t>
  </si>
  <si>
    <t>330100200100000</t>
  </si>
  <si>
    <t>Voci di costo a carattere stipendiale - personale dirigente ruolo tecnico tempo determ.</t>
  </si>
  <si>
    <t>330100200200000</t>
  </si>
  <si>
    <t>Retribuzione di posizione - personale dirigente ruolo tecnico tempo determ.</t>
  </si>
  <si>
    <t>330100200300000</t>
  </si>
  <si>
    <t>Retribuzione di risultato - personale dirigente ruolo tecnico tempo determ.</t>
  </si>
  <si>
    <t>330100200400000</t>
  </si>
  <si>
    <t>Trattamento accessorio -  personale dirigente ruolo tecnico tempo determ.</t>
  </si>
  <si>
    <t>330100200500000</t>
  </si>
  <si>
    <t>Accantonamento al fondo per TFR dipendenti - personale dirigente ruolo tecnico tempo determ.</t>
  </si>
  <si>
    <t>330100200600000</t>
  </si>
  <si>
    <t>Accantonamento ai fondi integrativi pensione - personale dirigente ruolo tecnico tempo determ.</t>
  </si>
  <si>
    <t>330100200700000</t>
  </si>
  <si>
    <t>Altre competenze personale dirigente ruolo tecnico - personale dirigente ruolo tecnico tempo determ.</t>
  </si>
  <si>
    <t>330100200900000</t>
  </si>
  <si>
    <t>Oneri sociali su retribuzione - personale dirigente ruolo tecnico tempo determ.</t>
  </si>
  <si>
    <t>330100300000000</t>
  </si>
  <si>
    <t>330200100</t>
  </si>
  <si>
    <t>B.7.B.1) a) Costo del personale comparto ruolo tecnico - tempo indeterminato</t>
  </si>
  <si>
    <t>330200100100000</t>
  </si>
  <si>
    <t>Voci di costo a carattere stipendiale - personale comparto ruolo tecnico tempo indeterm.</t>
  </si>
  <si>
    <t>3302001002000</t>
  </si>
  <si>
    <t>Premialità e condizioni di lavoro personale comparto ruolo tecnico - tempo indeterm.</t>
  </si>
  <si>
    <t>330200100201000</t>
  </si>
  <si>
    <t>Straordinario - personale comparto ruolo tecnico tempo indeterm.</t>
  </si>
  <si>
    <t>330200100202000</t>
  </si>
  <si>
    <t>Condizioni di lavoro - comparto ruolo tecnico tempo indeterm.</t>
  </si>
  <si>
    <t>330200100203000</t>
  </si>
  <si>
    <t>Premialità - comparto ruolo tecnico tempo indeterm.</t>
  </si>
  <si>
    <t>3302001003000</t>
  </si>
  <si>
    <t>Incarichi, progressioni economiche ed indennità professionali comparto ruolo tecnico tempo indeterm.</t>
  </si>
  <si>
    <t>330200100301000</t>
  </si>
  <si>
    <t>Incarichi - personale comparto ruolo tecnico tempo indeterm.</t>
  </si>
  <si>
    <t>330200100302000</t>
  </si>
  <si>
    <t>Progressioni economiche - personale comparto ruolo tecnico tempo indeterm.</t>
  </si>
  <si>
    <t>330200100303000</t>
  </si>
  <si>
    <t>Indennità professionali - personale comparto ruolo tecnico tempo indeterm.</t>
  </si>
  <si>
    <t>330200100400000</t>
  </si>
  <si>
    <t>Accantonamento al fondo per TFR dipendenti - personale comparto ruolo tecnico tempo indeterm.</t>
  </si>
  <si>
    <t>330200100500000</t>
  </si>
  <si>
    <t>Accantonamento ai fondi integrativi pensione - personale comparto ruolo tecnico tempo indeterm.</t>
  </si>
  <si>
    <t>330200100600000</t>
  </si>
  <si>
    <t>Altri oneri per il personale comparto ruolo tecnico tempo indeterm.</t>
  </si>
  <si>
    <t>330200100900000</t>
  </si>
  <si>
    <t>Oneri sociali su retribuzione - personale comparto ruolo tecnico tempo indeterm.</t>
  </si>
  <si>
    <t>3302001010000</t>
  </si>
  <si>
    <t>B.7.B.1) b) Costo del personale comparto ruolo sociosanitario - tempo indeterminato</t>
  </si>
  <si>
    <t>330200101100000</t>
  </si>
  <si>
    <t>Voci di costo a carattere stipendiale - personale comparto ruolo sociosanitario tempo indeterm.</t>
  </si>
  <si>
    <t>3302001012000</t>
  </si>
  <si>
    <t>Premialità e condizioni di lavoro personale comparto ruolo sociosanitario - tempo indeterm.</t>
  </si>
  <si>
    <t>330200101201000</t>
  </si>
  <si>
    <t>Straordinario - personale comparto ruolo sociosanitario tempo indeterm.</t>
  </si>
  <si>
    <t>330200101202000</t>
  </si>
  <si>
    <t>Condizioni di lavoro - comparto ruolo sociosanitario tempo indeterm.</t>
  </si>
  <si>
    <t>330200101203000</t>
  </si>
  <si>
    <t>Premialità - comparto ruolo sociosanitario tempo indeterm.</t>
  </si>
  <si>
    <t>3302001013000</t>
  </si>
  <si>
    <t>Incarichi, progressioni economiche ed indennità professionali comparto ruolo sociosanitario tempo indeterm.</t>
  </si>
  <si>
    <t>330200101301000</t>
  </si>
  <si>
    <t>Incarichi - personale comparto ruolo sociosanitario tempo indeterm.</t>
  </si>
  <si>
    <t>330200101302000</t>
  </si>
  <si>
    <t>Progressioni economiche - personale comparto ruolo sociosanitario tempo indeterm.</t>
  </si>
  <si>
    <t>330200101303000</t>
  </si>
  <si>
    <t>Indennità professionali - personale comparto ruolo sociosanitario tempo indeterm.</t>
  </si>
  <si>
    <t>330200101400000</t>
  </si>
  <si>
    <t>Accantonamento al fondo per TFR dipendenti - personale comparto ruolo sociosanitario tempo indeterm.</t>
  </si>
  <si>
    <t>330200101500000</t>
  </si>
  <si>
    <t>Accantonamento ai fondi integrativi pensione - personale comparto ruolo sociosanitario tempo indeterm.</t>
  </si>
  <si>
    <t>330200101600000</t>
  </si>
  <si>
    <t>Altri oneri per il personale comparto ruolo sociosanitario tempo indeterm.</t>
  </si>
  <si>
    <t>330200101900000</t>
  </si>
  <si>
    <t>Oneri sociali su retribuzione - personale comparto ruolo sociosanitario tempo indeterm.</t>
  </si>
  <si>
    <t>3302002000000</t>
  </si>
  <si>
    <t>B.7.B.2) a) Costo del personale comparto ruolo tecnico - tempo determinato</t>
  </si>
  <si>
    <t>330200200100000</t>
  </si>
  <si>
    <t>Voci di costo a carattere stipendiale - personale comparto ruolo tecnico tempo determ.</t>
  </si>
  <si>
    <t>3302002002000</t>
  </si>
  <si>
    <t>Premialità e condizioni di lavoro personale comparto ruolo tecnico - tempo determ.</t>
  </si>
  <si>
    <t>330200200201000</t>
  </si>
  <si>
    <t>Straordinario - personale comparto ruolo tecnico tempo determ.</t>
  </si>
  <si>
    <t>330200200202000</t>
  </si>
  <si>
    <t>Condizioni di lavoro - comparto ruolo tecnico tempo determ.</t>
  </si>
  <si>
    <t>330200200203000</t>
  </si>
  <si>
    <t>Premialità - comparto ruolo tecnico tempo determ.</t>
  </si>
  <si>
    <t>3302002003000</t>
  </si>
  <si>
    <t>Incarichi, progressioni economiche ed indennità professionali comparto ruolo tecnico tempo determ.</t>
  </si>
  <si>
    <t>330200200301000</t>
  </si>
  <si>
    <t>Incarichi - personale comparto ruolo tecnico tempo determ.</t>
  </si>
  <si>
    <t>330200200302000</t>
  </si>
  <si>
    <t>Progressioni economiche - personale comparto ruolo tecnico tempo determ.</t>
  </si>
  <si>
    <t>330200200303000</t>
  </si>
  <si>
    <t>Indennità professionali - personale comparto ruolo tecnico tempo determ.</t>
  </si>
  <si>
    <t>330200200400000</t>
  </si>
  <si>
    <t>Accantonamento al fondo per TFR dipendenti - personale comparto ruolo tecnico tempo determ.</t>
  </si>
  <si>
    <t>330200200500000</t>
  </si>
  <si>
    <t>Accantonamento ai fondi integrativi pensione - personale comparto ruolo tecnico tempo determ.</t>
  </si>
  <si>
    <t>330200200600000</t>
  </si>
  <si>
    <t>Altri oneri per il personale comparto ruolo tecnico tempo determ.</t>
  </si>
  <si>
    <t>330200200900000</t>
  </si>
  <si>
    <t>Oneri sociali su retribuzione - personale comparto ruolo tecnico tempo determ.</t>
  </si>
  <si>
    <t>3302002010000</t>
  </si>
  <si>
    <t>B.7.B.2) b) Costo del personale comparto ruolo sociosanitario - tempo determinato</t>
  </si>
  <si>
    <t>330200201100000</t>
  </si>
  <si>
    <t>Voci di costo a carattere stipendiale - personale comparto ruolo sociosanitario tempo determ.</t>
  </si>
  <si>
    <t>3302002012000</t>
  </si>
  <si>
    <t>Premialità e condizioni di lavoro personale comparto ruolo sociosanitario - tempo determ.</t>
  </si>
  <si>
    <t>330200201201000</t>
  </si>
  <si>
    <t>Straordinario - personale comparto ruolo sociosanitario tempo determ.</t>
  </si>
  <si>
    <t>330200201202000</t>
  </si>
  <si>
    <t>Condizioni di lavoro - comparto ruolo sociosanitario tempo determ.</t>
  </si>
  <si>
    <t>330200201203000</t>
  </si>
  <si>
    <t>Premialità - comparto ruolo sociosanitario tempo determ.</t>
  </si>
  <si>
    <t>3302002013000</t>
  </si>
  <si>
    <t>Incarichi, progressioni economiche ed indennità professionali comparto ruolo sociosanitario tempo determ.</t>
  </si>
  <si>
    <t>330200201301000</t>
  </si>
  <si>
    <t>Incarichi - personale comparto ruolo sociosanitario tempo determ.</t>
  </si>
  <si>
    <t>330200201302000</t>
  </si>
  <si>
    <t>Progressioni economiche - personale comparto ruolo sociosanitario tempo determ.</t>
  </si>
  <si>
    <t>330200201303000</t>
  </si>
  <si>
    <t>Indennità professionali - personale comparto ruolo sociosanitario tempo determ.</t>
  </si>
  <si>
    <t>330200201400000</t>
  </si>
  <si>
    <t>Accantonamento al fondo per TFR dipendenti - personale comparto ruolo sociosanitario tempo determ.</t>
  </si>
  <si>
    <t>330200201500000</t>
  </si>
  <si>
    <t>Accantonamento ai fondi integrativi pensione - personale comparto ruolo sociosanitario tempo determ.</t>
  </si>
  <si>
    <t>330200201600000</t>
  </si>
  <si>
    <t>Altri oneri per il personale comparto ruolo sociosanitario tempo determ.</t>
  </si>
  <si>
    <t>330200201900000</t>
  </si>
  <si>
    <t>Oneri sociali su retribuzione - personale comparto ruolo sociosanitario tempo determ.</t>
  </si>
  <si>
    <t>330200300000000</t>
  </si>
  <si>
    <t>B.8) Personale del ruolo amministrativo</t>
  </si>
  <si>
    <t>335100100100000</t>
  </si>
  <si>
    <t>Voci di costo a carattere stipendiale - personale dirigente ruolo amministrativo tempo indeterm.</t>
  </si>
  <si>
    <t>335100100200000</t>
  </si>
  <si>
    <t>Retribuzione di posizione - personale dirigente ruolo amministrativo tempo indeterm.</t>
  </si>
  <si>
    <t>335100100300000</t>
  </si>
  <si>
    <t>Retribuzione di risultato - personale dirigente ruolo amministrativo tempo indeterm.</t>
  </si>
  <si>
    <t>335100100400000</t>
  </si>
  <si>
    <t>Trattamento accessorio - personale dirigente ruolo amministrativo tempo indeterm.</t>
  </si>
  <si>
    <t>335100100500000</t>
  </si>
  <si>
    <t>Accantonamento al fondo per TFR dipendenti - personale dirigente ruolo amministrativo tempo indeterm.</t>
  </si>
  <si>
    <t>335100100600000</t>
  </si>
  <si>
    <t>Accantonamento ai fondi integrativi pensione - personale dirigente ruolo amministrativo tempo indeterm.</t>
  </si>
  <si>
    <t>335100100700000</t>
  </si>
  <si>
    <t>Altre competenze personale dirigente ruolo amministrativo - personale dirigente ruolo amministrativo tempo indeterm.</t>
  </si>
  <si>
    <t>335100100900000</t>
  </si>
  <si>
    <t>Oneri sociali su retribuzione - personale dirigente ruolo amministrativo tempo indeterm.</t>
  </si>
  <si>
    <t>335100200100000</t>
  </si>
  <si>
    <t>Voci di costo a carattere stipendiale - personale dirigente ruolo amministrativo tempo determ.</t>
  </si>
  <si>
    <t>335100200200000</t>
  </si>
  <si>
    <t>Retribuzione di posizione - personale dirigente ruolo amministrativo tempo determ.</t>
  </si>
  <si>
    <t>335100200300000</t>
  </si>
  <si>
    <t>Retribuzione di risultato -  personale dirigente ruolo amministrativo tempo determ.</t>
  </si>
  <si>
    <t>335100200400000</t>
  </si>
  <si>
    <t>Trattamento accessorio - personale dirigente ruolo amministrativo tempo determ.</t>
  </si>
  <si>
    <t>335100200500000</t>
  </si>
  <si>
    <t>Accantonamento al fondo per TFR dipendenti - personale dirigente ruolo amministrativo tempo determ.</t>
  </si>
  <si>
    <t>335100200600000</t>
  </si>
  <si>
    <t>Accantonamento ai fondi integrativi pensione - personale dirigente ruolo amministrativo tempo determ.</t>
  </si>
  <si>
    <t>335100200700000</t>
  </si>
  <si>
    <t>Altre competenze personale dirigente ruolo amministrativo - personale dirigente ruolo amministrativo tempo determ.</t>
  </si>
  <si>
    <t>335100200900000</t>
  </si>
  <si>
    <t>Oneri sociali su retribuzione - personale dirigente ruolo amministrativo tempo determ.</t>
  </si>
  <si>
    <t>335100300000000</t>
  </si>
  <si>
    <t>335200100100000</t>
  </si>
  <si>
    <t>Voci di costo a carattere stipendiale - personale comparto ruolo amministrativo tempo indeterm.</t>
  </si>
  <si>
    <t>3352001002000</t>
  </si>
  <si>
    <t>Premialità e condizioni di lavoro personale comparto ruolo amministrativo - tempo indeterm.</t>
  </si>
  <si>
    <t>335200100201000</t>
  </si>
  <si>
    <t>Straordinario - personale comparto ruolo amministrativo tempo indeterm.</t>
  </si>
  <si>
    <t>335200100202000</t>
  </si>
  <si>
    <t>Condizioni di lavoro - comparto ruolo amministrativo tempo indeterm.</t>
  </si>
  <si>
    <t>335200100203000</t>
  </si>
  <si>
    <t>Premialità - comparto ruolo amministrativo tempo indeterm.</t>
  </si>
  <si>
    <t>3352001003000</t>
  </si>
  <si>
    <t>Incarichi, progressioni economiche ed indennità professionali comparto ruolo amministrativo tempo indeterm.</t>
  </si>
  <si>
    <t>335200100301000</t>
  </si>
  <si>
    <t>Incarichi - personale comparto ruolo amministrativo tempo indeterm.</t>
  </si>
  <si>
    <t>335200100302000</t>
  </si>
  <si>
    <t>Progressioni economiche - personale comparto amministrativo tecnico tempo indeterm.</t>
  </si>
  <si>
    <t>335200100303000</t>
  </si>
  <si>
    <t>Indennità professionali - personale comparto ruolo amministrativo tempo indeterm.</t>
  </si>
  <si>
    <t>335200100400000</t>
  </si>
  <si>
    <t>Accantonamento al fondo per TFR dipendenti - personale comparto ruolo amministrativo tempo indeterm.</t>
  </si>
  <si>
    <t>335200100500000</t>
  </si>
  <si>
    <t>Accantonamento ai fondi integrativi pensione - personale comparto ruolo amministrativo tempo indeterm.</t>
  </si>
  <si>
    <t>335200100600000</t>
  </si>
  <si>
    <t>Altri oneri per il personale comparto ruolo amministrativo tempo indeterm.</t>
  </si>
  <si>
    <t>335200100900000</t>
  </si>
  <si>
    <t>Oneri sociali su retribuzione - personale comparto ruolo amministrativo tempo indeterm.</t>
  </si>
  <si>
    <t>335200200100000</t>
  </si>
  <si>
    <t>Voci di costo a carattere stipendiale - personale comparto ruolo amministrativo tempo determ.</t>
  </si>
  <si>
    <t>3352002002000</t>
  </si>
  <si>
    <t>Premialità e condizioni di lavoro personale comparto ruolo amministrativo - tempo determ.</t>
  </si>
  <si>
    <t>335200200201000</t>
  </si>
  <si>
    <t>Straordinario - personale comparto ruolo amministrativo tempo determ.</t>
  </si>
  <si>
    <t>335200200202000</t>
  </si>
  <si>
    <t>Condizioni di lavoro - comparto ruolo amministrativo tempo determ.</t>
  </si>
  <si>
    <t>335200200203000</t>
  </si>
  <si>
    <t>Premialità - comparto ruolo amministrativo tempo determ.</t>
  </si>
  <si>
    <t>3352002003000</t>
  </si>
  <si>
    <t>Incarichi, progressioni economiche ed indennità professionali comparto ruolo amministrativo tempo determ.</t>
  </si>
  <si>
    <t>335200200301000</t>
  </si>
  <si>
    <t>Incarichi - personale comparto ruolo amministrativo tempo determ.</t>
  </si>
  <si>
    <t>335200200302000</t>
  </si>
  <si>
    <t>Progressioni economiche - personale comparto amministrativo tecnico tempo determ.</t>
  </si>
  <si>
    <t>335200200303000</t>
  </si>
  <si>
    <t>Indennità professionali - personale comparto ruolo amministrativo tempo determ.</t>
  </si>
  <si>
    <t>335200200400000</t>
  </si>
  <si>
    <t>Accantonamento al fondo per TFR dipendenti - personale comparto ruolo amministrativo tempo determ.</t>
  </si>
  <si>
    <t>335200200500000</t>
  </si>
  <si>
    <t>Accantonamento ai fondi integrativi pensione - personale comparto ruolo amministrativo tempo determ.</t>
  </si>
  <si>
    <t>335200200600000</t>
  </si>
  <si>
    <t>Altri oneri per il personale comparto ruolo amministrativo tempo determ.</t>
  </si>
  <si>
    <t>335200200900000</t>
  </si>
  <si>
    <t>Oneri sociali su retribuzione - personale comparto ruolo amministrativo tempo determ.</t>
  </si>
  <si>
    <t>335200300000000</t>
  </si>
  <si>
    <t>B.9) Oneri diversi di gestione</t>
  </si>
  <si>
    <t>B.9.A) Imposte e tasse (escluso IRAP e IRES)</t>
  </si>
  <si>
    <t>340100100000000</t>
  </si>
  <si>
    <t>340100200000000</t>
  </si>
  <si>
    <t>340100300000000</t>
  </si>
  <si>
    <t>340100400000000</t>
  </si>
  <si>
    <t>340100500000000</t>
  </si>
  <si>
    <t>340100600000000</t>
  </si>
  <si>
    <t>340100900000000</t>
  </si>
  <si>
    <t>B.9.B) Perdite su crediti</t>
  </si>
  <si>
    <t>340200000000000</t>
  </si>
  <si>
    <t>B.9.C.1) Indennità, rimborso spese e oneri sociali per gli Organi Direttivi e Collegio Sindacale</t>
  </si>
  <si>
    <t>3403001001000</t>
  </si>
  <si>
    <t>340300100101000</t>
  </si>
  <si>
    <t>Indennità organi direttivi e di indirizzo</t>
  </si>
  <si>
    <t>340300100103000</t>
  </si>
  <si>
    <t>Oneri sociali organi direttivi e di indirizzo</t>
  </si>
  <si>
    <t>340300100109000</t>
  </si>
  <si>
    <t>3403001002000</t>
  </si>
  <si>
    <t>340300100201000</t>
  </si>
  <si>
    <t>Indennità collegio sindacale</t>
  </si>
  <si>
    <t>340300100203000</t>
  </si>
  <si>
    <t>Oneri sociali collegio sindacale</t>
  </si>
  <si>
    <t>340300100209000</t>
  </si>
  <si>
    <t>3403001003000</t>
  </si>
  <si>
    <t>340300100301000</t>
  </si>
  <si>
    <t>Indennità altri organismi</t>
  </si>
  <si>
    <t>340300100303000</t>
  </si>
  <si>
    <t>Oneri sociali altri organismi</t>
  </si>
  <si>
    <t>340300100309000</t>
  </si>
  <si>
    <t>B.9.C.2) Altri oneri diversi di gestione</t>
  </si>
  <si>
    <t>340300200100000</t>
  </si>
  <si>
    <t>340300200200000</t>
  </si>
  <si>
    <t>340300200900000</t>
  </si>
  <si>
    <t>340300300000000</t>
  </si>
  <si>
    <t>340300400000000</t>
  </si>
  <si>
    <t>345100000000000</t>
  </si>
  <si>
    <t>345200000000000</t>
  </si>
  <si>
    <t>345300000000000</t>
  </si>
  <si>
    <t>Ammortamento Diritti di brevetto e diritti di utilizzazione delle opere d'ingegno derivanti dall'attività di ricerca</t>
  </si>
  <si>
    <t>345400000000000</t>
  </si>
  <si>
    <t>345500000000000</t>
  </si>
  <si>
    <t>345600000000000</t>
  </si>
  <si>
    <t>345700000000000</t>
  </si>
  <si>
    <t>345900000000000</t>
  </si>
  <si>
    <t>350100100000000</t>
  </si>
  <si>
    <t>350100200000000</t>
  </si>
  <si>
    <t>350200100000000</t>
  </si>
  <si>
    <t>350200200000000</t>
  </si>
  <si>
    <t>350200300000000</t>
  </si>
  <si>
    <t>350200400000000</t>
  </si>
  <si>
    <t>350200500000000</t>
  </si>
  <si>
    <t>3551001000000</t>
  </si>
  <si>
    <t>355100100100000</t>
  </si>
  <si>
    <t>355100100200000</t>
  </si>
  <si>
    <t>355100100300000</t>
  </si>
  <si>
    <t>355100100400000</t>
  </si>
  <si>
    <t>3551002000000</t>
  </si>
  <si>
    <t>355100200100000</t>
  </si>
  <si>
    <t>355100200150000</t>
  </si>
  <si>
    <t>355100200200000</t>
  </si>
  <si>
    <t>355100200250000</t>
  </si>
  <si>
    <t>355100200300000</t>
  </si>
  <si>
    <t>355100200350000</t>
  </si>
  <si>
    <t>355100200400000</t>
  </si>
  <si>
    <t>355100200450000</t>
  </si>
  <si>
    <t>Svalutazione automezzi</t>
  </si>
  <si>
    <t>355100200500000</t>
  </si>
  <si>
    <t>355100200550000</t>
  </si>
  <si>
    <t>355200100000000</t>
  </si>
  <si>
    <t>355200101000000</t>
  </si>
  <si>
    <t>355200102000000</t>
  </si>
  <si>
    <t>355200103000000</t>
  </si>
  <si>
    <t>355200200000000</t>
  </si>
  <si>
    <t>355200201000000</t>
  </si>
  <si>
    <t>355200202000000</t>
  </si>
  <si>
    <t>355200203000000</t>
  </si>
  <si>
    <t>355200204000000</t>
  </si>
  <si>
    <t>355200205000000</t>
  </si>
  <si>
    <t>355200206000000</t>
  </si>
  <si>
    <t>355200207000000</t>
  </si>
  <si>
    <t>355200208000000</t>
  </si>
  <si>
    <t>355200209000000</t>
  </si>
  <si>
    <t>355200210000000</t>
  </si>
  <si>
    <t>Svalutazione Crediti v/Stato per ricerca - altre Amministrazioni centrali</t>
  </si>
  <si>
    <t>355200211000000</t>
  </si>
  <si>
    <t>355200300000000</t>
  </si>
  <si>
    <t>355200400000000</t>
  </si>
  <si>
    <t>355200401000000</t>
  </si>
  <si>
    <t>355200402000000</t>
  </si>
  <si>
    <t>355200403000000</t>
  </si>
  <si>
    <t>355200404000000</t>
  </si>
  <si>
    <t>355200405000000</t>
  </si>
  <si>
    <t>355200406000000</t>
  </si>
  <si>
    <t>355200407000000</t>
  </si>
  <si>
    <t>355200408000000</t>
  </si>
  <si>
    <t>355200409000000</t>
  </si>
  <si>
    <t>355200410000000</t>
  </si>
  <si>
    <t>355200411000000</t>
  </si>
  <si>
    <t>355200412000000</t>
  </si>
  <si>
    <t>355200413000000</t>
  </si>
  <si>
    <t>355200414000000</t>
  </si>
  <si>
    <t>355200415000000</t>
  </si>
  <si>
    <t>355200602000000</t>
  </si>
  <si>
    <t>355200603000000</t>
  </si>
  <si>
    <t>355200700000000</t>
  </si>
  <si>
    <t>355200701000000</t>
  </si>
  <si>
    <t>355200702000000</t>
  </si>
  <si>
    <t>355200900000000</t>
  </si>
  <si>
    <t>355200901000000</t>
  </si>
  <si>
    <t>355200902000000</t>
  </si>
  <si>
    <t>355200903000000</t>
  </si>
  <si>
    <t>355200990000000</t>
  </si>
  <si>
    <t>360100010000000</t>
  </si>
  <si>
    <t>Var. rim. prodotti farmaceutici ed emoderivati</t>
  </si>
  <si>
    <t>360100020000000</t>
  </si>
  <si>
    <t>Var. rim. sangue ed emocomponenti</t>
  </si>
  <si>
    <t>360100030000000</t>
  </si>
  <si>
    <t>Var. rim. dispositivi medici</t>
  </si>
  <si>
    <t>360100040000000</t>
  </si>
  <si>
    <t>Var. rim. prodotti dietetici</t>
  </si>
  <si>
    <t>360100050000000</t>
  </si>
  <si>
    <t>Var. rim. materiali per la profilassi (vaccini)</t>
  </si>
  <si>
    <t>360100060000000</t>
  </si>
  <si>
    <t>Var. rim. prodotti chimici</t>
  </si>
  <si>
    <t>360100070000000</t>
  </si>
  <si>
    <t>Var. rim. materiali e prodotti per uso veterinario</t>
  </si>
  <si>
    <t>360100080000000</t>
  </si>
  <si>
    <t xml:space="preserve">Var. rim. altri beni e prodotti sanitari </t>
  </si>
  <si>
    <t>360200010000000</t>
  </si>
  <si>
    <t>Var. rim. prodotti alimentari</t>
  </si>
  <si>
    <t>360200020000000</t>
  </si>
  <si>
    <t>Var. rim. materiali di guardaroba, di pulizia e di convivenza in genere</t>
  </si>
  <si>
    <t>360200030000000</t>
  </si>
  <si>
    <t>Var. rim. combustibili, carburanti e lubrificanti</t>
  </si>
  <si>
    <t>360200040000000</t>
  </si>
  <si>
    <t>Var. rim. supporti informatici e cancelleria</t>
  </si>
  <si>
    <t>360200050000000</t>
  </si>
  <si>
    <t>Var. rim. materiale per la manutenzione</t>
  </si>
  <si>
    <t>360200060000000</t>
  </si>
  <si>
    <t xml:space="preserve">Var. rim. altri beni e prodotti non sanitari </t>
  </si>
  <si>
    <t>B.14) Accantonamenti dell'esercizio</t>
  </si>
  <si>
    <t>365100100000000</t>
  </si>
  <si>
    <t>365100200000000</t>
  </si>
  <si>
    <t>365100300000000</t>
  </si>
  <si>
    <t>365100400000000</t>
  </si>
  <si>
    <t>365100450000000</t>
  </si>
  <si>
    <t>365100500100000</t>
  </si>
  <si>
    <t>365100500200000</t>
  </si>
  <si>
    <t>365100500900000</t>
  </si>
  <si>
    <t>B.14.A.7)  Altri accantonamenti per interessi di mora</t>
  </si>
  <si>
    <t>365100600000000</t>
  </si>
  <si>
    <t>365200100000000</t>
  </si>
  <si>
    <t>365200200000000</t>
  </si>
  <si>
    <t>B.14.C) Accantonamenti per quote inutilizzate di contributi vincolati</t>
  </si>
  <si>
    <t>365300050000000</t>
  </si>
  <si>
    <t>Accantonamenti per quote inutilizzate contributi da Regione e Prov. Aut. per quota F.S. indistinto finalizzato</t>
  </si>
  <si>
    <t>365300100000000</t>
  </si>
  <si>
    <t>365300200000000</t>
  </si>
  <si>
    <t>365300300000000</t>
  </si>
  <si>
    <t>365300400100000</t>
  </si>
  <si>
    <t>365300400200000</t>
  </si>
  <si>
    <t>365300500000000</t>
  </si>
  <si>
    <t>365400200000000</t>
  </si>
  <si>
    <t>365400300000000</t>
  </si>
  <si>
    <t>365400400000000</t>
  </si>
  <si>
    <t>365400500000000</t>
  </si>
  <si>
    <t>365400600000000</t>
  </si>
  <si>
    <t>365400610000000</t>
  </si>
  <si>
    <t>365400620000000</t>
  </si>
  <si>
    <t>B.14.D.8) Acc. per Fondi integrativi pensione</t>
  </si>
  <si>
    <t>365400630000000</t>
  </si>
  <si>
    <t>365400640000000</t>
  </si>
  <si>
    <t>365400700000000</t>
  </si>
  <si>
    <t>CA0000</t>
  </si>
  <si>
    <t>C) Proventi e oneri finanziari</t>
  </si>
  <si>
    <t>690100000000000</t>
  </si>
  <si>
    <t>690200100000000</t>
  </si>
  <si>
    <t>690200200000000</t>
  </si>
  <si>
    <t>690300100000000</t>
  </si>
  <si>
    <t>690300200000000</t>
  </si>
  <si>
    <t>Interessi moratori e legali attivi</t>
  </si>
  <si>
    <t>690300900000000</t>
  </si>
  <si>
    <t>700100000000000</t>
  </si>
  <si>
    <t>700200000000000</t>
  </si>
  <si>
    <t>700300000000000</t>
  </si>
  <si>
    <t>700400000000000</t>
  </si>
  <si>
    <t>700500000000000</t>
  </si>
  <si>
    <t>C.3) Interessi passivi</t>
  </si>
  <si>
    <t>370100000000000</t>
  </si>
  <si>
    <t>370200000000000</t>
  </si>
  <si>
    <t>370300100000000</t>
  </si>
  <si>
    <t>Interessi moratori e legali passivi</t>
  </si>
  <si>
    <t>370300900000000</t>
  </si>
  <si>
    <t>375100000000000</t>
  </si>
  <si>
    <t>375200000000000</t>
  </si>
  <si>
    <t>DA0000</t>
  </si>
  <si>
    <t>D) Rettifiche di valore di attività finanziarie</t>
  </si>
  <si>
    <t>D.1) Rivalutazioni</t>
  </si>
  <si>
    <t>710000000000000</t>
  </si>
  <si>
    <t>D.2) Svalutazioni</t>
  </si>
  <si>
    <t>380000000000000</t>
  </si>
  <si>
    <t>EA0000</t>
  </si>
  <si>
    <t>E) Proventi e oneri straordinari</t>
  </si>
  <si>
    <t>720100000000000</t>
  </si>
  <si>
    <t>720200100000000</t>
  </si>
  <si>
    <t>720200200100000</t>
  </si>
  <si>
    <t>720200200150000</t>
  </si>
  <si>
    <t>720200200201000</t>
  </si>
  <si>
    <t>720200200202000</t>
  </si>
  <si>
    <t>720200200203000</t>
  </si>
  <si>
    <t>720200200204000</t>
  </si>
  <si>
    <t>720200200205000</t>
  </si>
  <si>
    <t>720200200206000</t>
  </si>
  <si>
    <t>720200200209000</t>
  </si>
  <si>
    <t>E.1.B.3) Insussistenze attive</t>
  </si>
  <si>
    <t>720200300100000</t>
  </si>
  <si>
    <t>720200300201000</t>
  </si>
  <si>
    <t>720200300202000</t>
  </si>
  <si>
    <t>720200300203000</t>
  </si>
  <si>
    <t>720200300204000</t>
  </si>
  <si>
    <t>720200300205000</t>
  </si>
  <si>
    <t>720200300206000</t>
  </si>
  <si>
    <t>720200300209000</t>
  </si>
  <si>
    <t>720200400000000</t>
  </si>
  <si>
    <t>390100000000000</t>
  </si>
  <si>
    <t>390200100000000</t>
  </si>
  <si>
    <t>390200200000000</t>
  </si>
  <si>
    <t>390200300101000</t>
  </si>
  <si>
    <t>390200300102000</t>
  </si>
  <si>
    <t>390200300201000</t>
  </si>
  <si>
    <t>9</t>
  </si>
  <si>
    <t>390200300202005</t>
  </si>
  <si>
    <t>390200300202010</t>
  </si>
  <si>
    <t>390200300202015</t>
  </si>
  <si>
    <t>390200300203000</t>
  </si>
  <si>
    <t>390200300204000</t>
  </si>
  <si>
    <t>390200300205000</t>
  </si>
  <si>
    <t>390200300206000</t>
  </si>
  <si>
    <t>390200300209000</t>
  </si>
  <si>
    <t>390200400500000</t>
  </si>
  <si>
    <t>390200400100000</t>
  </si>
  <si>
    <t>390200400201000</t>
  </si>
  <si>
    <t>390200400202000</t>
  </si>
  <si>
    <t>390200400203000</t>
  </si>
  <si>
    <t>390200400204000</t>
  </si>
  <si>
    <t>390200400205000</t>
  </si>
  <si>
    <t>390200400206000</t>
  </si>
  <si>
    <t>390200400207000</t>
  </si>
  <si>
    <t>390200500000000</t>
  </si>
  <si>
    <t>YA0000</t>
  </si>
  <si>
    <t>Imposte e tasse</t>
  </si>
  <si>
    <t>400100000000000</t>
  </si>
  <si>
    <t>400200000000000</t>
  </si>
  <si>
    <t>400300000000000</t>
  </si>
  <si>
    <t>400400000000000</t>
  </si>
  <si>
    <t>405100000000000</t>
  </si>
  <si>
    <t>405200000000000</t>
  </si>
  <si>
    <t>410000000000000</t>
  </si>
  <si>
    <t>TOTALE COSTI</t>
  </si>
  <si>
    <t>Esercizio 
2023</t>
  </si>
  <si>
    <t>Esercizio 
2022</t>
  </si>
  <si>
    <t>VARIAZIONE 2023/2022</t>
  </si>
  <si>
    <t>IMPORTO
2023</t>
  </si>
  <si>
    <t>(Centesimi di euro)</t>
  </si>
  <si>
    <t>Distribuzione farmaci da privato</t>
  </si>
  <si>
    <t>Compenso servizio distribuzione per conto (DPC)</t>
  </si>
  <si>
    <t>Compartecipazione al personale per att. libero professionale intramoenia  - Altro</t>
  </si>
  <si>
    <t>Oneri su compartecipazione al  personale per att. libero  professionale intramoenia - Altro</t>
  </si>
  <si>
    <t>Compartecipazione al personale  - Altro  (Aziende sanitarie pubbliche della Regione)</t>
  </si>
  <si>
    <t>Oneri su compartecipazione al  personale per att. libero  professionale intramoenia - Altro (Aziende sanitarie pubbliche della Regione)</t>
  </si>
  <si>
    <t>305100800403000</t>
  </si>
  <si>
    <t>Importo
2023</t>
  </si>
  <si>
    <t>Importo
2022</t>
  </si>
  <si>
    <t xml:space="preserve"> </t>
  </si>
  <si>
    <t>A</t>
  </si>
  <si>
    <t>ATTIVO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</si>
  <si>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</si>
  <si>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</si>
  <si>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</si>
  <si>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</si>
  <si>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</si>
  <si>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</si>
  <si>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</si>
  <si>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</si>
  <si>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010100000000000</t>
  </si>
  <si>
    <t>Costi di impianto e di ampliamento</t>
  </si>
  <si>
    <t>AAA030</t>
  </si>
  <si>
    <t>A.I.1.b) F.do Amm.to costi di impianto e di ampliamento</t>
  </si>
  <si>
    <t>210100100000000</t>
  </si>
  <si>
    <t>F.do Amm.to costi di impianto e di ampliamento</t>
  </si>
  <si>
    <t>AAA040</t>
  </si>
  <si>
    <t>A.I.2) Costi di ricerca e sviluppo</t>
  </si>
  <si>
    <t>AAA050</t>
  </si>
  <si>
    <t>A.I.2.a) Costi di ricerca e sviluppo</t>
  </si>
  <si>
    <t>010200000000000</t>
  </si>
  <si>
    <t>Costi di ricerca e sviluppo</t>
  </si>
  <si>
    <t>AAA060</t>
  </si>
  <si>
    <t>A.I.2.b) F.do Amm.to costi di ricerca e sviluppo</t>
  </si>
  <si>
    <t>210100200000000</t>
  </si>
  <si>
    <t>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</si>
  <si>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</si>
  <si>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</si>
  <si>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</si>
  <si>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 ricerca</t>
  </si>
  <si>
    <t>010300100000000</t>
  </si>
  <si>
    <t>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</si>
  <si>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</si>
  <si>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</si>
  <si>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210100300000000</t>
  </si>
  <si>
    <t>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</si>
  <si>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</si>
  <si>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</si>
  <si>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010300200000000</t>
  </si>
  <si>
    <t>Diritti di brevetto e diritti di utilizzazione delle opere d'ingegno - altri</t>
  </si>
  <si>
    <t>AAA110</t>
  </si>
  <si>
    <t>A.I.3.d) F.do Amm.to diritti di brevetto e diritti di utilizzazione delle opere d'ingegno - altri</t>
  </si>
  <si>
    <t>210100400000000</t>
  </si>
  <si>
    <t>F.do Amm.to diritti di brevetto e diritti di utilizzazione delle opere d'ingegno - altri</t>
  </si>
  <si>
    <t>AAA120</t>
  </si>
  <si>
    <t>A.I.4) Immobilizzazioni immateriali in corso e acconti</t>
  </si>
  <si>
    <t>010400000000000</t>
  </si>
  <si>
    <t>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</si>
  <si>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</si>
  <si>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</si>
  <si>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</si>
  <si>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</si>
  <si>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010500100000000</t>
  </si>
  <si>
    <t>Concessioni, licenze, marchi e diritti simili</t>
  </si>
  <si>
    <t>AAA150</t>
  </si>
  <si>
    <t>A.I.5.b) F.do Amm.to concessioni, licenze, marchi e diritti simili</t>
  </si>
  <si>
    <t>210100500000000</t>
  </si>
  <si>
    <t>F.do Amm.to concessioni, licenze, marchi e diritti simili</t>
  </si>
  <si>
    <t>AAA160</t>
  </si>
  <si>
    <t>A.I.5.c) Migliorie su beni di terzi</t>
  </si>
  <si>
    <t>010500200000000</t>
  </si>
  <si>
    <t>Migliorie su beni di terzi</t>
  </si>
  <si>
    <t>AAA170</t>
  </si>
  <si>
    <t>A.I.5.d) F.do Amm.to migliorie su beni di terzi</t>
  </si>
  <si>
    <t>210100600000000</t>
  </si>
  <si>
    <t>F.do Amm.to migliorie su beni di terzi</t>
  </si>
  <si>
    <t>AAA180</t>
  </si>
  <si>
    <t>A.I.5.e) Pubblicità</t>
  </si>
  <si>
    <t>010500300000000</t>
  </si>
  <si>
    <t>Pubblicità</t>
  </si>
  <si>
    <t>AAA190</t>
  </si>
  <si>
    <t>A.I.5.f) F.do Amm.to pubblicità</t>
  </si>
  <si>
    <t>210100700000000</t>
  </si>
  <si>
    <t>F.do Amm.to pubblicità</t>
  </si>
  <si>
    <t>AAA200</t>
  </si>
  <si>
    <t>A.I.5.g) Altre immobilizzazioni immateriali</t>
  </si>
  <si>
    <t>010500400000000</t>
  </si>
  <si>
    <t>Altre immobilizzazioni immateriali</t>
  </si>
  <si>
    <t>AAA210</t>
  </si>
  <si>
    <t>A.I.5.h) F.do Amm.to altre immobilizzazioni immateriali</t>
  </si>
  <si>
    <t>210100800000000</t>
  </si>
  <si>
    <t>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</si>
  <si>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</si>
  <si>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</si>
  <si>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</si>
  <si>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</si>
  <si>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210300100000000</t>
  </si>
  <si>
    <t>F.do Svalut. Costi di impianto e di ampliamento</t>
  </si>
  <si>
    <t>AAA240</t>
  </si>
  <si>
    <t>A.I.6.b) F.do Svalut. Costi di ricerca e sviluppo</t>
  </si>
  <si>
    <t>210300200000000</t>
  </si>
  <si>
    <t>F.do Svalut. Costi di ricerca e sviluppo</t>
  </si>
  <si>
    <t>AAA250</t>
  </si>
  <si>
    <t>A.I.6.c) F.do Svalut. Diritti di brevetto e diritti di utilizzazione delle opere d'ingegno</t>
  </si>
  <si>
    <t>210300300000000</t>
  </si>
  <si>
    <t>F.do Svalut. Diritti di brevetto e diritti di utilizzazione delle opere d'ingegno</t>
  </si>
  <si>
    <t>AAA260</t>
  </si>
  <si>
    <t>A.I.6.d) F.do Svalut. Altre immobilizzazioni immateriali</t>
  </si>
  <si>
    <t>210300400000000</t>
  </si>
  <si>
    <t>F.do Svalut. Altre immobilizzazioni immateriali</t>
  </si>
  <si>
    <t>AAA270</t>
  </si>
  <si>
    <t>A.II) IMMOBILIZZAZIONI MATERIALI</t>
  </si>
  <si>
    <t>AAA280</t>
  </si>
  <si>
    <t>A.II.1) Terreni</t>
  </si>
  <si>
    <t>AAA290</t>
  </si>
  <si>
    <t>A.II.1.a) Terreni disponibili</t>
  </si>
  <si>
    <t>020100100000000</t>
  </si>
  <si>
    <t>Terreni disponibili</t>
  </si>
  <si>
    <t>AAA300</t>
  </si>
  <si>
    <t>A.II.1.b) Terreni indisponibili</t>
  </si>
  <si>
    <t>020100200000000</t>
  </si>
  <si>
    <t>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</si>
  <si>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</si>
  <si>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</si>
  <si>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</si>
  <si>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</si>
  <si>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</si>
  <si>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</si>
  <si>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020200100000000</t>
  </si>
  <si>
    <t>Fabbricati non strumentali (disponibili)</t>
  </si>
  <si>
    <t>AAA340</t>
  </si>
  <si>
    <t>A.II.2.a.2) F.do Amm.to Fabbricati non strumentali (disponibili)</t>
  </si>
  <si>
    <t>210200100000000</t>
  </si>
  <si>
    <t>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</si>
  <si>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</si>
  <si>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</si>
  <si>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</si>
  <si>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</si>
  <si>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020200200000000</t>
  </si>
  <si>
    <t>Fabbricati strumentali (indisponibili)</t>
  </si>
  <si>
    <t>AAA370</t>
  </si>
  <si>
    <t>A.II.2.b.2) F.do Amm.to Fabbricati strumentali (indisponibili)</t>
  </si>
  <si>
    <t>210200200000000</t>
  </si>
  <si>
    <t>F.do Amm.to Fabbricati strumentali (indisponibili)</t>
  </si>
  <si>
    <t>AAA380</t>
  </si>
  <si>
    <t>A.II.3) Impianti e macchinari</t>
  </si>
  <si>
    <t>AAA390</t>
  </si>
  <si>
    <t>A.II.3.a) Impianti e macchinari</t>
  </si>
  <si>
    <t>020300000000000</t>
  </si>
  <si>
    <t>Impianti e macchinari</t>
  </si>
  <si>
    <t>AAA400</t>
  </si>
  <si>
    <t>A.II.3.b) F.do Amm.to Impianti e macchinari</t>
  </si>
  <si>
    <t>210200300000000</t>
  </si>
  <si>
    <t>F.do Amm.to Impianti e macchinari</t>
  </si>
  <si>
    <t>AAA410</t>
  </si>
  <si>
    <t>A.II.4) Attrezzature sanitarie e scientifiche</t>
  </si>
  <si>
    <t>AAA420</t>
  </si>
  <si>
    <t>A.II.4.a) Attrezzature sanitarie e scientifiche</t>
  </si>
  <si>
    <t>020400000000000</t>
  </si>
  <si>
    <t>Attrezzature sanitarie e scientifiche</t>
  </si>
  <si>
    <t>AAA430</t>
  </si>
  <si>
    <t>A.II.4.b) F.do Amm.to Attrezzature sanitarie e scientifiche</t>
  </si>
  <si>
    <t>210200400000000</t>
  </si>
  <si>
    <t>F.do Amm.to Attrezzature sanitarie e scientifiche</t>
  </si>
  <si>
    <t>AAA440</t>
  </si>
  <si>
    <t>A.II.5) Mobili e arredi</t>
  </si>
  <si>
    <t>AAA450</t>
  </si>
  <si>
    <t>A.II.5.a) Mobili e arredi</t>
  </si>
  <si>
    <t>020500000000000</t>
  </si>
  <si>
    <t>Mobili e arredi</t>
  </si>
  <si>
    <t>AAA460</t>
  </si>
  <si>
    <t>A.II.5.b) F.do Amm.to Mobili e arredi</t>
  </si>
  <si>
    <t>210200500000000</t>
  </si>
  <si>
    <t>F.do Amm.to Mobili e arredi</t>
  </si>
  <si>
    <t>AAA470</t>
  </si>
  <si>
    <t>A.II.6) Automezzi</t>
  </si>
  <si>
    <t>AAA480</t>
  </si>
  <si>
    <t>A.II.6.a) Automezzi</t>
  </si>
  <si>
    <t>020600000000000</t>
  </si>
  <si>
    <t>Automezzi</t>
  </si>
  <si>
    <t>AAA490</t>
  </si>
  <si>
    <t>A.II.6.b) F.do Amm.to Automezzi</t>
  </si>
  <si>
    <t>210200600000000</t>
  </si>
  <si>
    <t>F.do Amm.to Automezzi</t>
  </si>
  <si>
    <t>AAA500</t>
  </si>
  <si>
    <t>A.II.7) Oggetti d'arte</t>
  </si>
  <si>
    <t>020700000000000</t>
  </si>
  <si>
    <t>Oggetti d'arte</t>
  </si>
  <si>
    <t>AAA510</t>
  </si>
  <si>
    <t>A.II.8) Altre immobilizzazioni materiali</t>
  </si>
  <si>
    <t>AAA520</t>
  </si>
  <si>
    <t>A.II.8.a) Altre immobilizzazioni materiali</t>
  </si>
  <si>
    <t>020800000000000</t>
  </si>
  <si>
    <t>Altre immobilizzazioni materiali</t>
  </si>
  <si>
    <t>AAA530</t>
  </si>
  <si>
    <t>A.II.8.b) F.do Amm.to Altre immobilizzazioni materiali</t>
  </si>
  <si>
    <t>210200700000000</t>
  </si>
  <si>
    <t>F.do Amm.to Altre immobilizzazioni materiali</t>
  </si>
  <si>
    <t>AAA540</t>
  </si>
  <si>
    <t>A.II.9) Immobilizzazioni materiali in corso e acconti</t>
  </si>
  <si>
    <t>020900000000000</t>
  </si>
  <si>
    <t>Immobilizzazioni materiali in corso e acconti</t>
  </si>
  <si>
    <t>AAA550</t>
  </si>
  <si>
    <t>A.II.10) Fondo Svalutazione immobilizzazioni materiali</t>
  </si>
  <si>
    <t>AAA560</t>
  </si>
  <si>
    <t>A.II.10.a) F.do Svalut. Terreni</t>
  </si>
  <si>
    <t>210400050000000</t>
  </si>
  <si>
    <t>F.do Svalut. Terreni disponibili</t>
  </si>
  <si>
    <t>210400100000000</t>
  </si>
  <si>
    <t>F.do Svalut. Terreni indisponibili</t>
  </si>
  <si>
    <t>AAA570</t>
  </si>
  <si>
    <t>A.II.10.b) F.do Svalut. Fabbricati</t>
  </si>
  <si>
    <t>210400150000000</t>
  </si>
  <si>
    <t>F.do Svalut. Fabbricati disponibili</t>
  </si>
  <si>
    <t>210400200000000</t>
  </si>
  <si>
    <t>F.do Svalut. Fabbricati indisponibili</t>
  </si>
  <si>
    <t>AAA580</t>
  </si>
  <si>
    <t>A.II.10.c) F.do Svalut. Impianti e macchinari</t>
  </si>
  <si>
    <t>210400300000000</t>
  </si>
  <si>
    <t>F.do Svalut. Impianti e macchinari</t>
  </si>
  <si>
    <t>AAA590</t>
  </si>
  <si>
    <t>A.II.10.d) F.do Svalut. Attrezzature sanitarie e scientifiche</t>
  </si>
  <si>
    <t>210400400000000</t>
  </si>
  <si>
    <t>F.do Svalut. Attrezzature sanitarie e scientifiche</t>
  </si>
  <si>
    <t>AAA600</t>
  </si>
  <si>
    <t>A.II.10.e) F.do Svalut. Mobili e arredi</t>
  </si>
  <si>
    <t>210400500000000</t>
  </si>
  <si>
    <t>F.do Svalut. Mobili e arredi</t>
  </si>
  <si>
    <t>AAA610</t>
  </si>
  <si>
    <t>A.II.10.f) F.do Svalut. Automezzi</t>
  </si>
  <si>
    <t>210400600000000</t>
  </si>
  <si>
    <t>F.do Svalut. Automezzi</t>
  </si>
  <si>
    <t>AAA620</t>
  </si>
  <si>
    <t>A.II.10.g) F.do Svalut. Oggetti d'arte</t>
  </si>
  <si>
    <t>210400700000000</t>
  </si>
  <si>
    <t>F.do Svalut. Oggetti d'arte</t>
  </si>
  <si>
    <t>AAA630</t>
  </si>
  <si>
    <t>A.II.10.h) F.do Svalut. Altre immobilizzazioni materiali</t>
  </si>
  <si>
    <t>210400800000000</t>
  </si>
  <si>
    <t>F.do Svalut. Altre immobilizzazioni materiali</t>
  </si>
  <si>
    <t>AAA640</t>
  </si>
  <si>
    <t>A.III) IMMOBILIZZAZIONI FINANZIARIE</t>
  </si>
  <si>
    <t>AAA650</t>
  </si>
  <si>
    <t>A.III.1) Crediti finanziari</t>
  </si>
  <si>
    <t>AAA660</t>
  </si>
  <si>
    <t>A.III.1.a) Crediti finanziari v/Stato</t>
  </si>
  <si>
    <t>030100100000000</t>
  </si>
  <si>
    <t>Crediti finanziari v/Stato</t>
  </si>
  <si>
    <t>210500100000000</t>
  </si>
  <si>
    <t>Fondo svalutazione Crediti finanziari v/Stato</t>
  </si>
  <si>
    <t>AAA670</t>
  </si>
  <si>
    <t>A.III.1.b) Crediti finanziari v/Regione</t>
  </si>
  <si>
    <t>030100200000000</t>
  </si>
  <si>
    <t>Crediti finanziari v/Regione</t>
  </si>
  <si>
    <t>210500101000000</t>
  </si>
  <si>
    <t>Fondo svalutazione Crediti finanziari v/Regione</t>
  </si>
  <si>
    <t>AAA680</t>
  </si>
  <si>
    <t>A.III.1.c) Crediti finanziari v/partecipate</t>
  </si>
  <si>
    <t>030100300000000</t>
  </si>
  <si>
    <t>Crediti finanziari v/partecipate</t>
  </si>
  <si>
    <t>210500102000000</t>
  </si>
  <si>
    <t>Fondo svalutazione Crediti finanziari v/partecipate</t>
  </si>
  <si>
    <t>AAA690</t>
  </si>
  <si>
    <t>A.III.1.d) Crediti finanziari v/altri</t>
  </si>
  <si>
    <t>030100400100000</t>
  </si>
  <si>
    <t>per contributi in conto capitale su gestioni pregresse (ASSR e altri)</t>
  </si>
  <si>
    <t>030100400200000</t>
  </si>
  <si>
    <t>per contributi in conto capitale su gestioni liquidatorie (ASSR e altri)</t>
  </si>
  <si>
    <t>030100400300000</t>
  </si>
  <si>
    <t>Altri crediti (ASSR e altri)</t>
  </si>
  <si>
    <t>210500103000000</t>
  </si>
  <si>
    <t>Fondo svalutazione Crediti finanziari v/altri</t>
  </si>
  <si>
    <t>AAA700</t>
  </si>
  <si>
    <t>A.III.2) Titoli</t>
  </si>
  <si>
    <t>AAA710</t>
  </si>
  <si>
    <t>A.III.2.a) Partecipazioni</t>
  </si>
  <si>
    <t>030200100000000</t>
  </si>
  <si>
    <t>Partecipazioni</t>
  </si>
  <si>
    <t>AAA720</t>
  </si>
  <si>
    <t>A.III.2.b) Altri titoli</t>
  </si>
  <si>
    <t>AAA730</t>
  </si>
  <si>
    <t>A.III.2.b.1) Titoli di Stato</t>
  </si>
  <si>
    <t>030200200100000</t>
  </si>
  <si>
    <t>Titoli di Stato</t>
  </si>
  <si>
    <t>AAA740</t>
  </si>
  <si>
    <t>A.III.2.b.2) Altre Obbligazioni</t>
  </si>
  <si>
    <t>030200200200000</t>
  </si>
  <si>
    <t>Altre Obbligazioni</t>
  </si>
  <si>
    <t>AAA750</t>
  </si>
  <si>
    <t>A.III.2.b.3) Titoli azionari quotati in Borsa</t>
  </si>
  <si>
    <t>030200200300000</t>
  </si>
  <si>
    <t>Titoli azionari quotati in Borsa</t>
  </si>
  <si>
    <t>AAA760</t>
  </si>
  <si>
    <t>A.III.2.b.4) Titoli diversi</t>
  </si>
  <si>
    <t>030200200400000</t>
  </si>
  <si>
    <t>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</si>
  <si>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</si>
  <si>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</si>
  <si>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</si>
  <si>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</si>
  <si>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</si>
  <si>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</si>
  <si>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</si>
  <si>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</si>
  <si>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100100100100000</t>
  </si>
  <si>
    <t>Rim. medicinali con AIC, ad eccezione di vaccini ed emoderivati di produzione regionale</t>
  </si>
  <si>
    <t>100100100200000</t>
  </si>
  <si>
    <t>Rim. medicinali senza AIC</t>
  </si>
  <si>
    <t>100100100300000</t>
  </si>
  <si>
    <t>Rim. emoderivati di produzione regionale</t>
  </si>
  <si>
    <t>ABA030</t>
  </si>
  <si>
    <t>B.I.1.b) Sangue ed emocomponenti</t>
  </si>
  <si>
    <t>100100200000000</t>
  </si>
  <si>
    <t>Rim. sangue ed emocomponenti</t>
  </si>
  <si>
    <t>ABA040</t>
  </si>
  <si>
    <t>B.I.1.c) Dispositivi medici</t>
  </si>
  <si>
    <t>100100300100000</t>
  </si>
  <si>
    <t>Rim. dispositivi medici</t>
  </si>
  <si>
    <t>100100300200000</t>
  </si>
  <si>
    <t>Rim. dispositivi medici impiantabili attivi</t>
  </si>
  <si>
    <t>100100300300000</t>
  </si>
  <si>
    <t>Rim. dispositivi medico diagnostici in vitro (IVD)</t>
  </si>
  <si>
    <t>ABA050</t>
  </si>
  <si>
    <t>B.I.1.d) Prodotti dietetici</t>
  </si>
  <si>
    <t>100100400000000</t>
  </si>
  <si>
    <t>Rim. prodotti dietetici</t>
  </si>
  <si>
    <t>ABA060</t>
  </si>
  <si>
    <t>B.I.1.e) Materiali per la profilassi (vaccini)</t>
  </si>
  <si>
    <t>100100500000000</t>
  </si>
  <si>
    <t>Rim. materiali per la profilassi (vaccini)</t>
  </si>
  <si>
    <t>ABA070</t>
  </si>
  <si>
    <t>B.I.1.f) Prodotti chimici</t>
  </si>
  <si>
    <t>100100600000000</t>
  </si>
  <si>
    <t>Rim. prodotti chimici</t>
  </si>
  <si>
    <t>ABA080</t>
  </si>
  <si>
    <t>B.I.1.g) Materiali e prodotti per uso veterinario</t>
  </si>
  <si>
    <t>100100700000000</t>
  </si>
  <si>
    <t>Rim. materiali e prodotti per uso veterinario</t>
  </si>
  <si>
    <t>ABA090</t>
  </si>
  <si>
    <t>B.I.1.h) Altri beni e prodotti sanitari</t>
  </si>
  <si>
    <t>100100800000000</t>
  </si>
  <si>
    <t>Rim. altri beni e prodotti sanitari</t>
  </si>
  <si>
    <t>ABA100</t>
  </si>
  <si>
    <t>B.I.1.i) Acconti per acquisto di beni e prodotti sanitari</t>
  </si>
  <si>
    <t>100100900000000</t>
  </si>
  <si>
    <t>Acconti per acquisto di beni e prodotti sanitari</t>
  </si>
  <si>
    <t>ABA110</t>
  </si>
  <si>
    <t>B.I.2) Rimanenze beni non sanitari</t>
  </si>
  <si>
    <t>ABA120</t>
  </si>
  <si>
    <t>B.I.2.a) Prodotti alimentari</t>
  </si>
  <si>
    <t>100200100000000</t>
  </si>
  <si>
    <t>Rim. prodotti alimentari</t>
  </si>
  <si>
    <t>ABA130</t>
  </si>
  <si>
    <t>B.I.2.b) Materiali di guardaroba, di pulizia, e di convivenza in genere</t>
  </si>
  <si>
    <t>100200200000000</t>
  </si>
  <si>
    <t>Rim. materiali di guardaroba, di pulizia, e di convivenza in genere</t>
  </si>
  <si>
    <t>ABA140</t>
  </si>
  <si>
    <t>B.I.2.c) Combustibili, carburanti e lubrificanti</t>
  </si>
  <si>
    <t>100200300000000</t>
  </si>
  <si>
    <t>Rim. combustibili, carburanti e lubrificanti</t>
  </si>
  <si>
    <t>ABA150</t>
  </si>
  <si>
    <t>B.I.2.d) Supporti informatici e cancelleria</t>
  </si>
  <si>
    <t>100200400000000</t>
  </si>
  <si>
    <t>Rim. supporti informatici e cancelleria</t>
  </si>
  <si>
    <t>ABA160</t>
  </si>
  <si>
    <t>B.I.2.e) Materiale per la manutenzione</t>
  </si>
  <si>
    <t>100200500000000</t>
  </si>
  <si>
    <t>Rim. materiale per la manutenzione</t>
  </si>
  <si>
    <t>ABA170</t>
  </si>
  <si>
    <t>B.I.2.f) Altri beni e prodotti non sanitari</t>
  </si>
  <si>
    <t>100200600000000</t>
  </si>
  <si>
    <t>Rim. altri beni e prodotti non sanitari</t>
  </si>
  <si>
    <t>ABA180</t>
  </si>
  <si>
    <t>B.I.2.g) Acconti per acquisto di beni e prodotti non sanitari</t>
  </si>
  <si>
    <t>100200700000000</t>
  </si>
  <si>
    <t>Acconti per acquisto di beni e prodotti non sanitari</t>
  </si>
  <si>
    <t>ABA190</t>
  </si>
  <si>
    <t>B.II) CREDITI</t>
  </si>
  <si>
    <t>ABA200</t>
  </si>
  <si>
    <t>B.II.1) Crediti v/Stato</t>
  </si>
  <si>
    <t>ABA201</t>
  </si>
  <si>
    <t>B.II.1.a) Crediti v/Stato per spesa corrente - FSN indistinto</t>
  </si>
  <si>
    <t>110100050000000</t>
  </si>
  <si>
    <t>Crediti v/Stato per spesa corrente - FSN indistinto</t>
  </si>
  <si>
    <t>210500200000000</t>
  </si>
  <si>
    <t>Fondo Svalutazione Crediti v/Stato per spesa corrente - FSN indistinto</t>
  </si>
  <si>
    <t>ABA220</t>
  </si>
  <si>
    <t>B.II.1.b) Crediti v/Stato per spesa corrente - FSN vincolato</t>
  </si>
  <si>
    <t>110100100000000</t>
  </si>
  <si>
    <t>Crediti v/Stato per spesa corrente - FSN vincolato</t>
  </si>
  <si>
    <t>210500201000000</t>
  </si>
  <si>
    <t>Fondo Svalutazione Crediti v/Stato per spesa corrente - FSN vincolato</t>
  </si>
  <si>
    <t>ABA230</t>
  </si>
  <si>
    <t>B.II.1.c) Crediti v/Stato per mobilità attiva extraregionale</t>
  </si>
  <si>
    <t>110100200000000</t>
  </si>
  <si>
    <t>Crediti v/Stato per mobilità attiva extraregionale</t>
  </si>
  <si>
    <t>210500202000000</t>
  </si>
  <si>
    <t>Fondo Svalutazione Crediti v/Stato per mobilità attiva extraregionale</t>
  </si>
  <si>
    <t>ABA240</t>
  </si>
  <si>
    <t>B.II.1.d) Crediti v/Stato per mobilità attiva internazionale</t>
  </si>
  <si>
    <t>110100300000000</t>
  </si>
  <si>
    <t>Crediti v/Stato per mobilità attiva internazionale</t>
  </si>
  <si>
    <t>210500203000000</t>
  </si>
  <si>
    <t>Fondo Svalutazione Crediti v/Stato per mobilità attiva internazionale</t>
  </si>
  <si>
    <t>ABA250</t>
  </si>
  <si>
    <t>B.II.1.e) Crediti v/Stato per acconto quota fabbisogno sanitario regionale standard</t>
  </si>
  <si>
    <t>110100400000000</t>
  </si>
  <si>
    <t>Crediti v/Stato per acconto quota fabbisogno sanitario regionale standard</t>
  </si>
  <si>
    <t>210500204000000</t>
  </si>
  <si>
    <t>Fondo Svalutazione Crediti v/Stato per acconto quota fabbisogno sanitario regionale standard</t>
  </si>
  <si>
    <t>ABA260</t>
  </si>
  <si>
    <t>B.II.1.f) Crediti v/Stato per finanziamento sanitario aggiuntivo corrente</t>
  </si>
  <si>
    <t>110100500000000</t>
  </si>
  <si>
    <t>Crediti v/Stato per finanziamento sanitario aggiuntivo corrente</t>
  </si>
  <si>
    <t>210500205000000</t>
  </si>
  <si>
    <t>Fondo Svalutazione Crediti v/Stato per finanziamento sanitario aggiuntivo corrente</t>
  </si>
  <si>
    <t>ABA270</t>
  </si>
  <si>
    <t>B.II.1.g) Crediti v/Stato per spesa corrente - altro</t>
  </si>
  <si>
    <t>110100600100000</t>
  </si>
  <si>
    <t>Crediti v/Stato per spesa corrente - altro</t>
  </si>
  <si>
    <t>110100600800000</t>
  </si>
  <si>
    <t>Crediti per fatture e ricevute da emettere v/Stato per spesa corrente</t>
  </si>
  <si>
    <t>110100600900000</t>
  </si>
  <si>
    <t>Note di credito da emettere v/Stato per spesa corrente</t>
  </si>
  <si>
    <t>210500206000000</t>
  </si>
  <si>
    <t>Fondo Svalutazione  Crediti v/Stato per spesa corrente - altro</t>
  </si>
  <si>
    <t>ABA271</t>
  </si>
  <si>
    <t>B.II.1.h) Crediti v/Stato per spesa corrente  per STP (ex D.Lgs. 286/98)</t>
  </si>
  <si>
    <t>110100650000000</t>
  </si>
  <si>
    <t>Crediti v/Stato per spesa corrente per STP (ex D.lgs. 286/98)</t>
  </si>
  <si>
    <t>210500212000000</t>
  </si>
  <si>
    <t>Fondo Svalutazione Crediti v/Stato per spesa corrente per STP (ex D.lgs. 286/98)</t>
  </si>
  <si>
    <t>ABA280</t>
  </si>
  <si>
    <t>B.II.1.i) Crediti v/Stato per finanziamenti per investimenti</t>
  </si>
  <si>
    <t>110100700000000</t>
  </si>
  <si>
    <t>Crediti v/Stato per finanziamenti per investimenti</t>
  </si>
  <si>
    <t>210500207000000</t>
  </si>
  <si>
    <t>Fondo Svalutazione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</si>
  <si>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</si>
  <si>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</si>
  <si>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</si>
  <si>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</si>
  <si>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110100800100000</t>
  </si>
  <si>
    <t>Crediti v/Stato per ricerca corrente - Ministero della Salute</t>
  </si>
  <si>
    <t>210500208000000</t>
  </si>
  <si>
    <t>Fondo Svalutazione Crediti v/Stato per ricerca corrente - Ministero della Salute</t>
  </si>
  <si>
    <t>ABA310</t>
  </si>
  <si>
    <t>B.II.1.j.2) Crediti v/Stato per ricerca finalizzata - Ministero della Salute</t>
  </si>
  <si>
    <t>110100800200000</t>
  </si>
  <si>
    <t>Crediti v/Stato per ricerca finalizzata - Ministero della Salute</t>
  </si>
  <si>
    <t>210500209000000</t>
  </si>
  <si>
    <t>Fondo Svalutazione Crediti v/Stato per ricerca finalizzata - Ministero della Salute</t>
  </si>
  <si>
    <t>ABA320</t>
  </si>
  <si>
    <t>B.II.1.j.3) Crediti v/Stato per ricerca - altre Amministrazioni centrali</t>
  </si>
  <si>
    <t>110100800301000</t>
  </si>
  <si>
    <t>Crediti verso ministero dell'università</t>
  </si>
  <si>
    <t>110100800302000</t>
  </si>
  <si>
    <t>Crediti verso ministero della difesa</t>
  </si>
  <si>
    <t>110100800309000</t>
  </si>
  <si>
    <t>Crediti verso altre Amministrazioni centrali</t>
  </si>
  <si>
    <t>210500210000000</t>
  </si>
  <si>
    <t>Fondo Svalutazione Crediti v/Stato per ricerca - altre Amministrazioni centrali</t>
  </si>
  <si>
    <t>ABA330</t>
  </si>
  <si>
    <t>B.II.1.j.4) Crediti v/Stato per ricerca - finanziamenti per investimenti</t>
  </si>
  <si>
    <t>110100800400000</t>
  </si>
  <si>
    <t>Crediti v/Stato per ricerca - finanziamenti per investimenti</t>
  </si>
  <si>
    <t>210500211000000</t>
  </si>
  <si>
    <t>Fondo Svalutazione Crediti v/Stato per ricerca - finanziamenti per investimenti</t>
  </si>
  <si>
    <t>ABA340</t>
  </si>
  <si>
    <t>B.II.1.k) Crediti v/prefetture</t>
  </si>
  <si>
    <t>110100900100000</t>
  </si>
  <si>
    <t>Crediti verso prefetture</t>
  </si>
  <si>
    <t>110100900800000</t>
  </si>
  <si>
    <t>Crediti per fatture e ricevute da emettere v/prefetture</t>
  </si>
  <si>
    <t>110100900900000</t>
  </si>
  <si>
    <t>Note di credito da emettere v/prefetture</t>
  </si>
  <si>
    <t>210500300000000</t>
  </si>
  <si>
    <t>Fondo Svalutazione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</si>
  <si>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</si>
  <si>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</si>
  <si>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</si>
  <si>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</si>
  <si>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ABA390</t>
  </si>
  <si>
    <t>B.II.2.a.1) Crediti v/Regione o Provincia Autonoma per quota FSR</t>
  </si>
  <si>
    <t>110200100200000</t>
  </si>
  <si>
    <t>Crediti v/Regione o Provincia Autonoma per quota FSR</t>
  </si>
  <si>
    <t>210500402000000</t>
  </si>
  <si>
    <t>Fondo Svalutazione Crediti v/Regione o Provincia Autonoma per quota FSR</t>
  </si>
  <si>
    <t>ABA400</t>
  </si>
  <si>
    <t>B.II.2.a.2) Crediti v/Regione o Provincia Autonoma per mobilità attiva intraregionale</t>
  </si>
  <si>
    <t>110200100300000</t>
  </si>
  <si>
    <t>Crediti v/Regione o Provincia Autonoma per mobilità attiva intraregionale</t>
  </si>
  <si>
    <t>210500403000000</t>
  </si>
  <si>
    <t>Fondo Svalutazione  Crediti v/Regione o Provincia Autonoma per mobilità attiva intraregionale</t>
  </si>
  <si>
    <t>ABA410</t>
  </si>
  <si>
    <t>B.II.2.a.3) Crediti v/Regione o Provincia Autonoma per mobilità attiva extraregionale</t>
  </si>
  <si>
    <t>110200100400000</t>
  </si>
  <si>
    <t>Crediti v/Regione o Provincia Autonoma per mobilità attiva extraregionale</t>
  </si>
  <si>
    <t>210500404000000</t>
  </si>
  <si>
    <t>Fondo Svalutazione  Crediti v/Regione o Provincia Autonoma per mobilità attiva extraregionale</t>
  </si>
  <si>
    <t>ABA420</t>
  </si>
  <si>
    <t>B.II.2.a.4) Crediti v/Regione o Provincia Autonoma per acconto quota FSR</t>
  </si>
  <si>
    <t>110200100500000</t>
  </si>
  <si>
    <t>Crediti v/Regione o Provincia Autonoma per acconto quota FSR</t>
  </si>
  <si>
    <t>210500405000000</t>
  </si>
  <si>
    <t>Fondo Svalutazione  Crediti v/Regione o Provincia Autonoma per acconto quota FSR</t>
  </si>
  <si>
    <t>ABA430</t>
  </si>
  <si>
    <t>B.II.2.a.5) Crediti v/Regione o Provincia Autonoma per finanziamento sanitario aggiuntivo  corrente LEA</t>
  </si>
  <si>
    <t>110200100600000</t>
  </si>
  <si>
    <t>Crediti v/Regione o Provincia Autonoma per finanziamento sanitario aggiuntivo corrente LEA</t>
  </si>
  <si>
    <t>210500406000000</t>
  </si>
  <si>
    <t>Fondo Svalutazione Crediti v/Regione o Provincia Autonoma per finanziamento sanitario aggiuntivo corrente LEA</t>
  </si>
  <si>
    <t>ABA440</t>
  </si>
  <si>
    <t>B.II.2.a.6) Crediti v/Regione o Provincia Autonoma per finanziamento sanitario aggiuntivo  corrente extra LEA</t>
  </si>
  <si>
    <t>110200100700000</t>
  </si>
  <si>
    <t>Crediti v/Regione o Provincia Autonoma per finanziamento sanitario aggiuntivo corrente extra LEA</t>
  </si>
  <si>
    <t>210500407000000</t>
  </si>
  <si>
    <t>Fondo Svalutazione  Crediti v/Regione o Provincia Autonoma per finanziamento sanitario aggiuntivo corrente extra LEA</t>
  </si>
  <si>
    <t>ABA450</t>
  </si>
  <si>
    <t>B.II.2.a.7) Crediti v/Regione o Provincia Autonoma per spesa corrente - altro</t>
  </si>
  <si>
    <t>110200100801000</t>
  </si>
  <si>
    <t>Crediti v/Regione o Provincia Autonoma per spesa corrente - altro</t>
  </si>
  <si>
    <t>110200100808000</t>
  </si>
  <si>
    <t>Crediti per fatture e ricevute da emettere v/Regione o Provincia Autonoma per spesa corrente</t>
  </si>
  <si>
    <t>110200100809000</t>
  </si>
  <si>
    <t>Note di credito da emettere v/Regione o Provincia Autonoma per spesa corrente</t>
  </si>
  <si>
    <t>210500408000000</t>
  </si>
  <si>
    <t>Fondo Svalutazione  Crediti v/Regione o Provincia Autonoma per spesa corrente - altro</t>
  </si>
  <si>
    <t>ABA451</t>
  </si>
  <si>
    <t>B.II.2.a.8) Crediti v/Regione o Provincia Autonoma per spesa corrente - STP (ex D.Lgs. 286/98)</t>
  </si>
  <si>
    <t>110200100850000</t>
  </si>
  <si>
    <t>Crediti v/Regione o Provincia Autonoma per spesa corrente - STP (ex D.lgs. 286/98)</t>
  </si>
  <si>
    <t>210500415000000</t>
  </si>
  <si>
    <t>Fondo Svalutazione Crediti v/Regione o Provincia Autonoma per spesa corrente - STP (ex D.lgs. 286/98)</t>
  </si>
  <si>
    <t>ABA460</t>
  </si>
  <si>
    <t>B.II.2.a.9) Crediti v/Regione o Provincia Autonoma per ricerca</t>
  </si>
  <si>
    <t>110200100901000</t>
  </si>
  <si>
    <t>Crediti v/Regione o Provincia Autonoma per ricerca - vincolati a progetti europei</t>
  </si>
  <si>
    <t>110200100902000</t>
  </si>
  <si>
    <t>Crediti v/Regione o Provincia Autonoma per ricerca -  vincolati a progetti ministeriali</t>
  </si>
  <si>
    <t>110200100903000</t>
  </si>
  <si>
    <t>Crediti v/Regione o Provincia Autonoma per ricerca - quota regionale</t>
  </si>
  <si>
    <t>110200100909000</t>
  </si>
  <si>
    <t>Crediti v/Regione o Provincia Autonoma per ricerca - Altro</t>
  </si>
  <si>
    <t>210500409000000</t>
  </si>
  <si>
    <t>Fondo Svalutazione Crediti v/Regione o Provincia Autonoma per ricerca</t>
  </si>
  <si>
    <t>ABA461</t>
  </si>
  <si>
    <t>B.II.2.a.10) Crediti v/Regione o Provincia Autonoma per mobilità attiva internazionale</t>
  </si>
  <si>
    <t>110200100950000</t>
  </si>
  <si>
    <t>Crediti v/Regione o Provincia Autonoma per mobilità attiva internazionale</t>
  </si>
  <si>
    <t>210500416000000</t>
  </si>
  <si>
    <t>Fondo Svalutazione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</si>
  <si>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</si>
  <si>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</si>
  <si>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</si>
  <si>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</si>
  <si>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110200200100000</t>
  </si>
  <si>
    <t>Crediti v/Regione o Provincia Autonoma per finanziamenti per investimenti</t>
  </si>
  <si>
    <t>210500410000000</t>
  </si>
  <si>
    <t>Fondo Svalutazione Crediti v/Regione o Provincia Autonoma per finanziamenti per investimenti</t>
  </si>
  <si>
    <t>ABA490</t>
  </si>
  <si>
    <t>B.II.2.b.2) Crediti v/Regione o Provincia Autonoma per incremento fondo dotazione</t>
  </si>
  <si>
    <t>110200200200000</t>
  </si>
  <si>
    <t>Crediti v/Regione o Provincia Autonoma per incremento fondo dotazione</t>
  </si>
  <si>
    <t>210500411000000</t>
  </si>
  <si>
    <t>Fondo Svalutazione Crediti v/Regione o Provincia Autonoma per incremento fondo dotazione</t>
  </si>
  <si>
    <t>ABA500</t>
  </si>
  <si>
    <t>B.II.2.b.3) Crediti v/Regione o Provincia Autonoma per ripiano perdite</t>
  </si>
  <si>
    <t>110200200300000</t>
  </si>
  <si>
    <t>Crediti v/Regione o Provincia Autonoma per ripiano perdite</t>
  </si>
  <si>
    <t>210500412000000</t>
  </si>
  <si>
    <t>Fondo Svalutazione Crediti v/Regione o Provincia Autonoma per ripiano perdite</t>
  </si>
  <si>
    <t>ABA501</t>
  </si>
  <si>
    <t>B.II.2.b.4) Crediti v/Regione o Provincia Autonoma per anticipazione ripiano disavanzo programmato dai Piani aziendali di cui all'art.1, comma 528, L. 208/2015</t>
  </si>
  <si>
    <t>110200200350000</t>
  </si>
  <si>
    <t>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</si>
  <si>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</si>
  <si>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</si>
  <si>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110200200400000</t>
  </si>
  <si>
    <t>Crediti v/Regione per copertura debiti al 31/12/2005</t>
  </si>
  <si>
    <t>210500413000000</t>
  </si>
  <si>
    <t>Fondo Svalutazione Crediti v/Regione per copertura debiti al 31/12/2005</t>
  </si>
  <si>
    <t>ABA520</t>
  </si>
  <si>
    <t>B.II.2.b.6) Crediti v/Regione o Provincia Autonoma per ricostituzione risorse da investimenti  esercizi precedenti</t>
  </si>
  <si>
    <t>110200200500000</t>
  </si>
  <si>
    <t>Crediti v/Regione o Provincia Autonoma per ricostituzione risorse da investimenti esercizi precedenti</t>
  </si>
  <si>
    <t>210500414000000</t>
  </si>
  <si>
    <t>Fondo Svalutazione Crediti v/Regione o Provincia Autonoma per ricostituzione risorse da investimenti esercizi precedenti</t>
  </si>
  <si>
    <t>ABA521</t>
  </si>
  <si>
    <t>B.II.2.c) Crediti v/Regione o Provincia Autonoma per contributi L. 210/92</t>
  </si>
  <si>
    <t>110200300000000</t>
  </si>
  <si>
    <t>Crediti v/Regione o Provincia Autonoma per contributi L. 210/92</t>
  </si>
  <si>
    <t>ABA522</t>
  </si>
  <si>
    <t>B.II.2.d) Crediti v/Regione o Provincia Autonoma per contributi L. 210/92 - aziende sanitarie</t>
  </si>
  <si>
    <t>110200400000000</t>
  </si>
  <si>
    <t>Crediti v/Regione o Provincia Autonoma per contributi L. 210/92 – aziende sanitarie</t>
  </si>
  <si>
    <t>ABA530</t>
  </si>
  <si>
    <t>B.II.3) Crediti v/Comuni</t>
  </si>
  <si>
    <t>110300100000000</t>
  </si>
  <si>
    <t>Crediti v/comuni</t>
  </si>
  <si>
    <t>110300800000000</t>
  </si>
  <si>
    <t>Crediti per fatture e ricevute da emettere v/Comuni</t>
  </si>
  <si>
    <t>110300900000000</t>
  </si>
  <si>
    <t>Note di credito da emettere v/Comuni</t>
  </si>
  <si>
    <t>210500500000000</t>
  </si>
  <si>
    <t>Fondo Svalutazione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</si>
  <si>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</si>
  <si>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</si>
  <si>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</si>
  <si>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</si>
  <si>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</si>
  <si>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</si>
  <si>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110400100100000</t>
  </si>
  <si>
    <t>Crediti v/Aziende sanitarie pubbliche della Regione - per mobilità in compensazione</t>
  </si>
  <si>
    <t>ABA570</t>
  </si>
  <si>
    <t>B.II.4.a.2) Crediti v/Aziende sanitarie pubbliche della Regione - per mobilità non in compensazione</t>
  </si>
  <si>
    <t>110400100201000</t>
  </si>
  <si>
    <t>Crediti v/Aziende sanitarie pubbliche della Regione - per mobilità non in compensazione</t>
  </si>
  <si>
    <t>110400100208000</t>
  </si>
  <si>
    <t>Crediti per fatture e ricevute da emettere v/Aziende sanitarie pubbliche della Regione - per mobilità non in compensazione</t>
  </si>
  <si>
    <t>110400100209000</t>
  </si>
  <si>
    <t>Note di credito da emettere v/Aziende sanitarie pubbliche della Regione - per mobilità non in compensazione</t>
  </si>
  <si>
    <t>ABA580</t>
  </si>
  <si>
    <t>B.II.4.a.3) Crediti v/Aziende sanitarie pubbliche della Regione - per altre prestazioni</t>
  </si>
  <si>
    <t>110400100301000</t>
  </si>
  <si>
    <t>Crediti v/Aziende sanitarie pubbliche della Regione - per altre prestazioni</t>
  </si>
  <si>
    <t>110400100308000</t>
  </si>
  <si>
    <t>Crediti per fatture e ricevute da emettere v/Aziende sanitarie pubbliche della Regione - per altre prestazioni</t>
  </si>
  <si>
    <t>110400100309000</t>
  </si>
  <si>
    <t>Note di credito da emettere v/Aziende sanitarie pubbliche della Regione - per altre prestazioni</t>
  </si>
  <si>
    <t>ABA590</t>
  </si>
  <si>
    <t>B.II.4.b) Acconto quota FSR da distribuire</t>
  </si>
  <si>
    <t>110400200000000</t>
  </si>
  <si>
    <t>Acconto quota FSR da distribuire</t>
  </si>
  <si>
    <t>ABA591</t>
  </si>
  <si>
    <t>B.II.4.c) Crediti v/Aziende sanitarie pubbliche della Regione  per anticipazione ripiano disavanzo programmato dai Piani aziendali di cui all'art.1, comma 528, L. 208/2015</t>
  </si>
  <si>
    <t>110400250000000</t>
  </si>
  <si>
    <t>Crediti v/Aziende sanitarie pubbliche della Regione per anticipazione ripiano disavanzo programmato dai Piani aziendali di cui all'art. 1, comma 528, L. 208/2015</t>
  </si>
  <si>
    <t>USO GSA</t>
  </si>
  <si>
    <t>ABA600</t>
  </si>
  <si>
    <t>B.II.4.d) Crediti v/Aziende sanitarie pubbliche Extraregione</t>
  </si>
  <si>
    <t>110400300100000</t>
  </si>
  <si>
    <t>Crediti v/Aziende sanitarie pubbliche Extraregione</t>
  </si>
  <si>
    <t>110400300800000</t>
  </si>
  <si>
    <t>Crediti per fatture e ricevute da emettere v/Aziende sanitarie pubbliche Extraregione</t>
  </si>
  <si>
    <t>110400300900000</t>
  </si>
  <si>
    <t>Note di credito da emettere v/Aziende sanitarie pubbliche Extraregione</t>
  </si>
  <si>
    <t>210500604000000</t>
  </si>
  <si>
    <t>Fondo Svalutazione Crediti v/Aziende sanitarie pubbliche Extraregione</t>
  </si>
  <si>
    <t>ABA601</t>
  </si>
  <si>
    <t>B.II.4.e) Crediti v/Aziende sanitarie pubbliche della Regione  - per Contributi da Aziende sanitarie pubbliche della regione o Prov. Aut. (extra fondo)</t>
  </si>
  <si>
    <t>110400350000000</t>
  </si>
  <si>
    <t>Crediti v/Aziende sanitarie pubbliche della Regione - per Contributi da Aziende sanitarie pubbliche della Regione o Prov. Aut. (extra fondo)</t>
  </si>
  <si>
    <t>ABA610</t>
  </si>
  <si>
    <t>B.II.5) Crediti v/società partecipate e/o enti dipendenti della Regione</t>
  </si>
  <si>
    <t>ABA620</t>
  </si>
  <si>
    <t>B.II.5.a) Crediti v/enti regionali</t>
  </si>
  <si>
    <t>110500100000000</t>
  </si>
  <si>
    <t>Crediti v/enti regionali</t>
  </si>
  <si>
    <t>210500700000000</t>
  </si>
  <si>
    <t>Fondo Svalutazione Crediti v/enti regionali</t>
  </si>
  <si>
    <t>ABA630</t>
  </si>
  <si>
    <t>B.II.5.b) Crediti v/sperimentazioni gestionali</t>
  </si>
  <si>
    <t>110500200000000</t>
  </si>
  <si>
    <t>Crediti v/sperimentazioni gestionali</t>
  </si>
  <si>
    <t>210500701000000</t>
  </si>
  <si>
    <t>Fondo Svalutazione Crediti v/sperimentazioni gestionali</t>
  </si>
  <si>
    <t>ABA640</t>
  </si>
  <si>
    <t>B.II.5.c) Crediti v/altre partecipate</t>
  </si>
  <si>
    <t>110500300100000</t>
  </si>
  <si>
    <t>Crediti v/altre partecipate</t>
  </si>
  <si>
    <t>110500300800000</t>
  </si>
  <si>
    <t>Crediti per fatture e ricevute da emettere v/altre partecipate</t>
  </si>
  <si>
    <t>110500300900000</t>
  </si>
  <si>
    <t>Note di credito da emettere v/altre partecipate</t>
  </si>
  <si>
    <t>210500702000000</t>
  </si>
  <si>
    <t>Fondo Svalutazione Crediti v/altre partecipate</t>
  </si>
  <si>
    <t>ABA650</t>
  </si>
  <si>
    <t>B.II.6) Crediti v/Erario</t>
  </si>
  <si>
    <t>110600100000000</t>
  </si>
  <si>
    <t>Crediti v/Erario IRES</t>
  </si>
  <si>
    <t>110600200000000</t>
  </si>
  <si>
    <t>Crediti v/Erario IRAP</t>
  </si>
  <si>
    <t>110600300000000</t>
  </si>
  <si>
    <t>IVA a Credito</t>
  </si>
  <si>
    <t>110600300000010</t>
  </si>
  <si>
    <t>IVA c/acquisti - SPLIT PAYMENT ACQUISTI COMMERCIALI</t>
  </si>
  <si>
    <t>110600400000000</t>
  </si>
  <si>
    <t>IVA a Credito per acquisti Infra CEE</t>
  </si>
  <si>
    <t>110600500000000</t>
  </si>
  <si>
    <t>IVA a Credito per autofatture</t>
  </si>
  <si>
    <t>110600600000000</t>
  </si>
  <si>
    <t>Imposte varie</t>
  </si>
  <si>
    <t>210500703000000</t>
  </si>
  <si>
    <t>Fondo Svalutazione Crediti v/Erario</t>
  </si>
  <si>
    <t>ABA660</t>
  </si>
  <si>
    <t>B.II.7) Crediti v/altri</t>
  </si>
  <si>
    <t>ABA670</t>
  </si>
  <si>
    <t>B.II.7.a) Crediti v/clienti privati</t>
  </si>
  <si>
    <t>110700100100000</t>
  </si>
  <si>
    <t>Privati paganti</t>
  </si>
  <si>
    <t>110700100200000</t>
  </si>
  <si>
    <t>Crediti verso soggetti esteri</t>
  </si>
  <si>
    <t>110700100300000</t>
  </si>
  <si>
    <t>Altri crediti v/clienti privati</t>
  </si>
  <si>
    <t>110700100800000</t>
  </si>
  <si>
    <t>Crediti per fatture e ricevute da emettere v/clienti privati</t>
  </si>
  <si>
    <t>110700100900000</t>
  </si>
  <si>
    <t>Note di credito da emettere v/clienti privati</t>
  </si>
  <si>
    <t>210500900000000</t>
  </si>
  <si>
    <t>Fondo Svalutazione Crediti v/clienti privati</t>
  </si>
  <si>
    <t>ABA680</t>
  </si>
  <si>
    <t>B.II.7.b) Crediti v/gestioni liquidatorie</t>
  </si>
  <si>
    <t>110700200000000</t>
  </si>
  <si>
    <t>Crediti v/gestioni liquidatorie</t>
  </si>
  <si>
    <t>210500901000000</t>
  </si>
  <si>
    <t>Fondo Svalutazione Crediti v/gestioni liquidatorie</t>
  </si>
  <si>
    <t>ABA690</t>
  </si>
  <si>
    <t>B.II.7.c) Crediti v/altri soggetti pubblici</t>
  </si>
  <si>
    <t>110700300100000</t>
  </si>
  <si>
    <t>Crediti verso enti previdenziali per acconti pensione</t>
  </si>
  <si>
    <t>110700300200000</t>
  </si>
  <si>
    <t>Crediti verso altre amministrazioni pubbliche</t>
  </si>
  <si>
    <t>110700300800000</t>
  </si>
  <si>
    <t>Crediti per fatture e ricevute da emettere v/altri soggetti pubblici</t>
  </si>
  <si>
    <t>110700300900000</t>
  </si>
  <si>
    <t>Note di credito da emettere v/altri soggetti pubblici</t>
  </si>
  <si>
    <t>210500902000000</t>
  </si>
  <si>
    <t>Fondo Svalutazione Crediti v/altri soggetti pubblici</t>
  </si>
  <si>
    <t>ABA700</t>
  </si>
  <si>
    <t>B.II.7.d) Crediti v/altri soggetti pubblici per ricerca</t>
  </si>
  <si>
    <t>110700400000000</t>
  </si>
  <si>
    <t>Crediti v/altri soggetti pubblici per ricerca</t>
  </si>
  <si>
    <t>210500903000000</t>
  </si>
  <si>
    <t>Fondo Svalutazione Crediti v/altri soggetti pubblici per ricerca</t>
  </si>
  <si>
    <t>ABA710</t>
  </si>
  <si>
    <t>B.II.7.e) Altri crediti diversi</t>
  </si>
  <si>
    <t>ABA711</t>
  </si>
  <si>
    <t>B.II.7.e.1) Altri crediti diversi</t>
  </si>
  <si>
    <t>110700500100000</t>
  </si>
  <si>
    <t>Acconti, anticipi a personale</t>
  </si>
  <si>
    <t>110700500150000</t>
  </si>
  <si>
    <t>Altri crediti verso personale</t>
  </si>
  <si>
    <t>110700500200000</t>
  </si>
  <si>
    <t>Acconti a farmacie</t>
  </si>
  <si>
    <t>110700500300000</t>
  </si>
  <si>
    <t>Acconti a fornitori</t>
  </si>
  <si>
    <t>110700500400000</t>
  </si>
  <si>
    <t>Crediti per depositi cauzionali</t>
  </si>
  <si>
    <t>110700500900000</t>
  </si>
  <si>
    <t>Altri crediti diversi</t>
  </si>
  <si>
    <t>210500990000000</t>
  </si>
  <si>
    <t>Fondo Svalutazione Altri crediti diversi</t>
  </si>
  <si>
    <t>210500991000000</t>
  </si>
  <si>
    <t>Fondo Svalutazione  Altri Crediti verso erogatori (privati accreditati e convenzionati) di prestazioni sanitarie</t>
  </si>
  <si>
    <t>ABA712</t>
  </si>
  <si>
    <t>B.II.7.e.2) Note di credito da emettere (diverse)</t>
  </si>
  <si>
    <t>110700500910000</t>
  </si>
  <si>
    <t>Note di credito da emettere (diversi)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</si>
  <si>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</si>
  <si>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</si>
  <si>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</si>
  <si>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</si>
  <si>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110700600100000</t>
  </si>
  <si>
    <t>Altri Crediti verso erogatori (privati accreditati e convenzionati) di prestazioni sanitarie</t>
  </si>
  <si>
    <t>ABA715</t>
  </si>
  <si>
    <t>B.II.7.f.2) Note di credito da emettere (privati accreditati e convenzionati)</t>
  </si>
  <si>
    <t>110700600200000</t>
  </si>
  <si>
    <t>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</si>
  <si>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</si>
  <si>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</si>
  <si>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</si>
  <si>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</si>
  <si>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120100100000000</t>
  </si>
  <si>
    <t>Partecipazioni in imprese controllate</t>
  </si>
  <si>
    <t>120100200000000</t>
  </si>
  <si>
    <t>Partecipazioni in imprese collegate</t>
  </si>
  <si>
    <t>120100300000000</t>
  </si>
  <si>
    <t>Partecipazioni in altre imprese</t>
  </si>
  <si>
    <t>ABA740</t>
  </si>
  <si>
    <t>B.III.2) Altri titoli che non costituiscono immobilizzazioni</t>
  </si>
  <si>
    <t>120200000000000</t>
  </si>
  <si>
    <t>Altri titoli che non costituiscono immobilizzazioni</t>
  </si>
  <si>
    <t>ABA750</t>
  </si>
  <si>
    <t>B.IV) DISPONIBILITA' LIQUIDE</t>
  </si>
  <si>
    <t>ABA760</t>
  </si>
  <si>
    <t>B.IV.1) Cassa</t>
  </si>
  <si>
    <t>1301001000000</t>
  </si>
  <si>
    <t>Cassa economale</t>
  </si>
  <si>
    <t>130100100100000</t>
  </si>
  <si>
    <t>Cassa economale gestione sanita</t>
  </si>
  <si>
    <t>130100100200000</t>
  </si>
  <si>
    <t>Cassa economale gestione delega</t>
  </si>
  <si>
    <t>1301002000000</t>
  </si>
  <si>
    <t>Cassa prestazioni</t>
  </si>
  <si>
    <t>130100200100000</t>
  </si>
  <si>
    <t>Cassa prestazioni CUP</t>
  </si>
  <si>
    <t>130100200200000</t>
  </si>
  <si>
    <t>Cassa prestazioni CUP - CASSE AUTOMATICHE</t>
  </si>
  <si>
    <t>ABA770</t>
  </si>
  <si>
    <t>B.IV.2) Istituto Tesoriere</t>
  </si>
  <si>
    <t>130200100000000</t>
  </si>
  <si>
    <t>c/c di tesoreria</t>
  </si>
  <si>
    <t>130200100000040</t>
  </si>
  <si>
    <t>Banca C/Carta Contabile Entrata</t>
  </si>
  <si>
    <t>130200100000050</t>
  </si>
  <si>
    <t>Banca C/Carta Contabile Uscita</t>
  </si>
  <si>
    <t>130200110000000</t>
  </si>
  <si>
    <t>c/c di tesoreria - delega</t>
  </si>
  <si>
    <t>130200200000000</t>
  </si>
  <si>
    <t>Interessi attivi da liquidare</t>
  </si>
  <si>
    <t>ABA780</t>
  </si>
  <si>
    <t>B.IV.3) Tesoreria Unica</t>
  </si>
  <si>
    <t>130300000000000</t>
  </si>
  <si>
    <t>Tesoreria Unica</t>
  </si>
  <si>
    <t>ABA790</t>
  </si>
  <si>
    <t>B.IV.4) Conto corrente postale</t>
  </si>
  <si>
    <t>130400100000000</t>
  </si>
  <si>
    <t>Conto corrente postale generale</t>
  </si>
  <si>
    <t>130400110000000</t>
  </si>
  <si>
    <t>Conto corrente postale veterinaria</t>
  </si>
  <si>
    <t>130400120000000</t>
  </si>
  <si>
    <t>Conto corrente postale prestazioni CUP</t>
  </si>
  <si>
    <t>130400130000000</t>
  </si>
  <si>
    <t>Conto corrente postale delega</t>
  </si>
  <si>
    <t>130400200000000</t>
  </si>
  <si>
    <t>Deposito affrancatrice</t>
  </si>
  <si>
    <t>1309000000000</t>
  </si>
  <si>
    <t>Conti transitori</t>
  </si>
  <si>
    <t>130900100000000</t>
  </si>
  <si>
    <t>Incassi c/transitorio</t>
  </si>
  <si>
    <t>130900200000000</t>
  </si>
  <si>
    <t>Pagamenti c/transitorio</t>
  </si>
  <si>
    <t>130900300000000</t>
  </si>
  <si>
    <t>Giroconti interni</t>
  </si>
  <si>
    <t>130900301000000</t>
  </si>
  <si>
    <t>Giroconti note</t>
  </si>
  <si>
    <t>130900302000000</t>
  </si>
  <si>
    <t>Giroconti cauzioni</t>
  </si>
  <si>
    <t>130900303000000</t>
  </si>
  <si>
    <t>Giroconti documenti pagati</t>
  </si>
  <si>
    <t>130900304000000</t>
  </si>
  <si>
    <t>Giroconti protocolli errati</t>
  </si>
  <si>
    <t>130900305000000</t>
  </si>
  <si>
    <t>Giroconti ritenute personale dipendente</t>
  </si>
  <si>
    <t>130900306000000</t>
  </si>
  <si>
    <t>Giroconti ritenute personale esterno</t>
  </si>
  <si>
    <t>130900307000000</t>
  </si>
  <si>
    <t>Giroconti ritenute personale convenzionato</t>
  </si>
  <si>
    <t>130900308000000</t>
  </si>
  <si>
    <t>Giroconti ritenute personale altro</t>
  </si>
  <si>
    <t>130900309000000</t>
  </si>
  <si>
    <t>Giroconti c/c postale</t>
  </si>
  <si>
    <t>ACZ999</t>
  </si>
  <si>
    <t>C) RATEI E RISCONTI ATTIVI</t>
  </si>
  <si>
    <t>ACA000</t>
  </si>
  <si>
    <t>C.I) RATEI ATTIVI</t>
  </si>
  <si>
    <t>ACA010</t>
  </si>
  <si>
    <t>C.I.1) Ratei attivi</t>
  </si>
  <si>
    <t>140100100000000</t>
  </si>
  <si>
    <t>Ratei attivi</t>
  </si>
  <si>
    <t>ACA020</t>
  </si>
  <si>
    <t>C.I.2) Ratei attivi v/Aziende sanitarie pubbliche della Regione</t>
  </si>
  <si>
    <t>140100200000000</t>
  </si>
  <si>
    <t>Ratei attivi v/Aziende sanitarie pubbliche della Regione</t>
  </si>
  <si>
    <t>ACA030</t>
  </si>
  <si>
    <t>C.II) RISCONTI ATTIVI</t>
  </si>
  <si>
    <t>ACA040</t>
  </si>
  <si>
    <t>C.II.1) Risconti attivi</t>
  </si>
  <si>
    <t>140200100000000</t>
  </si>
  <si>
    <t>Risconti attivi</t>
  </si>
  <si>
    <t>ACA050</t>
  </si>
  <si>
    <t>C.II.2) Risconti attivi v/Aziende sanitarie pubbliche della Regione</t>
  </si>
  <si>
    <t>140200200000000</t>
  </si>
  <si>
    <t>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</si>
  <si>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</si>
  <si>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</si>
  <si>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</si>
  <si>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</si>
  <si>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</si>
  <si>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</si>
  <si>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195100000000000</t>
  </si>
  <si>
    <t>C.O.A. CANONI DI LEASING ANCORA DA PAGARE</t>
  </si>
  <si>
    <t>ADA010</t>
  </si>
  <si>
    <t>E.II) DEPOSITI CAUZIONALI</t>
  </si>
  <si>
    <t>195200000000000</t>
  </si>
  <si>
    <t>C.O.A. DEPOSITI CAUZIONALI</t>
  </si>
  <si>
    <t>ADA020</t>
  </si>
  <si>
    <t>E.III) BENI IN COMODATO</t>
  </si>
  <si>
    <t>195300000000000</t>
  </si>
  <si>
    <t>C.O.A. BENI IN COMODATO</t>
  </si>
  <si>
    <t>ADA021</t>
  </si>
  <si>
    <t>E.IV) CANONI DI PROJECT FINANCING ANCORA DA PAGARE</t>
  </si>
  <si>
    <t>195350000000000</t>
  </si>
  <si>
    <t>C.O.A. CANONI DI PROJECT FINANCING ANCORA DA PAGARE</t>
  </si>
  <si>
    <t>ADA030</t>
  </si>
  <si>
    <t>E.V) ALTRI CONTI D'ORDINE</t>
  </si>
  <si>
    <t>195400100000000</t>
  </si>
  <si>
    <t>C.O.A. Beni di terzi presso l'Azienda</t>
  </si>
  <si>
    <t>195400200000000</t>
  </si>
  <si>
    <t>C.O.A. Garanzie prestate (fideiussioni, avalli, altre garanzie personali e reali)</t>
  </si>
  <si>
    <t>195400300000000</t>
  </si>
  <si>
    <t>C.O.A. Garanzie ricevute (fideiussioni, avalli, altre garanzie personali e reali)</t>
  </si>
  <si>
    <t>195400400000000</t>
  </si>
  <si>
    <t>C.O.A. Beni in contenzioso</t>
  </si>
  <si>
    <t>195400900000000</t>
  </si>
  <si>
    <t>C.O.A. Altri impegni assunti</t>
  </si>
  <si>
    <t>P</t>
  </si>
  <si>
    <t>Passivo</t>
  </si>
  <si>
    <t>PAZ999</t>
  </si>
  <si>
    <t>A) PATRIMONIO NETTO</t>
  </si>
  <si>
    <t>PAA000</t>
  </si>
  <si>
    <t>A.I) FONDO DI DOTAZIONE</t>
  </si>
  <si>
    <t>200100000000000</t>
  </si>
  <si>
    <t>FONDO DI DOTAZIONE</t>
  </si>
  <si>
    <t>PAA010</t>
  </si>
  <si>
    <t>A.II) FINANZIAMENTI PER INVESTIMENTI</t>
  </si>
  <si>
    <t>PAA020</t>
  </si>
  <si>
    <t>A.II.1) Finanziamenti per beni di prima dotazione</t>
  </si>
  <si>
    <t>200200100000000</t>
  </si>
  <si>
    <t>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</si>
  <si>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</si>
  <si>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</si>
  <si>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</si>
  <si>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</si>
  <si>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200200200100000</t>
  </si>
  <si>
    <t>Finanziamenti da Stato per investimenti - ex art. 20 legge 67/88</t>
  </si>
  <si>
    <t>PAA050</t>
  </si>
  <si>
    <t>A.II.2.b) Finanziamenti da Stato per investimenti - ricerca</t>
  </si>
  <si>
    <t>200200200200000</t>
  </si>
  <si>
    <t>Finanziamenti da Stato per investimenti - ricerca</t>
  </si>
  <si>
    <t>PAA060</t>
  </si>
  <si>
    <t>A.II.2.c) Finanziamenti da Stato per investimenti - altro</t>
  </si>
  <si>
    <t>200200200300000</t>
  </si>
  <si>
    <t>Finanziamenti da Stato per investimenti - altro</t>
  </si>
  <si>
    <t>PAA070</t>
  </si>
  <si>
    <t>A.II.3) Finanziamenti da Regione per investimenti</t>
  </si>
  <si>
    <t>200200300100000</t>
  </si>
  <si>
    <t>Contributi regionali in c/capitale indistinti</t>
  </si>
  <si>
    <t>200200300200000</t>
  </si>
  <si>
    <t>Contributi regionali in c/capitale vincolati</t>
  </si>
  <si>
    <t>PAA080</t>
  </si>
  <si>
    <t>A.II.4) Finanziamenti da altri soggetti pubblici per investimenti</t>
  </si>
  <si>
    <t>200200400100000</t>
  </si>
  <si>
    <t>Contributi per rimborso mutui</t>
  </si>
  <si>
    <t>200200400200000</t>
  </si>
  <si>
    <t>Altri contributi</t>
  </si>
  <si>
    <t>PAA090</t>
  </si>
  <si>
    <t>A.II.5) Finanziamenti per investimenti da rettifica contributi in conto esercizio</t>
  </si>
  <si>
    <t>200200500000000</t>
  </si>
  <si>
    <t>Finanziamenti per investimenti da rettifica contributi in conto esercizio</t>
  </si>
  <si>
    <t>PAA100</t>
  </si>
  <si>
    <t>A.III) RISERVE DA DONAZIONI E LASCITI VINCOLATI AD INVESTIMENTI</t>
  </si>
  <si>
    <t>200300000000000</t>
  </si>
  <si>
    <t>RISERVE DA DONAZIONI E LASCITI VINCOLATI AD INVESTIMENTI</t>
  </si>
  <si>
    <t>PAA110</t>
  </si>
  <si>
    <t>A.IV) ALTRE RISERVE</t>
  </si>
  <si>
    <t>PAA120</t>
  </si>
  <si>
    <t>A.IV.1) Riserve da rivalutazioni</t>
  </si>
  <si>
    <t>200400100000000</t>
  </si>
  <si>
    <t>Riserve da rivalutazioni</t>
  </si>
  <si>
    <t>PAA130</t>
  </si>
  <si>
    <t>A.IV.2) Riserve da plusvalenze da reinvestire</t>
  </si>
  <si>
    <t>200400200000000</t>
  </si>
  <si>
    <t>Riserve da plusvalenze da reinvestire</t>
  </si>
  <si>
    <t>PAA140</t>
  </si>
  <si>
    <t>A.IV.3) Contributi da reinvestire</t>
  </si>
  <si>
    <t>200400300000000</t>
  </si>
  <si>
    <t>Contributi da reinvestire</t>
  </si>
  <si>
    <t>PAA150</t>
  </si>
  <si>
    <t>A.IV.4) Riserve da utili di esercizio destinati ad investimenti</t>
  </si>
  <si>
    <t>200400400000000</t>
  </si>
  <si>
    <t>Riserve da utili di esercizio destinati ad investimenti</t>
  </si>
  <si>
    <t>PAA160</t>
  </si>
  <si>
    <t>A.IV.5) Riserve diverse</t>
  </si>
  <si>
    <t>200400500000000</t>
  </si>
  <si>
    <t>Riserve diverse</t>
  </si>
  <si>
    <t>PAA170</t>
  </si>
  <si>
    <t>A.V) CONTRIBUTI PER RIPIANO PERDITE</t>
  </si>
  <si>
    <t>PAA180</t>
  </si>
  <si>
    <t>A.V.1) Contributi per copertura debiti al 31/12/2005</t>
  </si>
  <si>
    <t>200500100000000</t>
  </si>
  <si>
    <t>Contributi per copertura debiti al 31/12/2005</t>
  </si>
  <si>
    <t>PAA190</t>
  </si>
  <si>
    <t>A.V.2) Contributi per ricostituzione risorse da investimenti esercizi precedenti</t>
  </si>
  <si>
    <t>200500200000000</t>
  </si>
  <si>
    <t>Contributi per ricostituzione risorse da investimenti esercizi precedenti</t>
  </si>
  <si>
    <t>PAA200</t>
  </si>
  <si>
    <t>A.V.3) Altro</t>
  </si>
  <si>
    <t>200500300000000</t>
  </si>
  <si>
    <t>Altro</t>
  </si>
  <si>
    <t>PAA210</t>
  </si>
  <si>
    <t>A.VI) UTILI (PERDITE) PORTATI A NUOVO</t>
  </si>
  <si>
    <t>200600000000000</t>
  </si>
  <si>
    <t>UTILI (PERDITE) PORTATI A NUOVO</t>
  </si>
  <si>
    <t>PAA220</t>
  </si>
  <si>
    <t>A.VII) UTILE (PERDITA) D'ESERCIZIO</t>
  </si>
  <si>
    <t>200700000000000</t>
  </si>
  <si>
    <t>UTILE (PERDITA) D'ESERCIZIO</t>
  </si>
  <si>
    <t>PBZ999</t>
  </si>
  <si>
    <t>B) FONDI PER RISCHI E ONERI</t>
  </si>
  <si>
    <t>PBA000</t>
  </si>
  <si>
    <t>B.I) FONDI PER IMPOSTE, ANCHE DIFFERITE</t>
  </si>
  <si>
    <t>220100000000000</t>
  </si>
  <si>
    <t>FONDI PER IMPOSTE, ANCHE DIFFERITE</t>
  </si>
  <si>
    <t>PBA010</t>
  </si>
  <si>
    <t>B.II) FONDI PER RISCHI</t>
  </si>
  <si>
    <t>PBA020</t>
  </si>
  <si>
    <t>B.II.1) Fondo rischi per cause civili ed oneri processuali</t>
  </si>
  <si>
    <t>220200100000000</t>
  </si>
  <si>
    <t>Fondo rischi per cause civili ed oneri processuali</t>
  </si>
  <si>
    <t>PBA030</t>
  </si>
  <si>
    <t>B.II.2) Fondo rischi per contenzioso personale dipendente</t>
  </si>
  <si>
    <t>220200200000000</t>
  </si>
  <si>
    <t>Fondo rischi per contenzioso personale dipendente</t>
  </si>
  <si>
    <t>PBA040</t>
  </si>
  <si>
    <t>B.II.3) Fondo rischi connessi all'acquisto di prestazioni sanitarie da privato</t>
  </si>
  <si>
    <t>220200300000000</t>
  </si>
  <si>
    <t>Fondo rischi connessi all'acquisto di prestazioni sanitarie da privato</t>
  </si>
  <si>
    <t>PBA050</t>
  </si>
  <si>
    <t>B.II.4) Fondo rischi per copertura diretta dei rischi (autoassicurazione)</t>
  </si>
  <si>
    <t>220200400000000</t>
  </si>
  <si>
    <t>Fondo rischi per copertura diretta dei rischi (autoassicurazione)</t>
  </si>
  <si>
    <t>PBA051</t>
  </si>
  <si>
    <t>B.II.5) Fondo rischi per franchigia assicurativa</t>
  </si>
  <si>
    <t>220200500000000</t>
  </si>
  <si>
    <t>Fondo rischi per franchigia assicurativa</t>
  </si>
  <si>
    <t>PBA052</t>
  </si>
  <si>
    <t>B.II.6) Fondo rischi per interessi di mora</t>
  </si>
  <si>
    <t>220200600000000</t>
  </si>
  <si>
    <t>Fondo rischi per interessi di mora</t>
  </si>
  <si>
    <t>PBA060</t>
  </si>
  <si>
    <t>B.II.7) Altri fondi rischi</t>
  </si>
  <si>
    <t>220200900100000</t>
  </si>
  <si>
    <t>Fondo equo indennizzo</t>
  </si>
  <si>
    <t>220200900200000</t>
  </si>
  <si>
    <t>Fondo accordi bonari</t>
  </si>
  <si>
    <t>220200900900000</t>
  </si>
  <si>
    <t>Altri fondi rischi</t>
  </si>
  <si>
    <t>PBA070</t>
  </si>
  <si>
    <t>B.III) FONDI DA DISTRIBUIRE</t>
  </si>
  <si>
    <t>PBA080</t>
  </si>
  <si>
    <t>B.III.1) FSR indistinto da distribuire</t>
  </si>
  <si>
    <t>220300100000000</t>
  </si>
  <si>
    <t>FSR indistinto da distribuire</t>
  </si>
  <si>
    <t>PBA090</t>
  </si>
  <si>
    <t>B.III.2) FSR vincolato da distribuire</t>
  </si>
  <si>
    <t>220300200000000</t>
  </si>
  <si>
    <t>FSR vincolato da distribuire</t>
  </si>
  <si>
    <t>PBA100</t>
  </si>
  <si>
    <t>B.III.3) Fondo per ripiano disavanzi pregressi</t>
  </si>
  <si>
    <t>220300300000000</t>
  </si>
  <si>
    <t>Fondo per ripiano disavanzi pregressi</t>
  </si>
  <si>
    <t>PBA110</t>
  </si>
  <si>
    <t>B.III.4) Fondo finanziamento sanitario aggiuntivo corrente LEA</t>
  </si>
  <si>
    <t>220300400000000</t>
  </si>
  <si>
    <t>Fondo finanziamento sanitario aggiuntivo corrente LEA</t>
  </si>
  <si>
    <t>PBA120</t>
  </si>
  <si>
    <t>B.III.5) Fondo finanziamento sanitario aggiuntivo corrente extra LEA</t>
  </si>
  <si>
    <t>220300500000000</t>
  </si>
  <si>
    <t>Fondo finanziamento sanitario aggiuntivo corrente extra LEA</t>
  </si>
  <si>
    <t>PBA130</t>
  </si>
  <si>
    <t>B.III.6) Fondo finanziamento per ricerca</t>
  </si>
  <si>
    <t>220300600000000</t>
  </si>
  <si>
    <t>Fondo finanziamento per ricerca</t>
  </si>
  <si>
    <t>PBA140</t>
  </si>
  <si>
    <t>B.III.7) Fondo finanziamento per investimenti</t>
  </si>
  <si>
    <t>220300700000000</t>
  </si>
  <si>
    <t>Fondo finanziamento per investimenti</t>
  </si>
  <si>
    <t>PBA141</t>
  </si>
  <si>
    <t>B.III.8) Fondo finanziamento sanitario aggiuntivo corrente (extra fondo) - Risorse aggiuntive da bilancio regionale a titolo di copertura extra LEA</t>
  </si>
  <si>
    <t>220300800000000</t>
  </si>
  <si>
    <t>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</si>
  <si>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</si>
  <si>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</si>
  <si>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</si>
  <si>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</si>
  <si>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220400050000000</t>
  </si>
  <si>
    <t>Quote inutilizzate contributi da Regione o Prov. Aut. per quota F.S. indistinto finalizzato</t>
  </si>
  <si>
    <t>PBA160</t>
  </si>
  <si>
    <t>B.IV.2) Quote inutilizzate contributi da Regione o Prov. Aut. per quota F.S. vincolato</t>
  </si>
  <si>
    <t>220400100000000</t>
  </si>
  <si>
    <t>Quote inutilizzate contributi da Regione o Prov. Aut. per quota F.S. vincolato</t>
  </si>
  <si>
    <t>PBA170</t>
  </si>
  <si>
    <t>B.IV.3) Quote inutilizzate contributi vincolati da soggetti pubblici (extra fondo)</t>
  </si>
  <si>
    <t>220400200000000</t>
  </si>
  <si>
    <t>Quote inutilizzate contributi vincolati da soggetti pubblici (extra fondo)</t>
  </si>
  <si>
    <t>PBA180</t>
  </si>
  <si>
    <t>B.IV.4) Quote inutilizzate contributi per ricerca</t>
  </si>
  <si>
    <t>220400300000000</t>
  </si>
  <si>
    <t>Quote inutilizzate contributi per ricerca</t>
  </si>
  <si>
    <t>PBA190</t>
  </si>
  <si>
    <t>B.IV.5) Quote inutilizzate contributi vincolati da privati</t>
  </si>
  <si>
    <t>220400400100000</t>
  </si>
  <si>
    <t>Quote inutilizzate contributi vincolati da privati - sperimentazioni</t>
  </si>
  <si>
    <t>220400400900000</t>
  </si>
  <si>
    <t>Quote inutilizzate contributi vincolati da privati - altro</t>
  </si>
  <si>
    <t>PBA200</t>
  </si>
  <si>
    <t>B.V) ALTRI FONDI PER ONERI E SPESE</t>
  </si>
  <si>
    <t>PBA210</t>
  </si>
  <si>
    <t>B.V.1) Fondi integrativi pensione</t>
  </si>
  <si>
    <t>220500100000000</t>
  </si>
  <si>
    <t>Fondi integrativi pensione</t>
  </si>
  <si>
    <t>PBA220</t>
  </si>
  <si>
    <t>B.V.2) Fondi rinnovi contrattuali</t>
  </si>
  <si>
    <t>PBA230</t>
  </si>
  <si>
    <t>B.V.2.a) Fondo rinnovi contrattuali personale dipendente</t>
  </si>
  <si>
    <t>220500200100000</t>
  </si>
  <si>
    <t>Fondo rinnovi contrattuali personale dipendente</t>
  </si>
  <si>
    <t>PBA240</t>
  </si>
  <si>
    <t>B.V.2.b) Fondo rinnovi convenzioni MMG/PLS/MCA</t>
  </si>
  <si>
    <t>220500200200000</t>
  </si>
  <si>
    <t>Fondo rinnovi convenzioni MMG/PLS/MCA</t>
  </si>
  <si>
    <t>PBA250</t>
  </si>
  <si>
    <t>B.V.2.c) Fondo rinnovi convenzioni medici Sumai</t>
  </si>
  <si>
    <t>220500200300000</t>
  </si>
  <si>
    <t>Fondo rinnovi convenzioni medici Sumai</t>
  </si>
  <si>
    <t>PBA260</t>
  </si>
  <si>
    <t>B.V.3) Altri fondi per oneri e spese</t>
  </si>
  <si>
    <t>220500900100000</t>
  </si>
  <si>
    <t>Fondo oneri personale in quiescienza</t>
  </si>
  <si>
    <t>220500900900000</t>
  </si>
  <si>
    <t>Altri fondi per oneri e spese</t>
  </si>
  <si>
    <t>PBA270</t>
  </si>
  <si>
    <t>B.V.4) Altri fondi per Incentivi per funzioni tecniche Art. 113 D.Lgs. 50/2016</t>
  </si>
  <si>
    <t>220500950000000</t>
  </si>
  <si>
    <t>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</si>
  <si>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</si>
  <si>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</si>
  <si>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</si>
  <si>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</si>
  <si>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230100000000000</t>
  </si>
  <si>
    <t>FONDO PER PREMI OPEROSITA' MEDICI SUMAI</t>
  </si>
  <si>
    <t>PCA010</t>
  </si>
  <si>
    <t>C.II) FONDO PER TRATTAMENTO DI FINE RAPPORTO DIPENDENTI</t>
  </si>
  <si>
    <t>230200000000000</t>
  </si>
  <si>
    <t>FONDO PER TRATTAMENTO DI FINE RAPPORTO DIPENDENTI</t>
  </si>
  <si>
    <t>PCA020</t>
  </si>
  <si>
    <t>C.III) FONDO PER TRATTAMENTO DI QUIESCENZA E SIMILI</t>
  </si>
  <si>
    <t>230300000000000</t>
  </si>
  <si>
    <t>FONDO PER TRATTAMENTI DI QUIESCENZA E SIMILI</t>
  </si>
  <si>
    <t>PDZ999</t>
  </si>
  <si>
    <t>D) DEBITI</t>
  </si>
  <si>
    <t>PDA000</t>
  </si>
  <si>
    <t>D.I) DEBITI PER MUTUI PASSIVI</t>
  </si>
  <si>
    <t>240050000000000</t>
  </si>
  <si>
    <t>DEBITI PER MUTUI PASSIVI</t>
  </si>
  <si>
    <t>PDA010</t>
  </si>
  <si>
    <t>D.II) DEBITI V/STATO</t>
  </si>
  <si>
    <t>PDA020</t>
  </si>
  <si>
    <t>D.II.1) Debiti v/Stato per mobilità passiva extraregionale</t>
  </si>
  <si>
    <t>240100100000000</t>
  </si>
  <si>
    <t>Debiti v/Stato per mobilità passiva extraregionale</t>
  </si>
  <si>
    <t>PDA030</t>
  </si>
  <si>
    <t>D.II.2) Debiti v/Stato per mobilità passiva internazionale</t>
  </si>
  <si>
    <t>240100200000000</t>
  </si>
  <si>
    <t>Debiti v/Stato per mobilità passiva internazionale</t>
  </si>
  <si>
    <t>PDA040</t>
  </si>
  <si>
    <t>D.II.3) Acconto quota FSR v/Stato</t>
  </si>
  <si>
    <t>240100300000000</t>
  </si>
  <si>
    <t>Acconto quota FSR v/Stato</t>
  </si>
  <si>
    <t>PDA050</t>
  </si>
  <si>
    <t>D.II.4) Debiti v/Stato per restituzione finanziamenti - per ricerca</t>
  </si>
  <si>
    <t>240100400000000</t>
  </si>
  <si>
    <t>Debiti v/Stato per restituzione finanziamenti - per ricerca</t>
  </si>
  <si>
    <t>PDA060</t>
  </si>
  <si>
    <t>D.II.5) Altri debiti v/Stato</t>
  </si>
  <si>
    <t>240100500100000</t>
  </si>
  <si>
    <t>Acconti su contributi v/Stato</t>
  </si>
  <si>
    <t>240100500200000</t>
  </si>
  <si>
    <t>Altri debiti v/Stato</t>
  </si>
  <si>
    <t>240100500800000</t>
  </si>
  <si>
    <t>Debiti per fatture ricevute e da ricevere v/Stato</t>
  </si>
  <si>
    <t>240100500900000</t>
  </si>
  <si>
    <t>Note di credito da ricevere v/Stato</t>
  </si>
  <si>
    <t>PDA070</t>
  </si>
  <si>
    <t>D.III) DEBITI V/REGIONE O PROVINCIA AUTONOMA</t>
  </si>
  <si>
    <t>PDA080</t>
  </si>
  <si>
    <t>D.III.1) Debiti v/Regione o Provincia Autonoma per finanziamenti - GSA</t>
  </si>
  <si>
    <t>240150100000000</t>
  </si>
  <si>
    <t>Debiti v/Regione o Provincia Autonoma per finanziamenti - GSA</t>
  </si>
  <si>
    <t>PDA081</t>
  </si>
  <si>
    <t>D.III.2) Debiti v/Regione o Provincia Autonoma per finanziamenti</t>
  </si>
  <si>
    <t>240150150000000</t>
  </si>
  <si>
    <t>Debiti v/Regione o Provincia Autonoma per finanziamenti</t>
  </si>
  <si>
    <t>PDA090</t>
  </si>
  <si>
    <t>D.III.3) Debiti v/Regione o Provincia Autonoma per mobilità passiva intraregionale</t>
  </si>
  <si>
    <t>240150200000000</t>
  </si>
  <si>
    <t>Debiti v/Regione o Provincia Autonoma per mobilità passiva intraregionale</t>
  </si>
  <si>
    <t>PDA100</t>
  </si>
  <si>
    <t>D.III.4) Debiti v/Regione o Provincia Autonoma per mobilità passiva extraregionale</t>
  </si>
  <si>
    <t>240150300000000</t>
  </si>
  <si>
    <t>Debiti v/Regione o Provincia Autonoma per mobilità passiva extraregionale</t>
  </si>
  <si>
    <t>PDA101</t>
  </si>
  <si>
    <t>D.III.5) Debiti v/Regione o Provincia Autonoma per mobilità passiva internazionale</t>
  </si>
  <si>
    <t>240150350000000</t>
  </si>
  <si>
    <t>Debiti v/Regione o Provincia Autonoma per mobilità passiva internazionale</t>
  </si>
  <si>
    <t>PDA110</t>
  </si>
  <si>
    <t>D.III.6) Acconto quota FSR da Regione o Provincia Autonoma</t>
  </si>
  <si>
    <t>240150400000000</t>
  </si>
  <si>
    <t>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</si>
  <si>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</si>
  <si>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</si>
  <si>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240150410000000</t>
  </si>
  <si>
    <t>Acconto da Regione o Provincia Autonoma per anticipazione ripiano disavanzo programmato dai Piani aziendali di cui all'art. 1, comma 528, L. 208/2015</t>
  </si>
  <si>
    <t>PDA112</t>
  </si>
  <si>
    <t>D.III.8) Debiti v/regione o Provincia Autonoma per contributi L. 210/92</t>
  </si>
  <si>
    <t>240150420000000</t>
  </si>
  <si>
    <t>Debiti v/Regione o Provincia Autonoma per contributi L. 210/92</t>
  </si>
  <si>
    <t>PDA120</t>
  </si>
  <si>
    <t>D.III.9) Altri debiti v/Regione o Provincia Autonoma - GSA</t>
  </si>
  <si>
    <t>240150430000000</t>
  </si>
  <si>
    <t>Altri debiti v/Regione o Provincia Autonoma - GSA</t>
  </si>
  <si>
    <t>PDA121</t>
  </si>
  <si>
    <t>D.III.10) Altri debiti v/Regione o Provincia Autonoma</t>
  </si>
  <si>
    <t>240150500100000</t>
  </si>
  <si>
    <t>Altri debiti v/Regione o Provincia Autonoma - vincolati a progetti europei</t>
  </si>
  <si>
    <t>240150500200000</t>
  </si>
  <si>
    <t>Altri debiti v/Regione o Provincia Autonoma - vincolati a progetti ministeriali</t>
  </si>
  <si>
    <t>240150500300000</t>
  </si>
  <si>
    <t>Altri debiti v/Regione o Provincia Autonoma</t>
  </si>
  <si>
    <t>240150500800000</t>
  </si>
  <si>
    <t xml:space="preserve">Debiti per fatture ricevute e da ricevere v/Regione o Provincia Autonoma </t>
  </si>
  <si>
    <t>240150500900000</t>
  </si>
  <si>
    <t xml:space="preserve">Note di credito da ricevere v/Regione o Provincia Autonoma </t>
  </si>
  <si>
    <t>PDA130</t>
  </si>
  <si>
    <t>D.IV) DEBITI V/COMUNI</t>
  </si>
  <si>
    <t>240200100000000</t>
  </si>
  <si>
    <t>Acconti da comuni</t>
  </si>
  <si>
    <t>240200200000000</t>
  </si>
  <si>
    <t>Debiti verso comuni</t>
  </si>
  <si>
    <t>240200800000000</t>
  </si>
  <si>
    <t>Debiti per fatture ricevute e da ricevere v/Comuni</t>
  </si>
  <si>
    <t>240200900000000</t>
  </si>
  <si>
    <t>Note di credito da ricevere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</si>
  <si>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</si>
  <si>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</si>
  <si>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</si>
  <si>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</si>
  <si>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</si>
  <si>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</si>
  <si>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240250100100000</t>
  </si>
  <si>
    <t>Debiti v/Aziende sanitarie pubbliche della Regione - per quota FSR</t>
  </si>
  <si>
    <t>PDA170</t>
  </si>
  <si>
    <t>D.V.1.b) Debiti v/Aziende sanitarie pubbliche della Regione - per finanziamento sanitario aggiuntivo corrente LEA</t>
  </si>
  <si>
    <t>240250100200000</t>
  </si>
  <si>
    <t>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</si>
  <si>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</si>
  <si>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</si>
  <si>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240250100300000</t>
  </si>
  <si>
    <t>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</si>
  <si>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</si>
  <si>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</si>
  <si>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240250100400000</t>
  </si>
  <si>
    <t>Debiti v/Aziende sanitarie pubbliche della Regione - per mobilità in compensazione</t>
  </si>
  <si>
    <t>PDA200</t>
  </si>
  <si>
    <t>D.V.1.e) Debiti v/Aziende sanitarie pubbliche della Regione - per mobilità non in compensazione</t>
  </si>
  <si>
    <t>240250100501000</t>
  </si>
  <si>
    <t>Debiti v/Aziende sanitarie pubbliche della Regione - per mobilità non in compensazione</t>
  </si>
  <si>
    <t>240250100508000</t>
  </si>
  <si>
    <t>Debiti per fatture ricevute e da ricevere v/Aziende sanitarie pubbliche della Regione - per mobilità non in compensazione</t>
  </si>
  <si>
    <t>240250100509000</t>
  </si>
  <si>
    <t>Note di credito da ricevere v/Aziende sanitarie pubbliche della Regione - per mobilità non in compensazione</t>
  </si>
  <si>
    <t>PDA210</t>
  </si>
  <si>
    <t>D.V.1.f) Debiti v/Aziende sanitarie pubbliche della Regione - per altre prestazioni</t>
  </si>
  <si>
    <t>240250100601000</t>
  </si>
  <si>
    <t>Debiti verso aziende sanitarie della Regione - per altre prestazioni</t>
  </si>
  <si>
    <t>240250100608000</t>
  </si>
  <si>
    <t>Debiti per fatture ricevute e da ricevere v/Aziende sanitarie pubbliche della Regione - per altre prestazioni</t>
  </si>
  <si>
    <t>240250100609000</t>
  </si>
  <si>
    <t>Note di credito da ricevere v/Aziende sanitarie pubbliche della Regione - per altre prestazioni</t>
  </si>
  <si>
    <t>PDA211</t>
  </si>
  <si>
    <t>D.V.1.g) Debiti v/Aziende sanitarie pubbliche della Regione - per altre prestazioni per STP</t>
  </si>
  <si>
    <t>240250100700000</t>
  </si>
  <si>
    <t>Debiti v/Aziende sanitarie pubbliche della Regione - altre prestazioni per STP</t>
  </si>
  <si>
    <t>PDA212</t>
  </si>
  <si>
    <t>D.V.1.h) Debiti v/Aziende sanitarie pubbliche della Regione - per Contributi da Aziende sanitarie pubbliche della Regione o Prov. Aut. (extra fondo)</t>
  </si>
  <si>
    <t>240250100800000</t>
  </si>
  <si>
    <t>Debiti v/Aziende sanitarie pubbliche della Regione - per Contributi da Aziende sanitarie pubbliche della Regione o Prov. Aut. (extra fondo)</t>
  </si>
  <si>
    <t>PDA213</t>
  </si>
  <si>
    <t>D.V.1.i) Debiti v/Aziende sanitarie pubbliche della Regione - per contributi L. 210/92</t>
  </si>
  <si>
    <t>240250100900000</t>
  </si>
  <si>
    <t>Debiti v/Aziende sanitarie pubbliche della Regione - per contributi L. 210/92</t>
  </si>
  <si>
    <t>PDA220</t>
  </si>
  <si>
    <t>D.V.2) Debiti v/Aziende sanitarie pubbliche Extraregione</t>
  </si>
  <si>
    <t>240250200100000</t>
  </si>
  <si>
    <t>Debiti verso aziende sanitarie extra regionali</t>
  </si>
  <si>
    <t>240250200800000</t>
  </si>
  <si>
    <t>Debiti per fatture ricevute e da ricevere v/Aziende sanitarie pubbliche Extraregione</t>
  </si>
  <si>
    <t>240250200900000</t>
  </si>
  <si>
    <t>Note di credito da ricevere v/Aziende sanitarie pubbliche Extraregione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</si>
  <si>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</si>
  <si>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</si>
  <si>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</si>
  <si>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 - finanziamenti per investimenti</t>
  </si>
  <si>
    <t>240250300100000</t>
  </si>
  <si>
    <t>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</si>
  <si>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</si>
  <si>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</si>
  <si>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240250300200000</t>
  </si>
  <si>
    <t>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</si>
  <si>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</si>
  <si>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</si>
  <si>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240250300300000</t>
  </si>
  <si>
    <t>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</si>
  <si>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</si>
  <si>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</si>
  <si>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240250300400000</t>
  </si>
  <si>
    <t>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</si>
  <si>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</si>
  <si>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</si>
  <si>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240250300500000</t>
  </si>
  <si>
    <t>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</si>
  <si>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</si>
  <si>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</si>
  <si>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</si>
  <si>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</si>
  <si>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240300100000000</t>
  </si>
  <si>
    <t>Debiti v/enti regionali</t>
  </si>
  <si>
    <t>PDA260</t>
  </si>
  <si>
    <t>D.VI.2) Debiti v/sperimentazioni gestionali</t>
  </si>
  <si>
    <t>240300200000000</t>
  </si>
  <si>
    <t>Debiti v/sperimentazioni gestionali</t>
  </si>
  <si>
    <t>PDA270</t>
  </si>
  <si>
    <t>D.VI.3) Debiti v/altre partecipate</t>
  </si>
  <si>
    <t>240300300100000</t>
  </si>
  <si>
    <t>Debiti v/altre partecipate</t>
  </si>
  <si>
    <t>240300300800000</t>
  </si>
  <si>
    <t>Debiti per fatture ricevute e da ricevere v/altre partecipate</t>
  </si>
  <si>
    <t>240300300900000</t>
  </si>
  <si>
    <t>Note di credito da ricevere v/altre partecipate</t>
  </si>
  <si>
    <t>PDA280</t>
  </si>
  <si>
    <t>D.VII) DEBITI V/FORNITORI</t>
  </si>
  <si>
    <t>PDA290</t>
  </si>
  <si>
    <t>D.VII.1) Debiti verso erogatori (privati accreditati e convenzionati) di prestazioni sanitarie</t>
  </si>
  <si>
    <t>PDA291</t>
  </si>
  <si>
    <t>D.VII.1.a) Debiti verso erogatori (privati accreditati e convenzionati) di prestazioni sanitarie</t>
  </si>
  <si>
    <t>240350100100000</t>
  </si>
  <si>
    <t>Debiti verso erogatori (privati accreditati e convenzionati) di prestazioni sanitarie</t>
  </si>
  <si>
    <t>240350100800000</t>
  </si>
  <si>
    <t>Debiti per fatture ricevute e da ricevere verso erogatori (privati accreditati e convenzionati) di prestazioni sanitarie</t>
  </si>
  <si>
    <t>PDA292</t>
  </si>
  <si>
    <t>D.VII.1.b) Note di credito da ricevere (privati accreditati e convenzionati)</t>
  </si>
  <si>
    <t>240350100900000</t>
  </si>
  <si>
    <t>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</si>
  <si>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</si>
  <si>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</si>
  <si>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</si>
  <si>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</si>
  <si>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240350200100000</t>
  </si>
  <si>
    <t>Fornitori nazionali</t>
  </si>
  <si>
    <t>240350200200000</t>
  </si>
  <si>
    <t>Fornitori esteri</t>
  </si>
  <si>
    <t>240350200400000</t>
  </si>
  <si>
    <t>Assicurazioni</t>
  </si>
  <si>
    <t>240350200500000</t>
  </si>
  <si>
    <t>Debiti vs farmacie</t>
  </si>
  <si>
    <t>240350200600000</t>
  </si>
  <si>
    <t>Per trattenute a farmacie</t>
  </si>
  <si>
    <t>240350200800000</t>
  </si>
  <si>
    <t>Debiti per fatture ricevute e da ricevere verso altri fornitori</t>
  </si>
  <si>
    <t>PDA302</t>
  </si>
  <si>
    <t>D.VII.2.b) note di credito da ricevere (altri fornitori)</t>
  </si>
  <si>
    <t>240350200900000</t>
  </si>
  <si>
    <t>Note di credito da ricevere (altri fornitori)</t>
  </si>
  <si>
    <t>PDA310</t>
  </si>
  <si>
    <t>D.VIII) DEBITI V/ISTITUTO TESORIERE</t>
  </si>
  <si>
    <t>240400100000000</t>
  </si>
  <si>
    <t>Anticipazioni</t>
  </si>
  <si>
    <t>240400200000000</t>
  </si>
  <si>
    <t>Interessi passivi da liquidare</t>
  </si>
  <si>
    <t>PDA320</t>
  </si>
  <si>
    <t>D.IX) DEBITI TRIBUTARI</t>
  </si>
  <si>
    <t>240450100000000</t>
  </si>
  <si>
    <t>240450200000000</t>
  </si>
  <si>
    <t>240450300000000</t>
  </si>
  <si>
    <t>Ritenute fiscali</t>
  </si>
  <si>
    <t>240450400000000</t>
  </si>
  <si>
    <t>Erario c/IVA</t>
  </si>
  <si>
    <t>240450500000000</t>
  </si>
  <si>
    <t>Iva a debito</t>
  </si>
  <si>
    <t>240450600000000</t>
  </si>
  <si>
    <t>Iva a debito x acquisti infra CEE</t>
  </si>
  <si>
    <t>240450600000010</t>
  </si>
  <si>
    <t>Transitorio IVA Extra UE</t>
  </si>
  <si>
    <t>240450700000000</t>
  </si>
  <si>
    <t>Iva a debito per autofatture</t>
  </si>
  <si>
    <t>240450800000000</t>
  </si>
  <si>
    <t>Iva a debito per split payment</t>
  </si>
  <si>
    <t>240450800000010</t>
  </si>
  <si>
    <t>IVA SPLITPAYMENT differita</t>
  </si>
  <si>
    <t>240450800000020</t>
  </si>
  <si>
    <t>IVA SPLITPAYMENT da Trasco locale</t>
  </si>
  <si>
    <t>240450900000000</t>
  </si>
  <si>
    <t>Altri debiti tributari</t>
  </si>
  <si>
    <t>PDA330</t>
  </si>
  <si>
    <t>D.X) DEBITI V/ISTITUTI PREVIDENZIALI, ASSISTENZIALI E SICUREZZA SOCIALE</t>
  </si>
  <si>
    <t>240500100000000</t>
  </si>
  <si>
    <t>INPS (ex gestione INPDAP)</t>
  </si>
  <si>
    <t>240500200000000</t>
  </si>
  <si>
    <t>INPS</t>
  </si>
  <si>
    <t>240500300000000</t>
  </si>
  <si>
    <t>INAIL</t>
  </si>
  <si>
    <t>240500400000000</t>
  </si>
  <si>
    <t>ENPAM</t>
  </si>
  <si>
    <t>240500500000000</t>
  </si>
  <si>
    <t>ENPAF</t>
  </si>
  <si>
    <t>240500600000000</t>
  </si>
  <si>
    <t>ONAOSI</t>
  </si>
  <si>
    <t>240500700000000</t>
  </si>
  <si>
    <t>ENPAP</t>
  </si>
  <si>
    <t>240500800000000</t>
  </si>
  <si>
    <t>ENPAV</t>
  </si>
  <si>
    <t>240500900000000</t>
  </si>
  <si>
    <t>debiti vs/altri istituti di previdenza</t>
  </si>
  <si>
    <t>PDA340</t>
  </si>
  <si>
    <t>D.XI) DEBITI V/ALTRI</t>
  </si>
  <si>
    <t>PDA350</t>
  </si>
  <si>
    <t>D.XI.1) Debiti v/altri finanziatori</t>
  </si>
  <si>
    <t>240550100000000</t>
  </si>
  <si>
    <t>Debiti v/altri finanziatori</t>
  </si>
  <si>
    <t>PDA360</t>
  </si>
  <si>
    <t>D.XI.2) Debiti v/dipendenti</t>
  </si>
  <si>
    <t>240550200100000</t>
  </si>
  <si>
    <t>Debiti verso personale dipendente</t>
  </si>
  <si>
    <t>240550200200000</t>
  </si>
  <si>
    <t>Debiti CCNL da liquidare</t>
  </si>
  <si>
    <t>PDA370</t>
  </si>
  <si>
    <t>D.XI.3) Debiti v/gestioni liquidatorie</t>
  </si>
  <si>
    <t>240550300100000</t>
  </si>
  <si>
    <t>Debiti vs gestione stralcio 1</t>
  </si>
  <si>
    <t>240550300200000</t>
  </si>
  <si>
    <t>Debiti vs gestione stralcio 2</t>
  </si>
  <si>
    <t>PDA380</t>
  </si>
  <si>
    <t>D.XI.4) Altri debiti diversi</t>
  </si>
  <si>
    <t>240550400050000</t>
  </si>
  <si>
    <t>Debiti verso associazioni di volontariato</t>
  </si>
  <si>
    <t>240550400100000</t>
  </si>
  <si>
    <t>Debiti verso privati paganti c/cauzioni</t>
  </si>
  <si>
    <t>240550400150000</t>
  </si>
  <si>
    <t>Debiti verso assistiti</t>
  </si>
  <si>
    <t>240550400200000</t>
  </si>
  <si>
    <t>Debiti per trattenute al personale</t>
  </si>
  <si>
    <t>2405504002500</t>
  </si>
  <si>
    <t>Debiti v/personale convenzionato</t>
  </si>
  <si>
    <t>240550400251000</t>
  </si>
  <si>
    <t>Debiti verso personale convenzionato</t>
  </si>
  <si>
    <t>240550400252000</t>
  </si>
  <si>
    <t>Debiti per ACN da liquidare</t>
  </si>
  <si>
    <t>240550400300000</t>
  </si>
  <si>
    <t>Debiti verso personale non convenzionato</t>
  </si>
  <si>
    <t>240550400350000</t>
  </si>
  <si>
    <t>Debiti verso personale tirocinante e borsisti</t>
  </si>
  <si>
    <t>240550400400000</t>
  </si>
  <si>
    <t>Debiti per autofatture da emettere</t>
  </si>
  <si>
    <t>2405504005000</t>
  </si>
  <si>
    <t>Debiti v/organi direttivi e istituzionali</t>
  </si>
  <si>
    <t>240550400501000</t>
  </si>
  <si>
    <t>Debiti verso organi direttivi e istituzionali</t>
  </si>
  <si>
    <t>240550400502000</t>
  </si>
  <si>
    <t>Debiti per quota integrativa organi direttivi e istituzionali da liquidare</t>
  </si>
  <si>
    <t>240550400550000</t>
  </si>
  <si>
    <t>Debiti vs altri enti pubblici</t>
  </si>
  <si>
    <t>240550400600000</t>
  </si>
  <si>
    <t>2405504007000</t>
  </si>
  <si>
    <t>Altri debiti</t>
  </si>
  <si>
    <t>240550400701000</t>
  </si>
  <si>
    <t>Acconti su contributi</t>
  </si>
  <si>
    <t>240550400702000</t>
  </si>
  <si>
    <t>Altri debiti - altro</t>
  </si>
  <si>
    <t>240550400800000</t>
  </si>
  <si>
    <t>Debiti per fatture ricevute e da ricevere</t>
  </si>
  <si>
    <t>240550400900000</t>
  </si>
  <si>
    <t>Note di credito da ricevere</t>
  </si>
  <si>
    <t>PEZ999</t>
  </si>
  <si>
    <t>E) RATEI E RISCONTI PASSIVI</t>
  </si>
  <si>
    <t>PEA000</t>
  </si>
  <si>
    <t>E.I) RATEI PASSIVI</t>
  </si>
  <si>
    <t>PEA010</t>
  </si>
  <si>
    <t>E.I.1) Ratei passivi</t>
  </si>
  <si>
    <t>250100100000000</t>
  </si>
  <si>
    <t>Ratei passivi</t>
  </si>
  <si>
    <t>PEA020</t>
  </si>
  <si>
    <t>E.I.2) Ratei passivi v/Aziende sanitarie pubbliche della Regione</t>
  </si>
  <si>
    <t>250100200000000</t>
  </si>
  <si>
    <t>Ratei passivi v/Aziende sanitarie pubbliche della Regione</t>
  </si>
  <si>
    <t>PEA030</t>
  </si>
  <si>
    <t>E.II) RISCONTI PASSIVI</t>
  </si>
  <si>
    <t>PEA040</t>
  </si>
  <si>
    <t>E.II.1) Risconti passivi</t>
  </si>
  <si>
    <t>250200100000000</t>
  </si>
  <si>
    <t>Risconti passivi</t>
  </si>
  <si>
    <t>PEA050</t>
  </si>
  <si>
    <t>E.II.2) Risconti passivi v/Aziende sanitarie pubbliche della Regione</t>
  </si>
  <si>
    <t>250200200000000</t>
  </si>
  <si>
    <t>Risconti passivi v/Aziende sanitarie pubbliche della Regione</t>
  </si>
  <si>
    <t>PEA060</t>
  </si>
  <si>
    <t>E.II.3) Risconti passivi - in attuazione dell'art. 79, comma 1 sexies lettera c), del D.L. 112/2008, convertito con legge 133/2008 e della legge 23 dicembre 2009 n. 191</t>
  </si>
  <si>
    <t>250200300000000</t>
  </si>
  <si>
    <t>Risconti passivi - in attuazione dell'art.79, comma 1 sexies lettera c), del D.L. 112/2008, convertito con legge 133/2008 e della legge 23 dicembre 2009 n. 191.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</si>
  <si>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</si>
  <si>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</si>
  <si>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</si>
  <si>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</si>
  <si>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</si>
  <si>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</si>
  <si>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295100000000000</t>
  </si>
  <si>
    <t>C.O.P. CANONI DI LEASING ANCORA DA PAGARE</t>
  </si>
  <si>
    <t>PFA010</t>
  </si>
  <si>
    <t>G.II) DEPOSITI CAUZIONALI</t>
  </si>
  <si>
    <t>295200000000000</t>
  </si>
  <si>
    <t>C.O.P. DEPOSITI CAUZIONALI</t>
  </si>
  <si>
    <t>PFA020</t>
  </si>
  <si>
    <t>G.III) BENI IN COMODATO</t>
  </si>
  <si>
    <t>295300000000000</t>
  </si>
  <si>
    <t>C.O.P. BENI IN COMODATO</t>
  </si>
  <si>
    <t>PFA021</t>
  </si>
  <si>
    <t>G.IV) CANONI DI PROJECT FINANCING ANCORA DA PAGARE</t>
  </si>
  <si>
    <t>295350000000000</t>
  </si>
  <si>
    <t>C.O.P. CANONI DI PROJECT FINANCING ANCORA DA PAGARE</t>
  </si>
  <si>
    <t>PFA030</t>
  </si>
  <si>
    <t>G.V) ALTRI CONTI D'ORDINE</t>
  </si>
  <si>
    <t>295400100000000</t>
  </si>
  <si>
    <t>C.O.P. Beni di terzi presso l'Azienda</t>
  </si>
  <si>
    <t>295400200000000</t>
  </si>
  <si>
    <t>C.O.P. Garanzie prestate (fideiussioni, avalli, altre garanzie personali e reali)</t>
  </si>
  <si>
    <t>295400300000000</t>
  </si>
  <si>
    <t>C.O.P. Garanzie ricevute (fideiussioni, avalli, altre garanzie personali e reali)</t>
  </si>
  <si>
    <t>295400400000000</t>
  </si>
  <si>
    <t>C.O.P. Beni in contenzioso</t>
  </si>
  <si>
    <t>295400900000000</t>
  </si>
  <si>
    <t>C.O.P. Altri impegni assunti</t>
  </si>
  <si>
    <t>SP</t>
  </si>
  <si>
    <t xml:space="preserve">MODELLO DI RILEVAZIONE DELLO STATO PATRIMONIALE 
ENTI DEL SERVIZIO SANITARIO NAZIONALE
</t>
  </si>
  <si>
    <t>OGGETTO DELLA RILEVAZIONE</t>
  </si>
  <si>
    <t xml:space="preserve">CONSUNTIVO </t>
  </si>
  <si>
    <t>(Centesimo di euro)</t>
  </si>
  <si>
    <t>IMPORTO
2022</t>
  </si>
  <si>
    <t>A.I.3.a) Diritti di brevetto e diritti di utilizzazione delle opere d'ingegno - derivanti dall'attività di ricerca</t>
  </si>
  <si>
    <t>A.II)IMMOBILIZZAZIONI MATERIALI</t>
  </si>
  <si>
    <t>A.III)IMMOBILIZZAZIONI FINANZIARIE</t>
  </si>
  <si>
    <t xml:space="preserve">B.II) CREDITI </t>
  </si>
  <si>
    <t>B.II.1.h) Crediti v/Stato per spesa corrente per STP (ex D.lgs. 286/98)</t>
  </si>
  <si>
    <t xml:space="preserve">B.II.1.j.3) Crediti v/Stato per ricerca - altre Amministrazioni centrali </t>
  </si>
  <si>
    <t>RR</t>
  </si>
  <si>
    <t>B.II.2.a.5) Crediti v/Regione o Provincia Autonoma per finanziamento sanitario aggiuntivo corrente LEA</t>
  </si>
  <si>
    <t>B.II.2.a.6) Crediti v/Regione o Provincia Autonoma per finanziamento sanitario aggiuntivo corrente extra LEA</t>
  </si>
  <si>
    <t>B.II.2.a.8) Crediti v/Regione o Provincia Autonoma per spesa corrente - STP (ex D.lgs. 286/98)</t>
  </si>
  <si>
    <t>B.II.2.b.4) Crediti v/Regione o Provincia Autonoma per anticipazione ripiano disavanzo programmato dai Piani aziendali di cui all'art. 1, comma 528, L. 208/2015</t>
  </si>
  <si>
    <t>B.II.2.b.6) Crediti v/Regione o Provincia Autonoma per ricostituzione risorse da investimenti esercizi precedenti</t>
  </si>
  <si>
    <t>B.II.2.c)  Crediti v/Regione o Provincia Autonoma per contributi L. 210/92</t>
  </si>
  <si>
    <t>B.II.2.d) Crediti v/Regione o Provincia Autonoma per contributi L. 210/92 – aziende sanitarie</t>
  </si>
  <si>
    <t>B.II.4.c) Crediti v/Aziende sanitarie pubbliche della Regione per anticipazione ripiano disavanzo programmato dai Piani aziendali di cui all'art. 1, comma 528, L. 208/2015</t>
  </si>
  <si>
    <t xml:space="preserve">B.II.4.e)  Crediti v/Aziende sanitarie pubbliche della Regione - per Contributi da Aziende sanitarie pubbliche della Regione o Prov. Aut. (extra fondo) </t>
  </si>
  <si>
    <t xml:space="preserve">B.II.7.e.1) Altri Crediti  diversi </t>
  </si>
  <si>
    <t>B.II.7.f.2) Note di credito da emettere  (privati accreditati e convenzionati)</t>
  </si>
  <si>
    <t>B.IV.1) Quote inutilizzate contributi da Regione o Prov. Aut. per quota F.S. indistinto finalizzato</t>
  </si>
  <si>
    <t xml:space="preserve">B.V.2.a) Fondo rinnovi contrattuali personale dipendente </t>
  </si>
  <si>
    <t>B.V.4) Altri Fondi incentivi funzioni tecniche Art. 113 D.Lgs 50/2016</t>
  </si>
  <si>
    <t>C.III) FONDO PER TRATTAMENTI DI QUIESCENZA E SIMILI</t>
  </si>
  <si>
    <t xml:space="preserve">D.III.8) Debiti v/Regione o Provincia Autonoma per contributi L. 210/92 </t>
  </si>
  <si>
    <t>D.III.9) Altri debiti v/Regione o Provincia Autonoma – GSA</t>
  </si>
  <si>
    <t>D.V.1.g) Debiti v/Aziende sanitarie pubbliche della Regione - altre prestazioni per STP</t>
  </si>
  <si>
    <t xml:space="preserve">D.V.1.h)  Debiti v/Aziende sanitarie pubbliche della Regione - per Contributi da Aziende sanitarie pubbliche della Regione o Prov. Aut. (extra fondo) </t>
  </si>
  <si>
    <t xml:space="preserve">D.V.1.i) Debiti v/Aziende sanitarie pubbliche della Regione - per contributi L. 210/92 </t>
  </si>
  <si>
    <t xml:space="preserve">D.V.2) Debiti v/Aziende sanitarie pubbliche Extraregione </t>
  </si>
  <si>
    <t>D.V.3.a) Debiti v/Aziende sanitarie pubbliche della Regione per versamenti c/patrimonio netto - finanziamenti per investimenti</t>
  </si>
  <si>
    <t xml:space="preserve">D.VII.1) Debiti verso erogatori (privati accreditati e convenzionati) di prestazioni sanitarie </t>
  </si>
  <si>
    <t xml:space="preserve">D.VII.1.a) Debiti verso erogatori (privati accreditati e convenzionati) di prestazioni sanitarie </t>
  </si>
  <si>
    <t>D.VII.2.b) Note di credito da ricevere (altri fornitori)</t>
  </si>
  <si>
    <t>E.II.3) Risconti passivi - in attuazione dell’art.79, comma 1 sexies lettera c), del D.L. 112/2008, convertito con legge 133/2008 e della legge 23 dicembre 2009 n. 191</t>
  </si>
  <si>
    <t>SEGNO NEGATIVO</t>
  </si>
  <si>
    <t>SEGNO</t>
  </si>
  <si>
    <t>SCHEMA DI RENDICONTO FINANZIARIO</t>
  </si>
  <si>
    <t>ANNO 2023</t>
  </si>
  <si>
    <t>ANNO 2022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</si>
  <si>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</si>
  <si>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</si>
  <si>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</si>
  <si>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</si>
  <si>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</si>
  <si>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</si>
  <si>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</si>
  <si>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</si>
  <si>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</si>
  <si>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</si>
  <si>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</si>
  <si>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</si>
  <si>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</si>
  <si>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</si>
  <si>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</si>
  <si>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</si>
  <si>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</si>
  <si>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</si>
  <si>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</si>
  <si>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</si>
  <si>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</si>
  <si>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</si>
  <si>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</si>
  <si>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</si>
  <si>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</si>
  <si>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</si>
  <si>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</si>
  <si>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</si>
  <si>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</si>
  <si>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</si>
  <si>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</si>
  <si>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</si>
  <si>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</si>
  <si>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</si>
  <si>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</si>
  <si>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</si>
  <si>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</si>
  <si>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</si>
  <si>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</si>
  <si>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</si>
  <si>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</si>
  <si>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</si>
  <si>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</si>
  <si>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</si>
  <si>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</si>
  <si>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</si>
  <si>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</si>
  <si>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</si>
  <si>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</si>
  <si>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</si>
  <si>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</si>
  <si>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</si>
  <si>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</si>
  <si>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</si>
  <si>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</si>
  <si>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</si>
  <si>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</si>
  <si>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</si>
  <si>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</si>
  <si>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</si>
  <si>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</si>
  <si>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</si>
  <si>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</si>
  <si>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</si>
  <si>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</si>
  <si>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</si>
  <si>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</si>
  <si>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</si>
  <si>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</si>
  <si>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</si>
  <si>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</si>
  <si>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</si>
  <si>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</si>
  <si>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</si>
  <si>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</si>
  <si>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</si>
  <si>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</si>
  <si>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</si>
  <si>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</si>
  <si>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</si>
  <si>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</si>
  <si>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</si>
  <si>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</si>
  <si>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</si>
  <si>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</si>
  <si>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</si>
  <si>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</si>
  <si>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</si>
  <si>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</si>
  <si>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</si>
  <si>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</si>
  <si>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</si>
  <si>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</si>
  <si>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</si>
  <si>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</si>
  <si>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</si>
  <si>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</si>
  <si>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</si>
  <si>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</si>
  <si>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</si>
  <si>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</si>
  <si>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</si>
  <si>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</si>
  <si>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</si>
  <si>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</si>
  <si>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</si>
  <si>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</si>
  <si>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</si>
  <si>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</si>
  <si>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</si>
  <si>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</si>
  <si>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STATO PATRIMONIALE
Attivo</t>
  </si>
  <si>
    <t>Importi: Unità di Euro</t>
  </si>
  <si>
    <t>Anno 2023</t>
  </si>
  <si>
    <t>Anno 2022</t>
  </si>
  <si>
    <t>IMMOBILIZZAZIONI</t>
  </si>
  <si>
    <t>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</si>
  <si>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</si>
  <si>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</si>
  <si>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</si>
  <si>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</si>
  <si>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</si>
  <si>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5)</t>
  </si>
  <si>
    <t>II</t>
  </si>
  <si>
    <t>Immobilizzazioni materiali</t>
  </si>
  <si>
    <t>Terreni</t>
  </si>
  <si>
    <t>a)</t>
  </si>
  <si>
    <t>b)</t>
  </si>
  <si>
    <t>Fabbricati</t>
  </si>
  <si>
    <t>6)</t>
  </si>
  <si>
    <t>7)</t>
  </si>
  <si>
    <t>8)</t>
  </si>
  <si>
    <t>9)</t>
  </si>
  <si>
    <t>Entro 12 mesi</t>
  </si>
  <si>
    <t>Oltre 12 mesi</t>
  </si>
  <si>
    <t>III</t>
  </si>
  <si>
    <t>Immobilizzazioni finanziarie (con separata indicazione, per ciascuna voce dei crediti, degli importi esigibili entro l'esercizio successivo)</t>
  </si>
  <si>
    <t>Crediti finanziari</t>
  </si>
  <si>
    <t>c)</t>
  </si>
  <si>
    <t>d)</t>
  </si>
  <si>
    <t>Crediti finanziari v/altri</t>
  </si>
  <si>
    <t>Titoli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</si>
  <si>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</si>
  <si>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</si>
  <si>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</si>
  <si>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</si>
  <si>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</si>
  <si>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</si>
  <si>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</si>
  <si>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</si>
  <si>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</si>
  <si>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</si>
  <si>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</si>
  <si>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</si>
  <si>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</si>
  <si>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</si>
  <si>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</si>
  <si>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</si>
  <si>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</si>
  <si>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</si>
  <si>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</si>
  <si>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</si>
  <si>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</si>
  <si>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</si>
  <si>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</si>
  <si>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</si>
  <si>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</si>
  <si>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</si>
  <si>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</si>
  <si>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</si>
  <si>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</si>
  <si>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Aut. per finanz.per investimenti</t>
  </si>
  <si>
    <t>Crediti v/Regione o Provincia Aut. per increm. fondo dotazione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</si>
  <si>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</si>
  <si>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</si>
  <si>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</si>
  <si>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</si>
  <si>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</si>
  <si>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</si>
  <si>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</si>
  <si>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</si>
  <si>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</si>
  <si>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IV</t>
  </si>
  <si>
    <t>Disponibilità liquide</t>
  </si>
  <si>
    <t>Cassa</t>
  </si>
  <si>
    <t>Istituto Tesoriere</t>
  </si>
  <si>
    <t>Conto corrente postale</t>
  </si>
  <si>
    <t>Totale B)</t>
  </si>
  <si>
    <t>RATEI E 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</si>
  <si>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</si>
  <si>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</si>
  <si>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</si>
  <si>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</si>
  <si>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</si>
  <si>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</si>
  <si>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</si>
  <si>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</si>
  <si>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</si>
  <si>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</si>
  <si>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</si>
  <si>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</si>
  <si>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</si>
  <si>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</si>
  <si>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>Finanziamenti da Stato per investimenti</t>
  </si>
  <si>
    <t xml:space="preserve">a) 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</si>
  <si>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</si>
  <si>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</si>
  <si>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</si>
  <si>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</si>
  <si>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</si>
  <si>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Riserve da donazioni e lasciti vincolati ad investimenti</t>
  </si>
  <si>
    <t>Altre riserve</t>
  </si>
  <si>
    <t>V</t>
  </si>
  <si>
    <t xml:space="preserve">Contributi per ripiani perdite </t>
  </si>
  <si>
    <t>VI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</si>
  <si>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</si>
  <si>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</si>
  <si>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</si>
  <si>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</si>
  <si>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</si>
  <si>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</si>
  <si>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</si>
  <si>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</si>
  <si>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</si>
  <si>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</si>
  <si>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</si>
  <si>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</si>
  <si>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</si>
  <si>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</si>
  <si>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</si>
  <si>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</si>
  <si>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</si>
  <si>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</si>
  <si>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</si>
  <si>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</si>
  <si>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</si>
  <si>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</si>
  <si>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</si>
  <si>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</si>
  <si>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</si>
  <si>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</si>
  <si>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</si>
  <si>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</si>
  <si>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</si>
  <si>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</si>
  <si>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</si>
  <si>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</si>
  <si>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</si>
  <si>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</si>
  <si>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</si>
  <si>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</si>
  <si>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</si>
  <si>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Totale E)</t>
  </si>
  <si>
    <t>TOTALE PASSIVO E PATRIMONIO NETTO (A+B+C+D+E)</t>
  </si>
  <si>
    <t>F)</t>
  </si>
  <si>
    <t>Totale F)</t>
  </si>
  <si>
    <t>305100450409000</t>
  </si>
  <si>
    <t>CE 2023 presidio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</si>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</sst>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#,##0_ ;\-#,##0\ "/>
    <numFmt numFmtId="176" formatCode="_-* #,##0.0\ _€_-;\-* #,##0.0\ _€_-;_-* &quot;-&quot;??\ _€_-;_-@_-"/>
    <numFmt numFmtId="177" formatCode="_-* #,##0_-;\-* #,##0_-;_-* &quot;-&quot;??_-;_-@_-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name val="Tahoma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DecimaWE Rg"/>
    </font>
    <font>
      <sz val="10"/>
      <color indexed="8"/>
      <name val="DecimaWE Rg"/>
    </font>
    <font>
      <b/>
      <sz val="9"/>
      <color indexed="8"/>
      <name val="DecimaWE Rg"/>
    </font>
    <font>
      <b/>
      <sz val="9"/>
      <name val="DecimaWE Rg"/>
    </font>
    <font>
      <sz val="8"/>
      <color indexed="8"/>
      <name val="DecimaWE Rg"/>
    </font>
    <font>
      <sz val="16"/>
      <name val="Tahoma"/>
      <family val="2"/>
    </font>
    <font>
      <sz val="12"/>
      <color theme="0"/>
      <name val="Tahoma"/>
      <family val="2"/>
    </font>
    <font>
      <b/>
      <sz val="16"/>
      <color rgb="FFFF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sz val="9"/>
      <name val="Tahom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trike/>
      <sz val="10"/>
      <name val="Tahoma"/>
      <family val="2"/>
    </font>
    <font>
      <b/>
      <sz val="10"/>
      <color indexed="9"/>
      <name val="Arial"/>
      <family val="2"/>
    </font>
    <font>
      <sz val="8"/>
      <name val="Univers 45 Light"/>
    </font>
    <font>
      <b/>
      <sz val="8"/>
      <color rgb="FFFF0000"/>
      <name val="Univers 45 Light"/>
    </font>
    <font>
      <b/>
      <sz val="8"/>
      <name val="Univers 45 Light"/>
    </font>
    <font>
      <b/>
      <i/>
      <sz val="8"/>
      <color rgb="FFFF0000"/>
      <name val="Univers 45 Light"/>
    </font>
    <font>
      <b/>
      <i/>
      <sz val="8"/>
      <name val="Univers 45 Light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</font>
    <font>
      <b/>
      <sz val="14"/>
      <name val="DecimaWE Rg"/>
    </font>
    <font>
      <sz val="8"/>
      <color rgb="FFFF0000"/>
      <name val="DecimaWE Rg"/>
    </font>
    <font>
      <b/>
      <sz val="8"/>
      <color rgb="FFFF0000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1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0" fontId="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20" fillId="5" borderId="38" applyNumberFormat="0" applyAlignment="0" applyProtection="0"/>
    <xf numFmtId="0" fontId="21" fillId="0" borderId="39" applyNumberFormat="0" applyFill="0" applyAlignment="0" applyProtection="0"/>
    <xf numFmtId="0" fontId="22" fillId="14" borderId="40" applyNumberFormat="0" applyAlignment="0" applyProtection="0"/>
    <xf numFmtId="0" fontId="23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38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ill="0" applyBorder="0" applyAlignment="0" applyProtection="0"/>
    <xf numFmtId="4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4" fillId="6" borderId="38" applyNumberFormat="0" applyAlignment="0" applyProtection="0"/>
    <xf numFmtId="170" fontId="2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7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8" fillId="11" borderId="0" applyNumberFormat="0" applyBorder="0" applyAlignment="0" applyProtection="0"/>
    <xf numFmtId="0" fontId="7" fillId="0" borderId="0"/>
    <xf numFmtId="0" fontId="1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7" borderId="41" applyNumberFormat="0" applyAlignment="0" applyProtection="0"/>
    <xf numFmtId="0" fontId="29" fillId="9" borderId="42" applyNumberFormat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30" fillId="19" borderId="43">
      <alignment vertical="center"/>
    </xf>
    <xf numFmtId="49" fontId="7" fillId="20" borderId="43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5" fillId="0" borderId="4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7" applyNumberFormat="0" applyFill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173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4" fontId="58" fillId="0" borderId="0">
      <alignment horizontal="left"/>
    </xf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5" fillId="0" borderId="0" applyNumberFormat="0" applyFill="0" applyBorder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  <xf numFmtId="166" fontId="89" fillId="0" borderId="0"/>
  </cellStyleXfs>
  <cellXfs count="899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166" fontId="10" fillId="0" borderId="0" xfId="2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0" fontId="10" fillId="0" borderId="0" xfId="2" applyNumberFormat="1" applyFont="1" applyFill="1" applyBorder="1" applyAlignment="1" applyProtection="1">
      <alignment horizontal="right" vertical="center"/>
    </xf>
    <xf numFmtId="166" fontId="10" fillId="0" borderId="0" xfId="2" quotePrefix="1" applyNumberFormat="1" applyFont="1" applyFill="1" applyBorder="1" applyAlignment="1" applyProtection="1">
      <alignment horizontal="center" vertical="center" wrapText="1"/>
    </xf>
    <xf numFmtId="10" fontId="10" fillId="0" borderId="0" xfId="2" quotePrefix="1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vertical="center"/>
    </xf>
    <xf numFmtId="10" fontId="10" fillId="0" borderId="0" xfId="2" applyNumberFormat="1" applyFont="1" applyFill="1" applyBorder="1" applyAlignment="1" applyProtection="1">
      <alignment horizontal="right" vertical="center" wrapText="1"/>
    </xf>
    <xf numFmtId="0" fontId="11" fillId="0" borderId="1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left" vertical="center"/>
    </xf>
    <xf numFmtId="10" fontId="13" fillId="0" borderId="0" xfId="3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10" fontId="10" fillId="0" borderId="0" xfId="3" applyNumberFormat="1" applyFont="1" applyFill="1" applyBorder="1" applyAlignment="1" applyProtection="1">
      <alignment horizontal="righ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4" xfId="0" quotePrefix="1" applyFont="1" applyBorder="1" applyAlignment="1" applyProtection="1">
      <alignment horizontal="left"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5" fillId="0" borderId="14" xfId="0" applyFont="1" applyBorder="1" applyAlignment="1" applyProtection="1">
      <alignment horizontal="left" vertical="center"/>
    </xf>
    <xf numFmtId="0" fontId="1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43" fontId="8" fillId="0" borderId="0" xfId="1" applyFont="1" applyFill="1" applyAlignment="1">
      <alignment vertical="center" wrapText="1"/>
    </xf>
    <xf numFmtId="10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0" fontId="8" fillId="0" borderId="0" xfId="2" applyNumberFormat="1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horizontal="center" vertical="center"/>
    </xf>
    <xf numFmtId="0" fontId="13" fillId="0" borderId="14" xfId="0" applyFont="1" applyBorder="1" applyAlignment="1" applyProtection="1">
      <alignment horizontal="left" vertical="center" wrapText="1"/>
    </xf>
    <xf numFmtId="0" fontId="40" fillId="0" borderId="0" xfId="4" applyFont="1" applyFill="1" applyAlignment="1">
      <alignment horizontal="left" vertical="center"/>
    </xf>
    <xf numFmtId="0" fontId="41" fillId="0" borderId="0" xfId="4" applyFont="1" applyFill="1" applyAlignment="1">
      <alignment horizontal="center" vertical="center"/>
    </xf>
    <xf numFmtId="0" fontId="41" fillId="0" borderId="0" xfId="4" applyFont="1" applyFill="1" applyAlignment="1">
      <alignment vertical="center"/>
    </xf>
    <xf numFmtId="0" fontId="41" fillId="23" borderId="0" xfId="4" applyFont="1" applyFill="1" applyAlignment="1">
      <alignment vertical="center"/>
    </xf>
    <xf numFmtId="0" fontId="43" fillId="3" borderId="23" xfId="4" applyFont="1" applyFill="1" applyBorder="1" applyAlignment="1">
      <alignment horizontal="center" vertical="center"/>
    </xf>
    <xf numFmtId="0" fontId="43" fillId="3" borderId="24" xfId="4" applyFont="1" applyFill="1" applyBorder="1" applyAlignment="1">
      <alignment horizontal="center" vertical="center"/>
    </xf>
    <xf numFmtId="0" fontId="43" fillId="3" borderId="48" xfId="4" applyFont="1" applyFill="1" applyBorder="1" applyAlignment="1">
      <alignment horizontal="center" vertical="center"/>
    </xf>
    <xf numFmtId="0" fontId="43" fillId="3" borderId="49" xfId="4" applyFont="1" applyFill="1" applyBorder="1" applyAlignment="1">
      <alignment horizontal="center" vertical="center"/>
    </xf>
    <xf numFmtId="0" fontId="43" fillId="3" borderId="27" xfId="4" applyFont="1" applyFill="1" applyBorder="1" applyAlignment="1">
      <alignment horizontal="center" vertical="center"/>
    </xf>
    <xf numFmtId="0" fontId="43" fillId="3" borderId="50" xfId="4" applyFont="1" applyFill="1" applyBorder="1" applyAlignment="1">
      <alignment horizontal="center" vertical="center"/>
    </xf>
    <xf numFmtId="0" fontId="45" fillId="0" borderId="0" xfId="4" applyFont="1" applyFill="1" applyAlignment="1">
      <alignment horizontal="left" vertical="center"/>
    </xf>
    <xf numFmtId="0" fontId="43" fillId="0" borderId="0" xfId="4" applyFont="1" applyFill="1" applyAlignment="1">
      <alignment horizontal="left" vertical="center"/>
    </xf>
    <xf numFmtId="0" fontId="43" fillId="0" borderId="0" xfId="4" applyFont="1" applyFill="1" applyAlignment="1">
      <alignment horizontal="center" vertical="center" wrapText="1"/>
    </xf>
    <xf numFmtId="0" fontId="43" fillId="23" borderId="0" xfId="4" applyFont="1" applyFill="1" applyAlignment="1">
      <alignment horizontal="center" vertical="center" wrapText="1"/>
    </xf>
    <xf numFmtId="0" fontId="47" fillId="24" borderId="0" xfId="4" applyFont="1" applyFill="1" applyAlignment="1">
      <alignment vertical="center"/>
    </xf>
    <xf numFmtId="0" fontId="45" fillId="23" borderId="0" xfId="4" applyFont="1" applyFill="1" applyAlignment="1">
      <alignment vertical="center"/>
    </xf>
    <xf numFmtId="0" fontId="45" fillId="23" borderId="0" xfId="4" applyFont="1" applyFill="1" applyBorder="1" applyAlignment="1">
      <alignment horizontal="center" vertical="center"/>
    </xf>
    <xf numFmtId="0" fontId="45" fillId="0" borderId="0" xfId="4" applyFont="1" applyFill="1" applyAlignment="1">
      <alignment horizontal="center" vertical="center"/>
    </xf>
    <xf numFmtId="0" fontId="45" fillId="23" borderId="0" xfId="4" applyFont="1" applyFill="1" applyAlignment="1">
      <alignment horizontal="center" vertical="center"/>
    </xf>
    <xf numFmtId="0" fontId="40" fillId="25" borderId="30" xfId="4" applyFont="1" applyFill="1" applyBorder="1" applyAlignment="1">
      <alignment horizontal="left" vertical="center"/>
    </xf>
    <xf numFmtId="0" fontId="40" fillId="25" borderId="31" xfId="4" applyFont="1" applyFill="1" applyBorder="1" applyAlignment="1">
      <alignment horizontal="center" vertical="center"/>
    </xf>
    <xf numFmtId="0" fontId="40" fillId="3" borderId="32" xfId="4" applyFont="1" applyFill="1" applyBorder="1" applyAlignment="1">
      <alignment horizontal="center" vertical="center"/>
    </xf>
    <xf numFmtId="0" fontId="45" fillId="0" borderId="23" xfId="4" applyFont="1" applyFill="1" applyBorder="1" applyAlignment="1">
      <alignment horizontal="center" vertical="center"/>
    </xf>
    <xf numFmtId="0" fontId="45" fillId="0" borderId="24" xfId="4" applyFont="1" applyFill="1" applyBorder="1" applyAlignment="1">
      <alignment horizontal="center" vertical="center"/>
    </xf>
    <xf numFmtId="0" fontId="45" fillId="23" borderId="24" xfId="4" applyFont="1" applyFill="1" applyBorder="1" applyAlignment="1">
      <alignment horizontal="center" vertical="center"/>
    </xf>
    <xf numFmtId="0" fontId="45" fillId="23" borderId="48" xfId="4" applyFont="1" applyFill="1" applyBorder="1" applyAlignment="1">
      <alignment horizontal="center" vertical="center"/>
    </xf>
    <xf numFmtId="0" fontId="45" fillId="0" borderId="13" xfId="4" applyFont="1" applyFill="1" applyBorder="1" applyAlignment="1">
      <alignment horizontal="center" vertical="center"/>
    </xf>
    <xf numFmtId="0" fontId="45" fillId="23" borderId="34" xfId="4" applyFont="1" applyFill="1" applyBorder="1" applyAlignment="1">
      <alignment horizontal="center" vertical="center"/>
    </xf>
    <xf numFmtId="0" fontId="45" fillId="23" borderId="51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left" vertical="center"/>
    </xf>
    <xf numFmtId="0" fontId="45" fillId="0" borderId="0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right" vertical="center"/>
    </xf>
    <xf numFmtId="0" fontId="45" fillId="0" borderId="49" xfId="4" applyFont="1" applyFill="1" applyBorder="1" applyAlignment="1">
      <alignment horizontal="center" vertical="center"/>
    </xf>
    <xf numFmtId="0" fontId="45" fillId="0" borderId="27" xfId="4" applyFont="1" applyFill="1" applyBorder="1" applyAlignment="1">
      <alignment horizontal="center" vertical="center"/>
    </xf>
    <xf numFmtId="0" fontId="45" fillId="23" borderId="27" xfId="4" applyFont="1" applyFill="1" applyBorder="1" applyAlignment="1">
      <alignment horizontal="center" vertical="center"/>
    </xf>
    <xf numFmtId="0" fontId="45" fillId="23" borderId="50" xfId="4" applyFont="1" applyFill="1" applyBorder="1" applyAlignment="1">
      <alignment horizontal="center" vertical="center"/>
    </xf>
    <xf numFmtId="0" fontId="41" fillId="23" borderId="23" xfId="4" applyFont="1" applyFill="1" applyBorder="1" applyAlignment="1">
      <alignment vertical="center"/>
    </xf>
    <xf numFmtId="0" fontId="40" fillId="0" borderId="24" xfId="4" applyFont="1" applyFill="1" applyBorder="1" applyAlignment="1">
      <alignment horizontal="center" vertical="center"/>
    </xf>
    <xf numFmtId="0" fontId="40" fillId="23" borderId="24" xfId="4" applyFont="1" applyFill="1" applyBorder="1" applyAlignment="1">
      <alignment horizontal="center" vertical="center"/>
    </xf>
    <xf numFmtId="0" fontId="41" fillId="23" borderId="13" xfId="4" applyFont="1" applyFill="1" applyBorder="1" applyAlignment="1">
      <alignment vertical="center"/>
    </xf>
    <xf numFmtId="0" fontId="45" fillId="23" borderId="0" xfId="4" applyFont="1" applyFill="1" applyBorder="1" applyAlignment="1">
      <alignment vertical="center"/>
    </xf>
    <xf numFmtId="0" fontId="41" fillId="23" borderId="49" xfId="4" applyFont="1" applyFill="1" applyBorder="1" applyAlignment="1">
      <alignment vertical="center"/>
    </xf>
    <xf numFmtId="0" fontId="40" fillId="23" borderId="0" xfId="4" applyFont="1" applyFill="1" applyBorder="1" applyAlignment="1">
      <alignment horizontal="center" vertical="center" wrapText="1"/>
    </xf>
    <xf numFmtId="0" fontId="40" fillId="0" borderId="0" xfId="4" applyFont="1" applyFill="1" applyBorder="1" applyAlignment="1">
      <alignment horizontal="center" vertical="center" wrapText="1"/>
    </xf>
    <xf numFmtId="0" fontId="41" fillId="24" borderId="0" xfId="4" applyFont="1" applyFill="1" applyAlignment="1">
      <alignment vertical="center" wrapText="1"/>
    </xf>
    <xf numFmtId="0" fontId="48" fillId="0" borderId="23" xfId="5" applyFont="1" applyFill="1" applyBorder="1" applyAlignment="1" applyProtection="1">
      <alignment horizontal="center" vertical="center" wrapText="1"/>
    </xf>
    <xf numFmtId="0" fontId="48" fillId="24" borderId="0" xfId="5" applyFont="1" applyFill="1" applyBorder="1" applyAlignment="1" applyProtection="1">
      <alignment vertical="center" wrapText="1"/>
    </xf>
    <xf numFmtId="0" fontId="48" fillId="24" borderId="0" xfId="5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 wrapText="1"/>
    </xf>
    <xf numFmtId="0" fontId="48" fillId="0" borderId="37" xfId="5" applyFont="1" applyFill="1" applyBorder="1" applyAlignment="1" applyProtection="1">
      <alignment horizontal="center" vertical="center" wrapText="1"/>
    </xf>
    <xf numFmtId="0" fontId="48" fillId="0" borderId="37" xfId="5" applyFont="1" applyFill="1" applyBorder="1" applyAlignment="1" applyProtection="1">
      <alignment horizontal="left" vertical="center" wrapText="1"/>
    </xf>
    <xf numFmtId="164" fontId="51" fillId="0" borderId="35" xfId="115" applyFont="1" applyBorder="1" applyAlignment="1">
      <alignment horizontal="right" vertical="center" wrapText="1"/>
    </xf>
    <xf numFmtId="0" fontId="40" fillId="0" borderId="0" xfId="4" applyFont="1" applyFill="1" applyAlignment="1">
      <alignment vertical="center" wrapText="1"/>
    </xf>
    <xf numFmtId="0" fontId="54" fillId="0" borderId="37" xfId="5" applyFont="1" applyFill="1" applyBorder="1" applyAlignment="1" applyProtection="1">
      <alignment horizontal="center" vertical="center" wrapText="1"/>
    </xf>
    <xf numFmtId="0" fontId="54" fillId="0" borderId="37" xfId="5" applyFont="1" applyFill="1" applyBorder="1" applyAlignment="1" applyProtection="1">
      <alignment horizontal="left" vertical="center" wrapText="1"/>
    </xf>
    <xf numFmtId="0" fontId="53" fillId="0" borderId="37" xfId="5" applyFont="1" applyFill="1" applyBorder="1" applyAlignment="1" applyProtection="1">
      <alignment horizontal="center" vertical="center" wrapText="1"/>
    </xf>
    <xf numFmtId="0" fontId="53" fillId="0" borderId="37" xfId="5" applyFont="1" applyFill="1" applyBorder="1" applyAlignment="1" applyProtection="1">
      <alignment horizontal="left" vertical="center" wrapText="1"/>
    </xf>
    <xf numFmtId="0" fontId="45" fillId="0" borderId="37" xfId="5" applyFont="1" applyFill="1" applyBorder="1" applyAlignment="1" applyProtection="1">
      <alignment horizontal="center" vertical="center" wrapText="1"/>
    </xf>
    <xf numFmtId="0" fontId="45" fillId="0" borderId="37" xfId="5" applyFont="1" applyFill="1" applyBorder="1" applyAlignment="1" applyProtection="1">
      <alignment horizontal="left" vertical="center" wrapText="1"/>
    </xf>
    <xf numFmtId="0" fontId="45" fillId="24" borderId="37" xfId="5" applyFont="1" applyFill="1" applyBorder="1" applyAlignment="1" applyProtection="1">
      <alignment horizontal="center" vertical="center" wrapText="1"/>
    </xf>
    <xf numFmtId="0" fontId="45" fillId="24" borderId="37" xfId="5" applyFont="1" applyFill="1" applyBorder="1" applyAlignment="1" applyProtection="1">
      <alignment horizontal="left" vertical="center" wrapText="1"/>
    </xf>
    <xf numFmtId="164" fontId="51" fillId="0" borderId="35" xfId="115" applyFont="1" applyFill="1" applyBorder="1" applyAlignment="1">
      <alignment horizontal="right" vertical="center" wrapText="1"/>
    </xf>
    <xf numFmtId="0" fontId="52" fillId="0" borderId="0" xfId="4" applyFont="1" applyFill="1" applyAlignment="1">
      <alignment vertical="center" wrapText="1"/>
    </xf>
    <xf numFmtId="0" fontId="53" fillId="24" borderId="37" xfId="5" applyFont="1" applyFill="1" applyBorder="1" applyAlignment="1" applyProtection="1">
      <alignment horizontal="center" vertical="center" wrapText="1"/>
    </xf>
    <xf numFmtId="0" fontId="53" fillId="24" borderId="37" xfId="5" applyFont="1" applyFill="1" applyBorder="1" applyAlignment="1" applyProtection="1">
      <alignment horizontal="left" vertical="center" wrapText="1"/>
    </xf>
    <xf numFmtId="0" fontId="53" fillId="24" borderId="55" xfId="5" applyFont="1" applyFill="1" applyBorder="1" applyAlignment="1" applyProtection="1">
      <alignment horizontal="left" vertical="center" wrapText="1"/>
    </xf>
    <xf numFmtId="0" fontId="45" fillId="24" borderId="0" xfId="5" applyFont="1" applyFill="1" applyAlignment="1">
      <alignment vertical="center"/>
    </xf>
    <xf numFmtId="0" fontId="45" fillId="24" borderId="0" xfId="5" applyFont="1" applyFill="1" applyBorder="1" applyAlignment="1">
      <alignment vertical="center"/>
    </xf>
    <xf numFmtId="0" fontId="45" fillId="24" borderId="0" xfId="4" applyFont="1" applyFill="1" applyBorder="1" applyAlignment="1">
      <alignment horizontal="center" vertical="center"/>
    </xf>
    <xf numFmtId="0" fontId="45" fillId="24" borderId="0" xfId="4" applyFont="1" applyFill="1" applyBorder="1" applyAlignment="1">
      <alignment vertical="center"/>
    </xf>
    <xf numFmtId="0" fontId="41" fillId="24" borderId="0" xfId="4" applyFont="1" applyFill="1" applyBorder="1" applyAlignment="1">
      <alignment vertical="center"/>
    </xf>
    <xf numFmtId="0" fontId="41" fillId="23" borderId="0" xfId="4" applyFont="1" applyFill="1" applyAlignment="1">
      <alignment horizontal="center" vertical="center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Fill="1" applyAlignment="1">
      <alignment vertical="center"/>
    </xf>
    <xf numFmtId="0" fontId="45" fillId="0" borderId="0" xfId="5" applyFont="1" applyFill="1" applyBorder="1" applyAlignment="1">
      <alignment vertical="center"/>
    </xf>
    <xf numFmtId="0" fontId="45" fillId="0" borderId="0" xfId="4" applyFont="1" applyFill="1" applyBorder="1" applyAlignment="1">
      <alignment horizontal="left" vertical="center"/>
    </xf>
    <xf numFmtId="0" fontId="45" fillId="0" borderId="0" xfId="4" applyFont="1" applyFill="1" applyBorder="1" applyAlignment="1">
      <alignment vertical="center"/>
    </xf>
    <xf numFmtId="0" fontId="41" fillId="0" borderId="0" xfId="4" applyFont="1" applyFill="1" applyBorder="1" applyAlignment="1">
      <alignment vertical="center"/>
    </xf>
    <xf numFmtId="0" fontId="41" fillId="23" borderId="0" xfId="4" applyFont="1" applyFill="1" applyBorder="1" applyAlignment="1">
      <alignment vertical="center"/>
    </xf>
    <xf numFmtId="164" fontId="51" fillId="4" borderId="35" xfId="115" applyFont="1" applyFill="1" applyBorder="1" applyAlignment="1">
      <alignment horizontal="right" vertical="center" wrapText="1"/>
    </xf>
    <xf numFmtId="0" fontId="54" fillId="4" borderId="37" xfId="5" applyFont="1" applyFill="1" applyBorder="1" applyAlignment="1" applyProtection="1">
      <alignment horizontal="center" vertical="center" wrapText="1"/>
    </xf>
    <xf numFmtId="0" fontId="54" fillId="4" borderId="37" xfId="5" applyFont="1" applyFill="1" applyBorder="1" applyAlignment="1" applyProtection="1">
      <alignment horizontal="left" vertical="center" wrapText="1"/>
    </xf>
    <xf numFmtId="0" fontId="49" fillId="26" borderId="52" xfId="5" applyFont="1" applyFill="1" applyBorder="1" applyAlignment="1" applyProtection="1">
      <alignment horizontal="center" vertical="center" wrapText="1"/>
    </xf>
    <xf numFmtId="0" fontId="50" fillId="26" borderId="52" xfId="5" applyFont="1" applyFill="1" applyBorder="1" applyAlignment="1" applyProtection="1">
      <alignment vertical="center" wrapText="1"/>
    </xf>
    <xf numFmtId="164" fontId="51" fillId="26" borderId="53" xfId="115" applyFont="1" applyFill="1" applyBorder="1" applyAlignment="1">
      <alignment horizontal="right" vertical="center" wrapText="1"/>
    </xf>
    <xf numFmtId="0" fontId="48" fillId="27" borderId="37" xfId="5" applyFont="1" applyFill="1" applyBorder="1" applyAlignment="1" applyProtection="1">
      <alignment horizontal="center" vertical="center" wrapText="1"/>
    </xf>
    <xf numFmtId="0" fontId="48" fillId="27" borderId="37" xfId="5" applyFont="1" applyFill="1" applyBorder="1" applyAlignment="1" applyProtection="1">
      <alignment horizontal="left" vertical="center" wrapText="1"/>
    </xf>
    <xf numFmtId="164" fontId="51" fillId="27" borderId="35" xfId="115" applyFont="1" applyFill="1" applyBorder="1" applyAlignment="1">
      <alignment horizontal="right" vertical="center" wrapText="1"/>
    </xf>
    <xf numFmtId="0" fontId="48" fillId="28" borderId="37" xfId="5" applyFont="1" applyFill="1" applyBorder="1" applyAlignment="1" applyProtection="1">
      <alignment horizontal="center" vertical="center" wrapText="1"/>
    </xf>
    <xf numFmtId="0" fontId="48" fillId="28" borderId="37" xfId="5" applyFont="1" applyFill="1" applyBorder="1" applyAlignment="1" applyProtection="1">
      <alignment horizontal="left" vertical="center" wrapText="1"/>
    </xf>
    <xf numFmtId="164" fontId="51" fillId="28" borderId="35" xfId="115" applyFont="1" applyFill="1" applyBorder="1" applyAlignment="1">
      <alignment horizontal="right" vertical="center" wrapText="1"/>
    </xf>
    <xf numFmtId="0" fontId="53" fillId="29" borderId="37" xfId="5" applyFont="1" applyFill="1" applyBorder="1" applyAlignment="1" applyProtection="1">
      <alignment horizontal="center" vertical="center" wrapText="1"/>
    </xf>
    <xf numFmtId="0" fontId="53" fillId="29" borderId="37" xfId="5" applyFont="1" applyFill="1" applyBorder="1" applyAlignment="1" applyProtection="1">
      <alignment horizontal="left" vertical="center" wrapText="1"/>
    </xf>
    <xf numFmtId="164" fontId="51" fillId="29" borderId="35" xfId="115" applyFont="1" applyFill="1" applyBorder="1" applyAlignment="1">
      <alignment horizontal="right" vertical="center" wrapText="1"/>
    </xf>
    <xf numFmtId="0" fontId="45" fillId="30" borderId="37" xfId="5" applyFont="1" applyFill="1" applyBorder="1" applyAlignment="1" applyProtection="1">
      <alignment horizontal="center" vertical="center" wrapText="1"/>
    </xf>
    <xf numFmtId="0" fontId="45" fillId="30" borderId="37" xfId="5" applyFont="1" applyFill="1" applyBorder="1" applyAlignment="1" applyProtection="1">
      <alignment horizontal="left" vertical="center" wrapText="1"/>
    </xf>
    <xf numFmtId="164" fontId="51" fillId="30" borderId="35" xfId="115" applyFont="1" applyFill="1" applyBorder="1" applyAlignment="1">
      <alignment horizontal="right" vertical="center" wrapText="1"/>
    </xf>
    <xf numFmtId="0" fontId="53" fillId="30" borderId="37" xfId="5" applyFont="1" applyFill="1" applyBorder="1" applyAlignment="1" applyProtection="1">
      <alignment horizontal="center" vertical="center" wrapText="1"/>
    </xf>
    <xf numFmtId="0" fontId="53" fillId="30" borderId="37" xfId="5" applyFont="1" applyFill="1" applyBorder="1" applyAlignment="1" applyProtection="1">
      <alignment horizontal="left" vertical="center" wrapText="1"/>
    </xf>
    <xf numFmtId="164" fontId="57" fillId="30" borderId="35" xfId="115" applyFont="1" applyFill="1" applyBorder="1" applyAlignment="1">
      <alignment horizontal="right" vertical="center" wrapText="1"/>
    </xf>
    <xf numFmtId="164" fontId="51" fillId="31" borderId="35" xfId="115" applyFont="1" applyFill="1" applyBorder="1" applyAlignment="1">
      <alignment horizontal="right" vertical="center" wrapText="1"/>
    </xf>
    <xf numFmtId="0" fontId="45" fillId="26" borderId="37" xfId="5" applyFont="1" applyFill="1" applyBorder="1" applyAlignment="1" applyProtection="1">
      <alignment horizontal="center" vertical="center" wrapText="1"/>
    </xf>
    <xf numFmtId="0" fontId="48" fillId="26" borderId="37" xfId="5" applyFont="1" applyFill="1" applyBorder="1" applyAlignment="1" applyProtection="1">
      <alignment horizontal="left" vertical="center" wrapText="1"/>
    </xf>
    <xf numFmtId="164" fontId="51" fillId="26" borderId="35" xfId="115" applyFont="1" applyFill="1" applyBorder="1" applyAlignment="1">
      <alignment horizontal="right" vertical="center" wrapText="1"/>
    </xf>
    <xf numFmtId="0" fontId="40" fillId="26" borderId="37" xfId="5" applyFont="1" applyFill="1" applyBorder="1" applyAlignment="1" applyProtection="1">
      <alignment horizontal="left" vertical="center" wrapText="1"/>
    </xf>
    <xf numFmtId="0" fontId="54" fillId="29" borderId="37" xfId="5" applyFont="1" applyFill="1" applyBorder="1" applyAlignment="1" applyProtection="1">
      <alignment horizontal="center" vertical="center" wrapText="1"/>
    </xf>
    <xf numFmtId="0" fontId="54" fillId="29" borderId="37" xfId="5" applyFont="1" applyFill="1" applyBorder="1" applyAlignment="1" applyProtection="1">
      <alignment horizontal="left" vertical="center" wrapText="1"/>
    </xf>
    <xf numFmtId="0" fontId="56" fillId="32" borderId="37" xfId="5" applyFont="1" applyFill="1" applyBorder="1" applyAlignment="1" applyProtection="1">
      <alignment horizontal="center" vertical="center" wrapText="1"/>
    </xf>
    <xf numFmtId="0" fontId="56" fillId="32" borderId="37" xfId="5" applyFont="1" applyFill="1" applyBorder="1" applyAlignment="1" applyProtection="1">
      <alignment horizontal="left" vertical="center" wrapText="1"/>
    </xf>
    <xf numFmtId="164" fontId="51" fillId="32" borderId="35" xfId="115" applyFont="1" applyFill="1" applyBorder="1" applyAlignment="1">
      <alignment horizontal="right" vertical="center" wrapText="1"/>
    </xf>
    <xf numFmtId="0" fontId="56" fillId="31" borderId="37" xfId="5" applyFont="1" applyFill="1" applyBorder="1" applyAlignment="1" applyProtection="1">
      <alignment horizontal="center" vertical="center" wrapText="1"/>
    </xf>
    <xf numFmtId="0" fontId="56" fillId="31" borderId="37" xfId="5" applyFont="1" applyFill="1" applyBorder="1" applyAlignment="1" applyProtection="1">
      <alignment horizontal="left" vertical="center" wrapText="1"/>
    </xf>
    <xf numFmtId="0" fontId="45" fillId="33" borderId="37" xfId="5" applyFont="1" applyFill="1" applyBorder="1" applyAlignment="1" applyProtection="1">
      <alignment horizontal="center" vertical="center" wrapText="1"/>
    </xf>
    <xf numFmtId="0" fontId="45" fillId="33" borderId="37" xfId="5" applyFont="1" applyFill="1" applyBorder="1" applyAlignment="1" applyProtection="1">
      <alignment horizontal="left" vertical="center" wrapText="1"/>
    </xf>
    <xf numFmtId="164" fontId="51" fillId="33" borderId="35" xfId="115" applyFont="1" applyFill="1" applyBorder="1" applyAlignment="1">
      <alignment horizontal="right" vertical="center" wrapText="1"/>
    </xf>
    <xf numFmtId="0" fontId="48" fillId="34" borderId="18" xfId="5" applyFont="1" applyFill="1" applyBorder="1" applyAlignment="1" applyProtection="1">
      <alignment horizontal="center" vertical="center" wrapText="1"/>
    </xf>
    <xf numFmtId="0" fontId="48" fillId="34" borderId="18" xfId="5" applyFont="1" applyFill="1" applyBorder="1" applyAlignment="1" applyProtection="1">
      <alignment horizontal="left" vertical="center" wrapText="1"/>
    </xf>
    <xf numFmtId="164" fontId="51" fillId="34" borderId="36" xfId="115" applyFont="1" applyFill="1" applyBorder="1" applyAlignment="1">
      <alignment horizontal="right" vertical="center" wrapText="1"/>
    </xf>
    <xf numFmtId="10" fontId="11" fillId="4" borderId="54" xfId="3" applyNumberFormat="1" applyFont="1" applyFill="1" applyBorder="1" applyAlignment="1" applyProtection="1">
      <alignment horizontal="right" vertical="center"/>
    </xf>
    <xf numFmtId="10" fontId="11" fillId="4" borderId="32" xfId="3" applyNumberFormat="1" applyFont="1" applyFill="1" applyBorder="1" applyAlignment="1" applyProtection="1">
      <alignment horizontal="right" vertical="center"/>
    </xf>
    <xf numFmtId="10" fontId="11" fillId="4" borderId="7" xfId="3" applyNumberFormat="1" applyFont="1" applyFill="1" applyBorder="1" applyAlignment="1" applyProtection="1">
      <alignment horizontal="right" vertical="center"/>
    </xf>
    <xf numFmtId="10" fontId="11" fillId="4" borderId="57" xfId="3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>
      <alignment horizontal="center" vertical="center"/>
    </xf>
    <xf numFmtId="10" fontId="10" fillId="0" borderId="12" xfId="2" applyNumberFormat="1" applyFont="1" applyFill="1" applyBorder="1" applyAlignment="1" applyProtection="1">
      <alignment horizontal="right" vertical="center" wrapText="1"/>
    </xf>
    <xf numFmtId="10" fontId="10" fillId="0" borderId="16" xfId="2" applyNumberFormat="1" applyFont="1" applyFill="1" applyBorder="1" applyAlignment="1" applyProtection="1">
      <alignment horizontal="right" vertical="center"/>
    </xf>
    <xf numFmtId="10" fontId="13" fillId="0" borderId="51" xfId="3" applyNumberFormat="1" applyFont="1" applyFill="1" applyBorder="1" applyAlignment="1" applyProtection="1">
      <alignment horizontal="right" vertical="center"/>
    </xf>
    <xf numFmtId="10" fontId="10" fillId="0" borderId="51" xfId="3" applyNumberFormat="1" applyFont="1" applyFill="1" applyBorder="1" applyAlignment="1" applyProtection="1">
      <alignment horizontal="right" vertical="center"/>
    </xf>
    <xf numFmtId="10" fontId="11" fillId="0" borderId="51" xfId="3" applyNumberFormat="1" applyFont="1" applyFill="1" applyBorder="1" applyAlignment="1" applyProtection="1">
      <alignment horizontal="right" vertical="center"/>
    </xf>
    <xf numFmtId="10" fontId="11" fillId="0" borderId="56" xfId="3" applyNumberFormat="1" applyFont="1" applyFill="1" applyBorder="1" applyAlignment="1" applyProtection="1">
      <alignment horizontal="right" vertical="center"/>
    </xf>
    <xf numFmtId="10" fontId="11" fillId="0" borderId="16" xfId="3" applyNumberFormat="1" applyFont="1" applyFill="1" applyBorder="1" applyAlignment="1" applyProtection="1">
      <alignment horizontal="right" vertical="center"/>
    </xf>
    <xf numFmtId="10" fontId="10" fillId="0" borderId="16" xfId="3" applyNumberFormat="1" applyFont="1" applyFill="1" applyBorder="1" applyAlignment="1" applyProtection="1">
      <alignment horizontal="right" vertical="center"/>
    </xf>
    <xf numFmtId="10" fontId="10" fillId="0" borderId="16" xfId="3" applyNumberFormat="1" applyFont="1" applyFill="1" applyBorder="1" applyAlignment="1">
      <alignment horizontal="right" vertical="center"/>
    </xf>
    <xf numFmtId="10" fontId="11" fillId="0" borderId="56" xfId="3" applyNumberFormat="1" applyFont="1" applyFill="1" applyBorder="1" applyAlignment="1">
      <alignment horizontal="right" vertical="center"/>
    </xf>
    <xf numFmtId="10" fontId="11" fillId="0" borderId="16" xfId="3" applyNumberFormat="1" applyFont="1" applyFill="1" applyBorder="1" applyAlignment="1">
      <alignment horizontal="right" vertical="center"/>
    </xf>
    <xf numFmtId="10" fontId="11" fillId="0" borderId="58" xfId="3" applyNumberFormat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Fill="1" applyAlignment="1">
      <alignment vertical="center"/>
    </xf>
    <xf numFmtId="43" fontId="9" fillId="0" borderId="2" xfId="1" applyFont="1" applyFill="1" applyBorder="1" applyAlignment="1" applyProtection="1">
      <alignment vertical="center"/>
    </xf>
    <xf numFmtId="43" fontId="10" fillId="0" borderId="0" xfId="1" applyFont="1" applyFill="1" applyBorder="1" applyAlignment="1" applyProtection="1">
      <alignment horizontal="left" vertical="center"/>
    </xf>
    <xf numFmtId="43" fontId="10" fillId="0" borderId="0" xfId="1" applyFont="1" applyFill="1" applyBorder="1" applyAlignment="1" applyProtection="1">
      <alignment horizontal="right" vertical="center"/>
    </xf>
    <xf numFmtId="43" fontId="10" fillId="0" borderId="10" xfId="1" applyFont="1" applyFill="1" applyBorder="1" applyAlignment="1">
      <alignment vertical="center"/>
    </xf>
    <xf numFmtId="43" fontId="10" fillId="0" borderId="11" xfId="1" applyFont="1" applyFill="1" applyBorder="1" applyAlignment="1" applyProtection="1">
      <alignment horizontal="right" vertical="center" wrapText="1"/>
    </xf>
    <xf numFmtId="43" fontId="11" fillId="0" borderId="14" xfId="1" applyFont="1" applyFill="1" applyBorder="1" applyAlignment="1" applyProtection="1">
      <alignment horizontal="left" vertical="center"/>
    </xf>
    <xf numFmtId="43" fontId="10" fillId="0" borderId="15" xfId="1" applyFont="1" applyFill="1" applyBorder="1" applyAlignment="1" applyProtection="1">
      <alignment horizontal="right" vertical="center"/>
    </xf>
    <xf numFmtId="43" fontId="10" fillId="0" borderId="14" xfId="1" applyFont="1" applyFill="1" applyBorder="1" applyAlignment="1" applyProtection="1">
      <alignment horizontal="left" vertical="center"/>
    </xf>
    <xf numFmtId="43" fontId="11" fillId="0" borderId="14" xfId="1" applyFont="1" applyFill="1" applyBorder="1" applyAlignment="1">
      <alignment vertical="center"/>
    </xf>
    <xf numFmtId="43" fontId="13" fillId="0" borderId="14" xfId="1" applyFont="1" applyBorder="1" applyAlignment="1" applyProtection="1">
      <alignment horizontal="right" vertical="center"/>
    </xf>
    <xf numFmtId="43" fontId="13" fillId="0" borderId="14" xfId="1" applyFont="1" applyFill="1" applyBorder="1" applyAlignment="1" applyProtection="1">
      <alignment horizontal="right" vertical="center"/>
    </xf>
    <xf numFmtId="43" fontId="10" fillId="0" borderId="14" xfId="1" applyFont="1" applyFill="1" applyBorder="1" applyAlignment="1" applyProtection="1">
      <alignment horizontal="right" vertical="center"/>
    </xf>
    <xf numFmtId="43" fontId="15" fillId="0" borderId="14" xfId="1" applyFont="1" applyBorder="1" applyAlignment="1" applyProtection="1">
      <alignment horizontal="right" vertical="center"/>
    </xf>
    <xf numFmtId="43" fontId="11" fillId="0" borderId="14" xfId="1" applyFont="1" applyFill="1" applyBorder="1" applyAlignment="1" applyProtection="1">
      <alignment horizontal="right" vertical="center"/>
    </xf>
    <xf numFmtId="43" fontId="11" fillId="2" borderId="17" xfId="1" applyFont="1" applyFill="1" applyBorder="1" applyAlignment="1" applyProtection="1">
      <alignment horizontal="right" vertical="center"/>
    </xf>
    <xf numFmtId="43" fontId="11" fillId="4" borderId="17" xfId="1" applyFont="1" applyFill="1" applyBorder="1" applyAlignment="1" applyProtection="1">
      <alignment horizontal="right" vertical="center"/>
    </xf>
    <xf numFmtId="43" fontId="10" fillId="0" borderId="14" xfId="1" applyFont="1" applyBorder="1" applyAlignment="1" applyProtection="1">
      <alignment horizontal="right" vertical="center"/>
    </xf>
    <xf numFmtId="43" fontId="11" fillId="0" borderId="14" xfId="1" applyFont="1" applyBorder="1" applyAlignment="1" applyProtection="1">
      <alignment horizontal="right" vertical="center"/>
    </xf>
    <xf numFmtId="43" fontId="11" fillId="0" borderId="19" xfId="1" applyFont="1" applyBorder="1" applyAlignment="1" applyProtection="1">
      <alignment horizontal="right" vertical="center"/>
    </xf>
    <xf numFmtId="43" fontId="11" fillId="0" borderId="19" xfId="1" applyFont="1" applyFill="1" applyBorder="1" applyAlignment="1" applyProtection="1">
      <alignment horizontal="right" vertical="center"/>
    </xf>
    <xf numFmtId="43" fontId="11" fillId="2" borderId="22" xfId="1" applyFont="1" applyFill="1" applyBorder="1" applyAlignment="1" applyProtection="1">
      <alignment horizontal="right" vertical="center"/>
    </xf>
    <xf numFmtId="43" fontId="11" fillId="4" borderId="22" xfId="1" applyFont="1" applyFill="1" applyBorder="1" applyAlignment="1" applyProtection="1">
      <alignment horizontal="right"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10" fillId="0" borderId="15" xfId="1" applyFont="1" applyFill="1" applyBorder="1" applyAlignment="1">
      <alignment horizontal="right" vertical="center"/>
    </xf>
    <xf numFmtId="43" fontId="11" fillId="2" borderId="3" xfId="1" applyFont="1" applyFill="1" applyBorder="1" applyAlignment="1" applyProtection="1">
      <alignment horizontal="right" vertical="center"/>
    </xf>
    <xf numFmtId="43" fontId="11" fillId="4" borderId="3" xfId="1" applyFont="1" applyFill="1" applyBorder="1" applyAlignment="1" applyProtection="1">
      <alignment horizontal="right" vertical="center"/>
    </xf>
    <xf numFmtId="43" fontId="11" fillId="0" borderId="19" xfId="1" applyFont="1" applyBorder="1" applyAlignment="1">
      <alignment horizontal="right" vertical="center"/>
    </xf>
    <xf numFmtId="43" fontId="11" fillId="0" borderId="19" xfId="1" applyFont="1" applyFill="1" applyBorder="1" applyAlignment="1">
      <alignment horizontal="right" vertical="center"/>
    </xf>
    <xf numFmtId="43" fontId="11" fillId="2" borderId="21" xfId="1" applyFont="1" applyFill="1" applyBorder="1" applyAlignment="1" applyProtection="1">
      <alignment horizontal="right" vertical="center"/>
    </xf>
    <xf numFmtId="43" fontId="11" fillId="4" borderId="21" xfId="1" applyFont="1" applyFill="1" applyBorder="1" applyAlignment="1" applyProtection="1">
      <alignment horizontal="right" vertical="center"/>
    </xf>
    <xf numFmtId="43" fontId="10" fillId="0" borderId="15" xfId="1" applyFont="1" applyBorder="1" applyAlignment="1">
      <alignment horizontal="right" vertical="center"/>
    </xf>
    <xf numFmtId="43" fontId="11" fillId="0" borderId="15" xfId="1" applyFont="1" applyFill="1" applyBorder="1" applyAlignment="1">
      <alignment horizontal="right" vertical="center"/>
    </xf>
    <xf numFmtId="43" fontId="11" fillId="0" borderId="29" xfId="1" applyFont="1" applyFill="1" applyBorder="1" applyAlignment="1">
      <alignment horizontal="right" vertical="center"/>
    </xf>
    <xf numFmtId="43" fontId="8" fillId="0" borderId="0" xfId="1" applyFont="1" applyAlignment="1">
      <alignment vertical="center"/>
    </xf>
    <xf numFmtId="0" fontId="48" fillId="0" borderId="5" xfId="5" applyFont="1" applyFill="1" applyBorder="1" applyAlignment="1" applyProtection="1">
      <alignment horizontal="center" vertical="center" wrapText="1"/>
    </xf>
    <xf numFmtId="0" fontId="49" fillId="0" borderId="5" xfId="5" applyFont="1" applyFill="1" applyBorder="1" applyAlignment="1" applyProtection="1">
      <alignment horizontal="center" vertical="center" wrapText="1"/>
    </xf>
    <xf numFmtId="0" fontId="45" fillId="0" borderId="7" xfId="5" applyFont="1" applyFill="1" applyBorder="1" applyAlignment="1" applyProtection="1">
      <alignment horizontal="center" vertical="center" wrapText="1"/>
    </xf>
    <xf numFmtId="0" fontId="53" fillId="0" borderId="7" xfId="5" applyFont="1" applyFill="1" applyBorder="1" applyAlignment="1" applyProtection="1">
      <alignment horizontal="center" vertical="center" wrapText="1"/>
    </xf>
    <xf numFmtId="0" fontId="45" fillId="24" borderId="7" xfId="5" applyFont="1" applyFill="1" applyBorder="1" applyAlignment="1" applyProtection="1">
      <alignment horizontal="center" vertical="center" wrapText="1"/>
    </xf>
    <xf numFmtId="0" fontId="48" fillId="0" borderId="7" xfId="5" applyFont="1" applyFill="1" applyBorder="1" applyAlignment="1" applyProtection="1">
      <alignment horizontal="center" vertical="center" wrapText="1"/>
    </xf>
    <xf numFmtId="0" fontId="45" fillId="0" borderId="7" xfId="5" applyFont="1" applyFill="1" applyBorder="1" applyAlignment="1">
      <alignment horizontal="center" vertical="center" wrapText="1"/>
    </xf>
    <xf numFmtId="0" fontId="55" fillId="0" borderId="7" xfId="5" applyFont="1" applyFill="1" applyBorder="1" applyAlignment="1" applyProtection="1">
      <alignment horizontal="center" vertical="center" wrapText="1"/>
    </xf>
    <xf numFmtId="0" fontId="45" fillId="24" borderId="7" xfId="5" applyFont="1" applyFill="1" applyBorder="1" applyAlignment="1">
      <alignment horizontal="center" vertical="center" wrapText="1"/>
    </xf>
    <xf numFmtId="0" fontId="48" fillId="0" borderId="7" xfId="5" applyFont="1" applyFill="1" applyBorder="1" applyAlignment="1">
      <alignment horizontal="center" vertical="center" wrapText="1"/>
    </xf>
    <xf numFmtId="0" fontId="48" fillId="0" borderId="7" xfId="5" quotePrefix="1" applyFont="1" applyFill="1" applyBorder="1" applyAlignment="1" applyProtection="1">
      <alignment horizontal="center" vertical="center" wrapText="1"/>
    </xf>
    <xf numFmtId="0" fontId="48" fillId="24" borderId="7" xfId="5" applyFont="1" applyFill="1" applyBorder="1" applyAlignment="1" applyProtection="1">
      <alignment horizontal="center" vertical="center" wrapText="1"/>
    </xf>
    <xf numFmtId="0" fontId="45" fillId="24" borderId="59" xfId="5" applyFont="1" applyFill="1" applyBorder="1" applyAlignment="1" applyProtection="1">
      <alignment horizontal="center" vertical="center" wrapText="1"/>
    </xf>
    <xf numFmtId="0" fontId="40" fillId="3" borderId="31" xfId="4" applyFont="1" applyFill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164" fontId="51" fillId="0" borderId="0" xfId="115" applyFont="1" applyFill="1" applyBorder="1" applyAlignment="1">
      <alignment horizontal="right" vertical="center" wrapText="1"/>
    </xf>
    <xf numFmtId="164" fontId="57" fillId="0" borderId="0" xfId="115" applyFont="1" applyFill="1" applyBorder="1" applyAlignment="1">
      <alignment horizontal="right" vertical="center" wrapText="1"/>
    </xf>
    <xf numFmtId="0" fontId="9" fillId="0" borderId="2" xfId="0" applyFont="1" applyFill="1" applyBorder="1" applyAlignment="1" applyProtection="1">
      <alignment horizontal="center" vertical="center"/>
    </xf>
    <xf numFmtId="166" fontId="10" fillId="0" borderId="3" xfId="2" quotePrefix="1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3" fontId="10" fillId="0" borderId="3" xfId="1" quotePrefix="1" applyFont="1" applyFill="1" applyBorder="1" applyAlignment="1" applyProtection="1">
      <alignment horizontal="center" vertical="center" wrapText="1"/>
    </xf>
    <xf numFmtId="0" fontId="11" fillId="2" borderId="6" xfId="0" quotePrefix="1" applyFont="1" applyFill="1" applyBorder="1" applyAlignment="1" applyProtection="1">
      <alignment horizontal="left" vertical="center"/>
    </xf>
    <xf numFmtId="0" fontId="11" fillId="2" borderId="3" xfId="0" quotePrefix="1" applyFont="1" applyFill="1" applyBorder="1" applyAlignment="1" applyProtection="1">
      <alignment horizontal="left" vertical="center"/>
    </xf>
    <xf numFmtId="0" fontId="14" fillId="2" borderId="20" xfId="0" quotePrefix="1" applyFont="1" applyFill="1" applyBorder="1" applyAlignment="1" applyProtection="1">
      <alignment horizontal="left" vertical="center"/>
    </xf>
    <xf numFmtId="0" fontId="14" fillId="2" borderId="21" xfId="0" quotePrefix="1" applyFont="1" applyFill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 wrapText="1"/>
    </xf>
    <xf numFmtId="1" fontId="11" fillId="35" borderId="30" xfId="4" applyNumberFormat="1" applyFont="1" applyFill="1" applyBorder="1" applyAlignment="1">
      <alignment horizontal="center" vertical="center"/>
    </xf>
    <xf numFmtId="43" fontId="0" fillId="0" borderId="0" xfId="1" applyFont="1"/>
    <xf numFmtId="2" fontId="11" fillId="0" borderId="0" xfId="3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/>
    </xf>
    <xf numFmtId="0" fontId="0" fillId="0" borderId="0" xfId="0" applyFill="1"/>
    <xf numFmtId="0" fontId="61" fillId="0" borderId="0" xfId="0" applyFont="1"/>
    <xf numFmtId="164" fontId="48" fillId="24" borderId="33" xfId="115" applyFont="1" applyFill="1" applyBorder="1" applyAlignment="1" applyProtection="1">
      <alignment horizontal="center" vertical="center" wrapText="1"/>
    </xf>
    <xf numFmtId="164" fontId="48" fillId="0" borderId="0" xfId="115" applyFont="1" applyFill="1" applyBorder="1" applyAlignment="1" applyProtection="1">
      <alignment horizontal="center" vertical="center" wrapText="1"/>
    </xf>
    <xf numFmtId="0" fontId="7" fillId="0" borderId="0" xfId="0" applyFont="1"/>
    <xf numFmtId="0" fontId="45" fillId="24" borderId="0" xfId="4" applyFont="1" applyFill="1" applyAlignment="1">
      <alignment vertical="center" wrapText="1"/>
    </xf>
    <xf numFmtId="0" fontId="7" fillId="0" borderId="0" xfId="79" applyAlignment="1">
      <alignment vertical="center"/>
    </xf>
    <xf numFmtId="49" fontId="65" fillId="36" borderId="69" xfId="79" applyNumberFormat="1" applyFont="1" applyFill="1" applyBorder="1" applyAlignment="1">
      <alignment horizontal="center" vertical="center" wrapText="1"/>
    </xf>
    <xf numFmtId="49" fontId="60" fillId="0" borderId="72" xfId="79" applyNumberFormat="1" applyFont="1" applyFill="1" applyBorder="1" applyAlignment="1">
      <alignment vertical="center" wrapText="1"/>
    </xf>
    <xf numFmtId="0" fontId="60" fillId="0" borderId="65" xfId="79" applyFont="1" applyFill="1" applyBorder="1" applyAlignment="1">
      <alignment horizontal="left" vertical="center" wrapText="1"/>
    </xf>
    <xf numFmtId="49" fontId="60" fillId="0" borderId="65" xfId="79" applyNumberFormat="1" applyFont="1" applyFill="1" applyBorder="1" applyAlignment="1">
      <alignment horizontal="left" vertical="center" wrapText="1"/>
    </xf>
    <xf numFmtId="49" fontId="60" fillId="0" borderId="65" xfId="79" applyNumberFormat="1" applyFont="1" applyFill="1" applyBorder="1" applyAlignment="1">
      <alignment vertical="center" wrapText="1"/>
    </xf>
    <xf numFmtId="49" fontId="60" fillId="24" borderId="65" xfId="79" applyNumberFormat="1" applyFont="1" applyFill="1" applyBorder="1" applyAlignment="1">
      <alignment vertical="center" wrapText="1"/>
    </xf>
    <xf numFmtId="49" fontId="60" fillId="24" borderId="73" xfId="79" applyNumberFormat="1" applyFont="1" applyFill="1" applyBorder="1" applyAlignment="1">
      <alignment horizontal="left" vertical="center" wrapText="1"/>
    </xf>
    <xf numFmtId="49" fontId="66" fillId="4" borderId="75" xfId="79" applyNumberFormat="1" applyFont="1" applyFill="1" applyBorder="1" applyAlignment="1">
      <alignment horizontal="left" vertical="center" wrapText="1"/>
    </xf>
    <xf numFmtId="49" fontId="59" fillId="24" borderId="77" xfId="79" applyNumberFormat="1" applyFont="1" applyFill="1" applyBorder="1" applyAlignment="1">
      <alignment horizontal="left" vertical="center" wrapText="1"/>
    </xf>
    <xf numFmtId="49" fontId="59" fillId="24" borderId="78" xfId="79" applyNumberFormat="1" applyFont="1" applyFill="1" applyBorder="1" applyAlignment="1">
      <alignment horizontal="left" vertical="center" wrapText="1"/>
    </xf>
    <xf numFmtId="49" fontId="59" fillId="24" borderId="79" xfId="79" applyNumberFormat="1" applyFont="1" applyFill="1" applyBorder="1" applyAlignment="1">
      <alignment horizontal="left" vertical="center" wrapText="1"/>
    </xf>
    <xf numFmtId="49" fontId="59" fillId="24" borderId="62" xfId="79" applyNumberFormat="1" applyFont="1" applyFill="1" applyBorder="1" applyAlignment="1">
      <alignment horizontal="left" vertical="center" wrapText="1"/>
    </xf>
    <xf numFmtId="0" fontId="60" fillId="0" borderId="72" xfId="79" applyFont="1" applyFill="1" applyBorder="1" applyAlignment="1">
      <alignment vertical="center"/>
    </xf>
    <xf numFmtId="0" fontId="7" fillId="0" borderId="65" xfId="79" applyFont="1" applyFill="1" applyBorder="1" applyAlignment="1">
      <alignment vertical="center"/>
    </xf>
    <xf numFmtId="0" fontId="61" fillId="0" borderId="66" xfId="79" quotePrefix="1" applyFont="1" applyFill="1" applyBorder="1" applyAlignment="1">
      <alignment horizontal="center" vertical="center"/>
    </xf>
    <xf numFmtId="0" fontId="7" fillId="24" borderId="65" xfId="79" applyFont="1" applyFill="1" applyBorder="1" applyAlignment="1">
      <alignment vertical="center"/>
    </xf>
    <xf numFmtId="0" fontId="60" fillId="0" borderId="65" xfId="79" applyFont="1" applyFill="1" applyBorder="1" applyAlignment="1">
      <alignment vertical="center"/>
    </xf>
    <xf numFmtId="49" fontId="61" fillId="0" borderId="65" xfId="79" applyNumberFormat="1" applyFont="1" applyFill="1" applyBorder="1" applyAlignment="1">
      <alignment horizontal="left" vertical="center"/>
    </xf>
    <xf numFmtId="0" fontId="61" fillId="0" borderId="66" xfId="79" applyFont="1" applyFill="1" applyBorder="1" applyAlignment="1">
      <alignment horizontal="center" vertical="center"/>
    </xf>
    <xf numFmtId="49" fontId="60" fillId="0" borderId="65" xfId="79" applyNumberFormat="1" applyFont="1" applyFill="1" applyBorder="1" applyAlignment="1">
      <alignment vertical="center"/>
    </xf>
    <xf numFmtId="0" fontId="61" fillId="0" borderId="65" xfId="79" applyFont="1" applyFill="1" applyBorder="1" applyAlignment="1">
      <alignment horizontal="left" vertical="center"/>
    </xf>
    <xf numFmtId="0" fontId="61" fillId="24" borderId="65" xfId="79" applyFont="1" applyFill="1" applyBorder="1" applyAlignment="1">
      <alignment horizontal="left" vertical="center"/>
    </xf>
    <xf numFmtId="0" fontId="60" fillId="0" borderId="65" xfId="79" applyFont="1" applyFill="1" applyBorder="1" applyAlignment="1">
      <alignment horizontal="left" vertical="center"/>
    </xf>
    <xf numFmtId="49" fontId="60" fillId="0" borderId="65" xfId="79" applyNumberFormat="1" applyFont="1" applyFill="1" applyBorder="1" applyAlignment="1">
      <alignment horizontal="left" vertical="center"/>
    </xf>
    <xf numFmtId="49" fontId="60" fillId="24" borderId="65" xfId="79" applyNumberFormat="1" applyFont="1" applyFill="1" applyBorder="1" applyAlignment="1">
      <alignment vertical="center"/>
    </xf>
    <xf numFmtId="49" fontId="60" fillId="24" borderId="73" xfId="79" applyNumberFormat="1" applyFont="1" applyFill="1" applyBorder="1" applyAlignment="1">
      <alignment vertical="center"/>
    </xf>
    <xf numFmtId="0" fontId="66" fillId="4" borderId="75" xfId="79" applyFont="1" applyFill="1" applyBorder="1" applyAlignment="1">
      <alignment horizontal="left" vertical="center" wrapText="1"/>
    </xf>
    <xf numFmtId="0" fontId="66" fillId="37" borderId="80" xfId="79" applyFont="1" applyFill="1" applyBorder="1" applyAlignment="1">
      <alignment horizontal="left" vertical="center" wrapText="1"/>
    </xf>
    <xf numFmtId="0" fontId="7" fillId="37" borderId="81" xfId="79" applyFill="1" applyBorder="1" applyAlignment="1">
      <alignment vertical="center"/>
    </xf>
    <xf numFmtId="49" fontId="7" fillId="0" borderId="82" xfId="5" applyNumberFormat="1" applyFont="1" applyFill="1" applyBorder="1" applyAlignment="1" applyProtection="1">
      <alignment horizontal="center" vertical="center" wrapText="1"/>
    </xf>
    <xf numFmtId="49" fontId="7" fillId="0" borderId="83" xfId="5" applyNumberFormat="1" applyFont="1" applyFill="1" applyBorder="1" applyAlignment="1" applyProtection="1">
      <alignment horizontal="center" vertical="center" wrapText="1"/>
    </xf>
    <xf numFmtId="43" fontId="7" fillId="24" borderId="83" xfId="125" applyFont="1" applyFill="1" applyBorder="1" applyAlignment="1" applyProtection="1">
      <alignment horizontal="center" vertical="center" wrapText="1"/>
    </xf>
    <xf numFmtId="49" fontId="7" fillId="24" borderId="83" xfId="5" applyNumberFormat="1" applyFont="1" applyFill="1" applyBorder="1" applyAlignment="1" applyProtection="1">
      <alignment horizontal="center" vertical="center" wrapText="1"/>
    </xf>
    <xf numFmtId="49" fontId="7" fillId="24" borderId="84" xfId="5" applyNumberFormat="1" applyFont="1" applyFill="1" applyBorder="1" applyAlignment="1" applyProtection="1">
      <alignment horizontal="center" vertical="center" wrapText="1"/>
    </xf>
    <xf numFmtId="49" fontId="60" fillId="4" borderId="85" xfId="79" applyNumberFormat="1" applyFont="1" applyFill="1" applyBorder="1" applyAlignment="1">
      <alignment horizontal="left" vertical="center" wrapText="1"/>
    </xf>
    <xf numFmtId="0" fontId="0" fillId="0" borderId="3" xfId="0" applyBorder="1"/>
    <xf numFmtId="0" fontId="7" fillId="24" borderId="82" xfId="79" applyFont="1" applyFill="1" applyBorder="1" applyAlignment="1">
      <alignment horizontal="center" vertical="center"/>
    </xf>
    <xf numFmtId="49" fontId="7" fillId="0" borderId="83" xfId="79" applyNumberFormat="1" applyFont="1" applyFill="1" applyBorder="1" applyAlignment="1">
      <alignment horizontal="center" vertical="center" wrapText="1"/>
    </xf>
    <xf numFmtId="49" fontId="7" fillId="0" borderId="83" xfId="79" applyNumberFormat="1" applyFont="1" applyFill="1" applyBorder="1" applyAlignment="1">
      <alignment horizontal="center" vertical="center"/>
    </xf>
    <xf numFmtId="49" fontId="7" fillId="24" borderId="83" xfId="79" applyNumberFormat="1" applyFont="1" applyFill="1" applyBorder="1" applyAlignment="1">
      <alignment horizontal="center" vertical="center"/>
    </xf>
    <xf numFmtId="3" fontId="7" fillId="0" borderId="83" xfId="79" applyNumberFormat="1" applyFont="1" applyFill="1" applyBorder="1" applyAlignment="1">
      <alignment horizontal="center" vertical="center" wrapText="1"/>
    </xf>
    <xf numFmtId="0" fontId="7" fillId="0" borderId="83" xfId="79" applyFont="1" applyFill="1" applyBorder="1" applyAlignment="1">
      <alignment horizontal="center" vertical="center"/>
    </xf>
    <xf numFmtId="0" fontId="7" fillId="24" borderId="83" xfId="79" applyFont="1" applyFill="1" applyBorder="1" applyAlignment="1">
      <alignment horizontal="center" vertical="center" wrapText="1"/>
    </xf>
    <xf numFmtId="0" fontId="7" fillId="0" borderId="83" xfId="79" quotePrefix="1" applyFont="1" applyFill="1" applyBorder="1" applyAlignment="1">
      <alignment horizontal="center" vertical="center"/>
    </xf>
    <xf numFmtId="0" fontId="7" fillId="0" borderId="83" xfId="79" quotePrefix="1" applyFont="1" applyFill="1" applyBorder="1" applyAlignment="1">
      <alignment horizontal="center" vertical="center" wrapText="1"/>
    </xf>
    <xf numFmtId="0" fontId="7" fillId="24" borderId="84" xfId="79" quotePrefix="1" applyFont="1" applyFill="1" applyBorder="1" applyAlignment="1">
      <alignment horizontal="center" vertical="center" wrapText="1"/>
    </xf>
    <xf numFmtId="49" fontId="59" fillId="4" borderId="85" xfId="79" applyNumberFormat="1" applyFont="1" applyFill="1" applyBorder="1" applyAlignment="1">
      <alignment horizontal="left" vertical="center" wrapText="1"/>
    </xf>
    <xf numFmtId="0" fontId="67" fillId="36" borderId="63" xfId="79" applyFont="1" applyFill="1" applyBorder="1" applyAlignment="1">
      <alignment horizontal="center" vertical="center"/>
    </xf>
    <xf numFmtId="0" fontId="67" fillId="36" borderId="66" xfId="79" applyFont="1" applyFill="1" applyBorder="1" applyAlignment="1">
      <alignment horizontal="center" vertical="center"/>
    </xf>
    <xf numFmtId="0" fontId="67" fillId="36" borderId="70" xfId="79" applyFont="1" applyFill="1" applyBorder="1" applyAlignment="1">
      <alignment horizontal="center" vertical="center"/>
    </xf>
    <xf numFmtId="2" fontId="67" fillId="0" borderId="68" xfId="5" applyNumberFormat="1" applyFont="1" applyFill="1" applyBorder="1" applyAlignment="1" applyProtection="1">
      <alignment horizontal="center" vertical="center" wrapText="1"/>
    </xf>
    <xf numFmtId="1" fontId="67" fillId="0" borderId="66" xfId="5" applyNumberFormat="1" applyFont="1" applyFill="1" applyBorder="1" applyAlignment="1" applyProtection="1">
      <alignment horizontal="center" vertical="center" wrapText="1"/>
    </xf>
    <xf numFmtId="1" fontId="67" fillId="0" borderId="74" xfId="5" applyNumberFormat="1" applyFont="1" applyFill="1" applyBorder="1" applyAlignment="1" applyProtection="1">
      <alignment horizontal="center" vertical="center" wrapText="1"/>
    </xf>
    <xf numFmtId="49" fontId="68" fillId="4" borderId="76" xfId="79" applyNumberFormat="1" applyFont="1" applyFill="1" applyBorder="1" applyAlignment="1">
      <alignment horizontal="center" vertical="center" wrapText="1"/>
    </xf>
    <xf numFmtId="49" fontId="67" fillId="24" borderId="78" xfId="79" applyNumberFormat="1" applyFont="1" applyFill="1" applyBorder="1" applyAlignment="1">
      <alignment horizontal="left" vertical="center" wrapText="1"/>
    </xf>
    <xf numFmtId="49" fontId="67" fillId="24" borderId="62" xfId="79" applyNumberFormat="1" applyFont="1" applyFill="1" applyBorder="1" applyAlignment="1">
      <alignment horizontal="left" vertical="center" wrapText="1"/>
    </xf>
    <xf numFmtId="49" fontId="67" fillId="36" borderId="70" xfId="79" applyNumberFormat="1" applyFont="1" applyFill="1" applyBorder="1" applyAlignment="1">
      <alignment horizontal="center" vertical="center" wrapText="1"/>
    </xf>
    <xf numFmtId="49" fontId="67" fillId="0" borderId="68" xfId="79" applyNumberFormat="1" applyFont="1" applyFill="1" applyBorder="1" applyAlignment="1">
      <alignment horizontal="center" vertical="center" wrapText="1"/>
    </xf>
    <xf numFmtId="0" fontId="67" fillId="0" borderId="66" xfId="79" quotePrefix="1" applyFont="1" applyFill="1" applyBorder="1" applyAlignment="1">
      <alignment horizontal="center" vertical="center"/>
    </xf>
    <xf numFmtId="0" fontId="67" fillId="0" borderId="66" xfId="79" quotePrefix="1" applyFont="1" applyFill="1" applyBorder="1" applyAlignment="1">
      <alignment horizontal="center" vertical="center" wrapText="1"/>
    </xf>
    <xf numFmtId="0" fontId="67" fillId="0" borderId="74" xfId="79" quotePrefix="1" applyFont="1" applyFill="1" applyBorder="1" applyAlignment="1">
      <alignment horizontal="center" vertical="center"/>
    </xf>
    <xf numFmtId="0" fontId="67" fillId="4" borderId="76" xfId="79" applyFont="1" applyFill="1" applyBorder="1" applyAlignment="1">
      <alignment horizontal="center" vertical="center" wrapText="1"/>
    </xf>
    <xf numFmtId="0" fontId="67" fillId="0" borderId="0" xfId="79" applyFont="1" applyAlignment="1">
      <alignment vertical="center"/>
    </xf>
    <xf numFmtId="0" fontId="67" fillId="37" borderId="81" xfId="79" applyFont="1" applyFill="1" applyBorder="1" applyAlignment="1">
      <alignment horizontal="center" vertical="center" wrapText="1"/>
    </xf>
    <xf numFmtId="0" fontId="48" fillId="0" borderId="30" xfId="5" applyFont="1" applyFill="1" applyBorder="1" applyAlignment="1" applyProtection="1">
      <alignment horizontal="center" vertical="center" wrapText="1"/>
    </xf>
    <xf numFmtId="166" fontId="10" fillId="0" borderId="3" xfId="2" quotePrefix="1" applyNumberFormat="1" applyFont="1" applyFill="1" applyBorder="1" applyAlignment="1" applyProtection="1">
      <alignment horizontal="right" vertical="center"/>
    </xf>
    <xf numFmtId="10" fontId="11" fillId="0" borderId="51" xfId="3" applyNumberFormat="1" applyFont="1" applyFill="1" applyBorder="1" applyAlignment="1">
      <alignment horizontal="right" vertical="center"/>
    </xf>
    <xf numFmtId="10" fontId="8" fillId="0" borderId="0" xfId="0" applyNumberFormat="1" applyFont="1" applyFill="1" applyAlignment="1">
      <alignment horizontal="right" vertical="center" wrapText="1"/>
    </xf>
    <xf numFmtId="10" fontId="8" fillId="0" borderId="0" xfId="2" applyNumberFormat="1" applyFont="1" applyFill="1" applyAlignment="1">
      <alignment horizontal="right" vertical="center" wrapText="1"/>
    </xf>
    <xf numFmtId="166" fontId="8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51" xfId="3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46" fillId="3" borderId="31" xfId="1" applyFont="1" applyFill="1" applyBorder="1" applyAlignment="1">
      <alignment horizontal="center" vertical="center"/>
    </xf>
    <xf numFmtId="0" fontId="40" fillId="3" borderId="30" xfId="4" applyFont="1" applyFill="1" applyBorder="1" applyAlignment="1">
      <alignment horizontal="left" vertical="center"/>
    </xf>
    <xf numFmtId="43" fontId="42" fillId="23" borderId="24" xfId="1" applyFont="1" applyFill="1" applyBorder="1" applyAlignment="1">
      <alignment horizontal="center" vertical="center"/>
    </xf>
    <xf numFmtId="0" fontId="45" fillId="23" borderId="23" xfId="4" applyFont="1" applyFill="1" applyBorder="1" applyAlignment="1">
      <alignment horizontal="center" vertical="center"/>
    </xf>
    <xf numFmtId="0" fontId="45" fillId="23" borderId="13" xfId="4" applyFont="1" applyFill="1" applyBorder="1" applyAlignment="1">
      <alignment horizontal="left" vertical="center"/>
    </xf>
    <xf numFmtId="43" fontId="42" fillId="23" borderId="0" xfId="1" applyFont="1" applyFill="1" applyBorder="1" applyAlignment="1">
      <alignment horizontal="center" vertical="center"/>
    </xf>
    <xf numFmtId="0" fontId="45" fillId="23" borderId="13" xfId="4" applyFont="1" applyFill="1" applyBorder="1" applyAlignment="1">
      <alignment horizontal="center" vertical="center"/>
    </xf>
    <xf numFmtId="43" fontId="42" fillId="23" borderId="27" xfId="1" applyFont="1" applyFill="1" applyBorder="1" applyAlignment="1">
      <alignment horizontal="center" vertical="center"/>
    </xf>
    <xf numFmtId="0" fontId="45" fillId="23" borderId="49" xfId="4" applyFont="1" applyFill="1" applyBorder="1" applyAlignment="1">
      <alignment horizontal="center" vertical="center"/>
    </xf>
    <xf numFmtId="0" fontId="40" fillId="23" borderId="48" xfId="4" applyFont="1" applyFill="1" applyBorder="1" applyAlignment="1">
      <alignment horizontal="center" vertical="center"/>
    </xf>
    <xf numFmtId="0" fontId="45" fillId="24" borderId="34" xfId="4" applyFont="1" applyFill="1" applyBorder="1" applyAlignment="1">
      <alignment horizontal="center" vertical="center"/>
    </xf>
    <xf numFmtId="164" fontId="42" fillId="24" borderId="34" xfId="115" applyFont="1" applyFill="1" applyBorder="1" applyAlignment="1">
      <alignment horizontal="center" vertical="center"/>
    </xf>
    <xf numFmtId="0" fontId="43" fillId="23" borderId="0" xfId="4" applyFont="1" applyFill="1" applyAlignment="1">
      <alignment horizontal="center" vertical="center"/>
    </xf>
    <xf numFmtId="0" fontId="40" fillId="23" borderId="0" xfId="4" applyFont="1" applyFill="1" applyBorder="1" applyAlignment="1">
      <alignment horizontal="center" vertical="center"/>
    </xf>
    <xf numFmtId="0" fontId="62" fillId="0" borderId="0" xfId="0" applyFont="1" applyAlignment="1"/>
    <xf numFmtId="0" fontId="47" fillId="24" borderId="0" xfId="4" applyFont="1" applyFill="1" applyAlignment="1">
      <alignment horizontal="center" vertical="center"/>
    </xf>
    <xf numFmtId="0" fontId="47" fillId="0" borderId="0" xfId="4" applyFont="1" applyFill="1" applyAlignment="1">
      <alignment vertical="center"/>
    </xf>
    <xf numFmtId="164" fontId="42" fillId="24" borderId="0" xfId="115" applyFont="1" applyFill="1" applyBorder="1" applyAlignment="1">
      <alignment horizontal="center" vertical="center"/>
    </xf>
    <xf numFmtId="0" fontId="6" fillId="35" borderId="33" xfId="5" applyFont="1" applyFill="1" applyBorder="1" applyAlignment="1" applyProtection="1">
      <alignment horizontal="center" vertical="center" wrapText="1"/>
    </xf>
    <xf numFmtId="43" fontId="6" fillId="35" borderId="33" xfId="1" applyFont="1" applyFill="1" applyBorder="1" applyAlignment="1" applyProtection="1">
      <alignment horizontal="center" vertical="center" wrapText="1"/>
    </xf>
    <xf numFmtId="0" fontId="70" fillId="38" borderId="3" xfId="79" applyFont="1" applyFill="1" applyBorder="1" applyAlignment="1">
      <alignment horizontal="left" vertical="center" wrapText="1"/>
    </xf>
    <xf numFmtId="0" fontId="8" fillId="38" borderId="3" xfId="79" applyFont="1" applyFill="1" applyBorder="1" applyAlignment="1">
      <alignment horizontal="left" vertical="center" wrapText="1"/>
    </xf>
    <xf numFmtId="0" fontId="70" fillId="38" borderId="3" xfId="79" applyFont="1" applyFill="1" applyBorder="1" applyAlignment="1">
      <alignment horizontal="center" vertical="center" wrapText="1"/>
    </xf>
    <xf numFmtId="0" fontId="71" fillId="0" borderId="3" xfId="79" applyFont="1" applyBorder="1" applyAlignment="1">
      <alignment horizontal="left" vertical="center" wrapText="1"/>
    </xf>
    <xf numFmtId="0" fontId="72" fillId="0" borderId="3" xfId="79" applyFont="1" applyBorder="1" applyAlignment="1">
      <alignment horizontal="left" vertical="center" wrapText="1"/>
    </xf>
    <xf numFmtId="0" fontId="72" fillId="0" borderId="3" xfId="5" applyFont="1" applyBorder="1" applyAlignment="1">
      <alignment horizontal="left" vertical="center" wrapText="1"/>
    </xf>
    <xf numFmtId="0" fontId="72" fillId="0" borderId="3" xfId="5" applyFont="1" applyBorder="1" applyAlignment="1">
      <alignment horizontal="center" vertical="center" wrapText="1"/>
    </xf>
    <xf numFmtId="0" fontId="72" fillId="0" borderId="3" xfId="79" quotePrefix="1" applyFont="1" applyBorder="1" applyAlignment="1">
      <alignment horizontal="left" vertical="center" wrapText="1"/>
    </xf>
    <xf numFmtId="0" fontId="73" fillId="4" borderId="3" xfId="79" applyFont="1" applyFill="1" applyBorder="1" applyAlignment="1">
      <alignment horizontal="left" vertical="center" wrapText="1"/>
    </xf>
    <xf numFmtId="0" fontId="72" fillId="4" borderId="3" xfId="79" applyFont="1" applyFill="1" applyBorder="1" applyAlignment="1">
      <alignment horizontal="left" vertical="center" wrapText="1"/>
    </xf>
    <xf numFmtId="0" fontId="72" fillId="4" borderId="3" xfId="5" applyFont="1" applyFill="1" applyBorder="1" applyAlignment="1">
      <alignment horizontal="left" vertical="center" wrapText="1"/>
    </xf>
    <xf numFmtId="0" fontId="72" fillId="4" borderId="3" xfId="5" applyFont="1" applyFill="1" applyBorder="1" applyAlignment="1">
      <alignment horizontal="center" vertical="center" wrapText="1"/>
    </xf>
    <xf numFmtId="43" fontId="70" fillId="38" borderId="3" xfId="1" applyFont="1" applyFill="1" applyBorder="1" applyAlignment="1">
      <alignment horizontal="left" vertical="center" wrapText="1"/>
    </xf>
    <xf numFmtId="43" fontId="72" fillId="0" borderId="3" xfId="1" applyFont="1" applyBorder="1" applyAlignment="1">
      <alignment horizontal="left" vertical="center" wrapText="1"/>
    </xf>
    <xf numFmtId="43" fontId="72" fillId="4" borderId="3" xfId="1" applyFont="1" applyFill="1" applyBorder="1" applyAlignment="1">
      <alignment horizontal="left" vertical="center" wrapText="1"/>
    </xf>
    <xf numFmtId="0" fontId="12" fillId="38" borderId="3" xfId="79" applyFont="1" applyFill="1" applyBorder="1" applyAlignment="1">
      <alignment horizontal="left" vertical="center" wrapText="1"/>
    </xf>
    <xf numFmtId="0" fontId="8" fillId="38" borderId="3" xfId="79" applyFont="1" applyFill="1" applyBorder="1" applyAlignment="1">
      <alignment horizontal="center" vertical="center" wrapText="1"/>
    </xf>
    <xf numFmtId="0" fontId="72" fillId="0" borderId="3" xfId="79" applyFont="1" applyBorder="1" applyAlignment="1">
      <alignment horizontal="center" vertical="center"/>
    </xf>
    <xf numFmtId="0" fontId="72" fillId="0" borderId="3" xfId="79" applyFont="1" applyFill="1" applyBorder="1" applyAlignment="1">
      <alignment horizontal="left" vertical="center" wrapText="1"/>
    </xf>
    <xf numFmtId="0" fontId="72" fillId="0" borderId="3" xfId="79" quotePrefix="1" applyFont="1" applyFill="1" applyBorder="1" applyAlignment="1">
      <alignment horizontal="left" vertical="center" wrapText="1"/>
    </xf>
    <xf numFmtId="0" fontId="72" fillId="0" borderId="3" xfId="5" applyFont="1" applyFill="1" applyBorder="1" applyAlignment="1">
      <alignment horizontal="left" vertical="center" wrapText="1"/>
    </xf>
    <xf numFmtId="0" fontId="72" fillId="0" borderId="3" xfId="79" applyFont="1" applyFill="1" applyBorder="1" applyAlignment="1">
      <alignment horizontal="center" vertical="center"/>
    </xf>
    <xf numFmtId="0" fontId="8" fillId="4" borderId="3" xfId="79" applyFont="1" applyFill="1" applyBorder="1" applyAlignment="1">
      <alignment horizontal="center" vertical="center"/>
    </xf>
    <xf numFmtId="0" fontId="8" fillId="4" borderId="3" xfId="79" applyFont="1" applyFill="1" applyBorder="1" applyAlignment="1">
      <alignment horizontal="center" vertical="center" wrapText="1"/>
    </xf>
    <xf numFmtId="0" fontId="12" fillId="4" borderId="3" xfId="79" applyFont="1" applyFill="1" applyBorder="1" applyAlignment="1">
      <alignment horizontal="left" vertical="center" wrapText="1"/>
    </xf>
    <xf numFmtId="0" fontId="72" fillId="4" borderId="3" xfId="79" applyFont="1" applyFill="1" applyBorder="1" applyAlignment="1">
      <alignment horizontal="center" vertical="center"/>
    </xf>
    <xf numFmtId="0" fontId="72" fillId="38" borderId="3" xfId="79" applyFont="1" applyFill="1" applyBorder="1" applyAlignment="1">
      <alignment horizontal="left" vertical="center" wrapText="1"/>
    </xf>
    <xf numFmtId="43" fontId="7" fillId="0" borderId="0" xfId="1" applyFont="1"/>
    <xf numFmtId="0" fontId="69" fillId="38" borderId="3" xfId="79" applyFont="1" applyFill="1" applyBorder="1" applyAlignment="1">
      <alignment horizontal="left" vertical="center" wrapText="1"/>
    </xf>
    <xf numFmtId="43" fontId="8" fillId="38" borderId="3" xfId="1" applyFont="1" applyFill="1" applyBorder="1" applyAlignment="1">
      <alignment horizontal="center" vertical="center" wrapText="1"/>
    </xf>
    <xf numFmtId="43" fontId="70" fillId="38" borderId="3" xfId="1" applyFont="1" applyFill="1" applyBorder="1" applyAlignment="1">
      <alignment horizontal="center" vertical="center" wrapText="1"/>
    </xf>
    <xf numFmtId="43" fontId="72" fillId="0" borderId="3" xfId="1" applyFont="1" applyBorder="1" applyAlignment="1">
      <alignment horizontal="center" vertical="center" wrapText="1"/>
    </xf>
    <xf numFmtId="43" fontId="72" fillId="0" borderId="3" xfId="1" applyFont="1" applyBorder="1" applyAlignment="1">
      <alignment horizontal="center" vertical="center"/>
    </xf>
    <xf numFmtId="43" fontId="72" fillId="0" borderId="3" xfId="1" applyFont="1" applyFill="1" applyBorder="1" applyAlignment="1">
      <alignment horizontal="center" vertical="center"/>
    </xf>
    <xf numFmtId="43" fontId="8" fillId="4" borderId="3" xfId="1" applyFont="1" applyFill="1" applyBorder="1" applyAlignment="1">
      <alignment horizontal="center" vertical="center"/>
    </xf>
    <xf numFmtId="43" fontId="8" fillId="4" borderId="3" xfId="1" applyFont="1" applyFill="1" applyBorder="1" applyAlignment="1">
      <alignment horizontal="center" vertical="center" wrapText="1"/>
    </xf>
    <xf numFmtId="43" fontId="72" fillId="4" borderId="3" xfId="1" applyFont="1" applyFill="1" applyBorder="1" applyAlignment="1">
      <alignment horizontal="center" vertical="center"/>
    </xf>
    <xf numFmtId="43" fontId="8" fillId="38" borderId="3" xfId="1" applyFont="1" applyFill="1" applyBorder="1" applyAlignment="1">
      <alignment horizontal="left" vertical="center" wrapText="1"/>
    </xf>
    <xf numFmtId="0" fontId="8" fillId="38" borderId="34" xfId="79" applyFont="1" applyFill="1" applyBorder="1" applyAlignment="1">
      <alignment horizontal="left" vertical="center" wrapText="1"/>
    </xf>
    <xf numFmtId="0" fontId="8" fillId="38" borderId="34" xfId="79" applyFont="1" applyFill="1" applyBorder="1" applyAlignment="1">
      <alignment horizontal="center" vertical="center" wrapText="1"/>
    </xf>
    <xf numFmtId="43" fontId="8" fillId="38" borderId="34" xfId="1" applyFont="1" applyFill="1" applyBorder="1" applyAlignment="1">
      <alignment horizontal="center" vertical="center" wrapText="1"/>
    </xf>
    <xf numFmtId="0" fontId="60" fillId="0" borderId="0" xfId="0" applyFont="1"/>
    <xf numFmtId="10" fontId="10" fillId="0" borderId="7" xfId="2" quotePrefix="1" applyNumberFormat="1" applyFont="1" applyFill="1" applyBorder="1" applyAlignment="1" applyProtection="1">
      <alignment horizontal="center" vertical="center" wrapText="1"/>
    </xf>
    <xf numFmtId="43" fontId="15" fillId="0" borderId="14" xfId="1" applyFont="1" applyFill="1" applyBorder="1" applyAlignment="1" applyProtection="1">
      <alignment horizontal="right" vertical="center"/>
    </xf>
    <xf numFmtId="164" fontId="48" fillId="0" borderId="33" xfId="115" applyFont="1" applyFill="1" applyBorder="1" applyAlignment="1" applyProtection="1">
      <alignment horizontal="center" vertical="center" wrapText="1"/>
    </xf>
    <xf numFmtId="43" fontId="62" fillId="0" borderId="0" xfId="1" applyFont="1"/>
    <xf numFmtId="1" fontId="10" fillId="35" borderId="30" xfId="4" applyNumberFormat="1" applyFont="1" applyFill="1" applyBorder="1" applyAlignment="1">
      <alignment horizontal="center" vertical="center"/>
    </xf>
    <xf numFmtId="0" fontId="12" fillId="38" borderId="34" xfId="79" applyFont="1" applyFill="1" applyBorder="1" applyAlignment="1">
      <alignment horizontal="left" vertical="center" wrapText="1"/>
    </xf>
    <xf numFmtId="0" fontId="6" fillId="38" borderId="3" xfId="79" applyFont="1" applyFill="1" applyBorder="1" applyAlignment="1">
      <alignment horizontal="left" vertical="center" wrapText="1"/>
    </xf>
    <xf numFmtId="0" fontId="6" fillId="38" borderId="3" xfId="79" applyFont="1" applyFill="1" applyBorder="1" applyAlignment="1">
      <alignment horizontal="center" vertical="center" wrapText="1"/>
    </xf>
    <xf numFmtId="0" fontId="72" fillId="0" borderId="3" xfId="79" applyFont="1" applyBorder="1" applyAlignment="1">
      <alignment horizontal="center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72" fillId="0" borderId="11" xfId="79" applyFont="1" applyBorder="1" applyAlignment="1">
      <alignment horizontal="left" vertical="center" wrapText="1"/>
    </xf>
    <xf numFmtId="0" fontId="72" fillId="0" borderId="11" xfId="5" applyFont="1" applyBorder="1" applyAlignment="1">
      <alignment horizontal="left" vertical="center" wrapText="1"/>
    </xf>
    <xf numFmtId="0" fontId="72" fillId="0" borderId="11" xfId="79" applyFont="1" applyBorder="1" applyAlignment="1">
      <alignment horizontal="center" vertical="center" wrapText="1"/>
    </xf>
    <xf numFmtId="43" fontId="6" fillId="38" borderId="3" xfId="1" applyFont="1" applyFill="1" applyBorder="1" applyAlignment="1">
      <alignment horizontal="center" vertical="center" wrapText="1"/>
    </xf>
    <xf numFmtId="0" fontId="72" fillId="39" borderId="3" xfId="79" applyFont="1" applyFill="1" applyBorder="1" applyAlignment="1">
      <alignment horizontal="left" vertical="center" wrapText="1"/>
    </xf>
    <xf numFmtId="0" fontId="6" fillId="39" borderId="3" xfId="79" applyFont="1" applyFill="1" applyBorder="1" applyAlignment="1">
      <alignment horizontal="left" vertical="center" wrapText="1"/>
    </xf>
    <xf numFmtId="0" fontId="6" fillId="39" borderId="3" xfId="79" applyFont="1" applyFill="1" applyBorder="1" applyAlignment="1">
      <alignment horizontal="center" vertical="center" wrapText="1"/>
    </xf>
    <xf numFmtId="43" fontId="6" fillId="39" borderId="3" xfId="1" applyFont="1" applyFill="1" applyBorder="1" applyAlignment="1">
      <alignment horizontal="center" vertical="center" wrapText="1"/>
    </xf>
    <xf numFmtId="0" fontId="72" fillId="0" borderId="3" xfId="76" applyFont="1" applyBorder="1" applyAlignment="1">
      <alignment vertical="center" wrapText="1"/>
    </xf>
    <xf numFmtId="0" fontId="47" fillId="0" borderId="0" xfId="5" applyFont="1" applyFill="1" applyAlignment="1">
      <alignment vertical="center"/>
    </xf>
    <xf numFmtId="0" fontId="45" fillId="0" borderId="0" xfId="4" applyFont="1" applyFill="1" applyBorder="1" applyAlignment="1">
      <alignment horizontal="right" vertical="center"/>
    </xf>
    <xf numFmtId="0" fontId="47" fillId="0" borderId="0" xfId="5" applyFont="1" applyFill="1" applyBorder="1" applyAlignment="1">
      <alignment vertical="center"/>
    </xf>
    <xf numFmtId="0" fontId="47" fillId="0" borderId="0" xfId="4" applyFont="1" applyFill="1" applyBorder="1" applyAlignment="1">
      <alignment horizontal="center" vertical="center"/>
    </xf>
    <xf numFmtId="0" fontId="44" fillId="0" borderId="0" xfId="4" applyFont="1" applyFill="1" applyAlignment="1">
      <alignment vertical="center"/>
    </xf>
    <xf numFmtId="0" fontId="40" fillId="23" borderId="0" xfId="4" applyFont="1" applyFill="1" applyAlignment="1">
      <alignment vertical="center"/>
    </xf>
    <xf numFmtId="176" fontId="74" fillId="23" borderId="0" xfId="118" applyNumberFormat="1" applyFont="1" applyFill="1" applyAlignment="1">
      <alignment horizontal="center" vertical="center"/>
    </xf>
    <xf numFmtId="0" fontId="44" fillId="23" borderId="0" xfId="4" applyFont="1" applyFill="1" applyAlignment="1">
      <alignment vertical="center"/>
    </xf>
    <xf numFmtId="0" fontId="75" fillId="0" borderId="0" xfId="4" applyFont="1" applyFill="1" applyAlignment="1">
      <alignment vertical="center"/>
    </xf>
    <xf numFmtId="0" fontId="43" fillId="23" borderId="0" xfId="4" applyFont="1" applyFill="1" applyAlignment="1">
      <alignment horizontal="left" vertical="center"/>
    </xf>
    <xf numFmtId="176" fontId="43" fillId="23" borderId="0" xfId="118" applyNumberFormat="1" applyFont="1" applyFill="1" applyAlignment="1">
      <alignment horizontal="center" vertical="center"/>
    </xf>
    <xf numFmtId="0" fontId="76" fillId="23" borderId="0" xfId="4" applyFont="1" applyFill="1" applyAlignment="1">
      <alignment horizontal="center" vertical="center"/>
    </xf>
    <xf numFmtId="0" fontId="77" fillId="0" borderId="0" xfId="4" applyFont="1" applyFill="1" applyAlignment="1">
      <alignment vertical="center"/>
    </xf>
    <xf numFmtId="0" fontId="47" fillId="23" borderId="0" xfId="4" applyFont="1" applyFill="1" applyAlignment="1">
      <alignment horizontal="center" vertical="center"/>
    </xf>
    <xf numFmtId="0" fontId="40" fillId="3" borderId="30" xfId="4" applyFont="1" applyFill="1" applyBorder="1" applyAlignment="1">
      <alignment vertical="center"/>
    </xf>
    <xf numFmtId="0" fontId="45" fillId="23" borderId="23" xfId="4" applyFont="1" applyFill="1" applyBorder="1" applyAlignment="1">
      <alignment vertical="center"/>
    </xf>
    <xf numFmtId="176" fontId="74" fillId="23" borderId="24" xfId="118" applyNumberFormat="1" applyFont="1" applyFill="1" applyBorder="1" applyAlignment="1">
      <alignment horizontal="center" vertical="center"/>
    </xf>
    <xf numFmtId="0" fontId="47" fillId="23" borderId="24" xfId="4" applyFont="1" applyFill="1" applyBorder="1" applyAlignment="1">
      <alignment horizontal="center" vertical="center"/>
    </xf>
    <xf numFmtId="176" fontId="45" fillId="23" borderId="0" xfId="118" applyNumberFormat="1" applyFont="1" applyFill="1" applyBorder="1" applyAlignment="1">
      <alignment horizontal="center" vertical="center"/>
    </xf>
    <xf numFmtId="0" fontId="47" fillId="23" borderId="34" xfId="4" applyFont="1" applyFill="1" applyBorder="1" applyAlignment="1">
      <alignment horizontal="center" vertical="center"/>
    </xf>
    <xf numFmtId="0" fontId="45" fillId="23" borderId="13" xfId="128" applyFont="1" applyFill="1" applyBorder="1" applyAlignment="1">
      <alignment horizontal="left" vertical="center"/>
    </xf>
    <xf numFmtId="0" fontId="45" fillId="23" borderId="0" xfId="128" applyFont="1" applyFill="1" applyBorder="1" applyAlignment="1">
      <alignment horizontal="left" vertical="center"/>
    </xf>
    <xf numFmtId="0" fontId="45" fillId="23" borderId="0" xfId="128" applyFont="1" applyFill="1" applyBorder="1" applyAlignment="1">
      <alignment horizontal="center" vertical="center"/>
    </xf>
    <xf numFmtId="0" fontId="45" fillId="23" borderId="34" xfId="128" applyFont="1" applyFill="1" applyBorder="1" applyAlignment="1">
      <alignment horizontal="center" vertical="center"/>
    </xf>
    <xf numFmtId="0" fontId="45" fillId="23" borderId="51" xfId="128" applyFont="1" applyFill="1" applyBorder="1" applyAlignment="1">
      <alignment horizontal="center" vertical="center"/>
    </xf>
    <xf numFmtId="0" fontId="45" fillId="23" borderId="13" xfId="4" applyFont="1" applyFill="1" applyBorder="1" applyAlignment="1">
      <alignment vertical="center"/>
    </xf>
    <xf numFmtId="176" fontId="74" fillId="23" borderId="0" xfId="118" applyNumberFormat="1" applyFont="1" applyFill="1" applyBorder="1" applyAlignment="1">
      <alignment horizontal="center" vertical="center"/>
    </xf>
    <xf numFmtId="0" fontId="47" fillId="23" borderId="0" xfId="4" applyFont="1" applyFill="1" applyBorder="1" applyAlignment="1">
      <alignment horizontal="center" vertical="center"/>
    </xf>
    <xf numFmtId="0" fontId="45" fillId="23" borderId="49" xfId="4" applyFont="1" applyFill="1" applyBorder="1" applyAlignment="1">
      <alignment vertical="center"/>
    </xf>
    <xf numFmtId="176" fontId="74" fillId="23" borderId="27" xfId="118" applyNumberFormat="1" applyFont="1" applyFill="1" applyBorder="1" applyAlignment="1">
      <alignment horizontal="center" vertical="center"/>
    </xf>
    <xf numFmtId="0" fontId="47" fillId="23" borderId="27" xfId="4" applyFont="1" applyFill="1" applyBorder="1" applyAlignment="1">
      <alignment horizontal="center" vertical="center"/>
    </xf>
    <xf numFmtId="0" fontId="40" fillId="23" borderId="23" xfId="4" applyFont="1" applyFill="1" applyBorder="1" applyAlignment="1">
      <alignment vertical="center"/>
    </xf>
    <xf numFmtId="0" fontId="40" fillId="23" borderId="24" xfId="4" applyFont="1" applyFill="1" applyBorder="1" applyAlignment="1">
      <alignment vertical="center"/>
    </xf>
    <xf numFmtId="176" fontId="43" fillId="23" borderId="24" xfId="118" applyNumberFormat="1" applyFont="1" applyFill="1" applyBorder="1" applyAlignment="1">
      <alignment horizontal="center" vertical="center"/>
    </xf>
    <xf numFmtId="0" fontId="52" fillId="23" borderId="24" xfId="4" applyFont="1" applyFill="1" applyBorder="1" applyAlignment="1">
      <alignment horizontal="center" vertical="center"/>
    </xf>
    <xf numFmtId="0" fontId="52" fillId="23" borderId="0" xfId="4" applyFont="1" applyFill="1" applyBorder="1" applyAlignment="1">
      <alignment horizontal="center" vertical="center"/>
    </xf>
    <xf numFmtId="0" fontId="40" fillId="23" borderId="51" xfId="4" applyFont="1" applyFill="1" applyBorder="1" applyAlignment="1">
      <alignment horizontal="center" vertical="center"/>
    </xf>
    <xf numFmtId="0" fontId="47" fillId="23" borderId="0" xfId="4" applyFont="1" applyFill="1" applyAlignment="1">
      <alignment vertical="center"/>
    </xf>
    <xf numFmtId="0" fontId="48" fillId="23" borderId="0" xfId="4" applyFont="1" applyFill="1" applyBorder="1" applyAlignment="1">
      <alignment horizontal="center" vertical="center"/>
    </xf>
    <xf numFmtId="0" fontId="78" fillId="23" borderId="0" xfId="4" applyFont="1" applyFill="1" applyBorder="1" applyAlignment="1">
      <alignment horizontal="center" vertical="center"/>
    </xf>
    <xf numFmtId="0" fontId="79" fillId="23" borderId="0" xfId="4" applyFont="1" applyFill="1" applyBorder="1" applyAlignment="1">
      <alignment horizontal="center" vertical="center"/>
    </xf>
    <xf numFmtId="0" fontId="48" fillId="24" borderId="33" xfId="5" applyFont="1" applyFill="1" applyBorder="1" applyAlignment="1" applyProtection="1">
      <alignment horizontal="center" vertical="center"/>
    </xf>
    <xf numFmtId="0" fontId="48" fillId="23" borderId="23" xfId="5" applyFont="1" applyFill="1" applyBorder="1" applyAlignment="1" applyProtection="1">
      <alignment horizontal="center" vertical="center"/>
    </xf>
    <xf numFmtId="0" fontId="48" fillId="23" borderId="30" xfId="5" applyFont="1" applyFill="1" applyBorder="1" applyAlignment="1" applyProtection="1">
      <alignment vertical="center" wrapText="1"/>
    </xf>
    <xf numFmtId="164" fontId="46" fillId="0" borderId="33" xfId="115" applyFont="1" applyFill="1" applyBorder="1" applyAlignment="1" applyProtection="1">
      <alignment horizontal="center" vertical="center" wrapText="1"/>
    </xf>
    <xf numFmtId="164" fontId="46" fillId="24" borderId="33" xfId="115" applyFont="1" applyFill="1" applyBorder="1" applyAlignment="1" applyProtection="1">
      <alignment horizontal="center" vertical="center" wrapText="1"/>
    </xf>
    <xf numFmtId="0" fontId="78" fillId="23" borderId="0" xfId="5" applyFont="1" applyFill="1" applyBorder="1" applyAlignment="1" applyProtection="1">
      <alignment vertical="center" wrapText="1"/>
    </xf>
    <xf numFmtId="0" fontId="44" fillId="24" borderId="0" xfId="128" applyFont="1" applyFill="1" applyAlignment="1">
      <alignment vertical="center"/>
    </xf>
    <xf numFmtId="0" fontId="48" fillId="23" borderId="0" xfId="5" applyFont="1" applyFill="1" applyBorder="1" applyAlignment="1" applyProtection="1">
      <alignment vertical="center" wrapText="1"/>
    </xf>
    <xf numFmtId="0" fontId="45" fillId="38" borderId="90" xfId="5" applyFont="1" applyFill="1" applyBorder="1" applyAlignment="1" applyProtection="1">
      <alignment horizontal="center" vertical="center" wrapText="1"/>
    </xf>
    <xf numFmtId="0" fontId="48" fillId="38" borderId="52" xfId="76" applyFont="1" applyFill="1" applyBorder="1" applyAlignment="1" applyProtection="1">
      <alignment horizontal="center" vertical="center" wrapText="1"/>
    </xf>
    <xf numFmtId="0" fontId="48" fillId="38" borderId="52" xfId="76" applyFont="1" applyFill="1" applyBorder="1" applyAlignment="1" applyProtection="1">
      <alignment horizontal="left" vertical="center" wrapText="1"/>
    </xf>
    <xf numFmtId="164" fontId="80" fillId="38" borderId="53" xfId="118" applyNumberFormat="1" applyFont="1" applyFill="1" applyBorder="1" applyAlignment="1" applyProtection="1">
      <alignment horizontal="center" vertical="center" wrapText="1"/>
    </xf>
    <xf numFmtId="0" fontId="78" fillId="0" borderId="0" xfId="4" applyFont="1" applyFill="1" applyAlignment="1">
      <alignment vertical="center" wrapText="1"/>
    </xf>
    <xf numFmtId="49" fontId="78" fillId="0" borderId="0" xfId="4" applyNumberFormat="1" applyFont="1" applyFill="1" applyAlignment="1">
      <alignment vertical="center" wrapText="1"/>
    </xf>
    <xf numFmtId="0" fontId="48" fillId="0" borderId="0" xfId="4" applyFont="1" applyFill="1" applyAlignment="1">
      <alignment vertical="center" wrapText="1"/>
    </xf>
    <xf numFmtId="164" fontId="48" fillId="0" borderId="0" xfId="4" applyNumberFormat="1" applyFont="1" applyFill="1" applyAlignment="1">
      <alignment vertical="center" wrapText="1"/>
    </xf>
    <xf numFmtId="0" fontId="45" fillId="4" borderId="54" xfId="5" applyFont="1" applyFill="1" applyBorder="1" applyAlignment="1" applyProtection="1">
      <alignment horizontal="center" vertical="center" wrapText="1"/>
    </xf>
    <xf numFmtId="0" fontId="48" fillId="4" borderId="37" xfId="76" applyFont="1" applyFill="1" applyBorder="1" applyAlignment="1" applyProtection="1">
      <alignment horizontal="center" vertical="center" wrapText="1"/>
    </xf>
    <xf numFmtId="0" fontId="48" fillId="4" borderId="37" xfId="76" applyFont="1" applyFill="1" applyBorder="1" applyAlignment="1" applyProtection="1">
      <alignment horizontal="left" vertical="center" wrapText="1"/>
    </xf>
    <xf numFmtId="164" fontId="81" fillId="4" borderId="35" xfId="118" applyNumberFormat="1" applyFont="1" applyFill="1" applyBorder="1" applyAlignment="1">
      <alignment horizontal="center" vertical="center" wrapText="1"/>
    </xf>
    <xf numFmtId="0" fontId="78" fillId="24" borderId="0" xfId="4" applyFont="1" applyFill="1" applyAlignment="1">
      <alignment vertical="center" wrapText="1"/>
    </xf>
    <xf numFmtId="0" fontId="53" fillId="31" borderId="54" xfId="5" applyFont="1" applyFill="1" applyBorder="1" applyAlignment="1" applyProtection="1">
      <alignment horizontal="center" vertical="center" wrapText="1"/>
    </xf>
    <xf numFmtId="0" fontId="54" fillId="31" borderId="37" xfId="76" applyFont="1" applyFill="1" applyBorder="1" applyAlignment="1" applyProtection="1">
      <alignment horizontal="center" vertical="center" wrapText="1"/>
    </xf>
    <xf numFmtId="0" fontId="54" fillId="31" borderId="37" xfId="76" applyFont="1" applyFill="1" applyBorder="1" applyAlignment="1" applyProtection="1">
      <alignment horizontal="left" vertical="center" wrapText="1"/>
    </xf>
    <xf numFmtId="164" fontId="81" fillId="31" borderId="35" xfId="118" applyNumberFormat="1" applyFont="1" applyFill="1" applyBorder="1" applyAlignment="1">
      <alignment horizontal="center" vertical="center" wrapText="1"/>
    </xf>
    <xf numFmtId="0" fontId="54" fillId="0" borderId="0" xfId="4" applyFont="1" applyFill="1" applyAlignment="1">
      <alignment vertical="center" wrapText="1"/>
    </xf>
    <xf numFmtId="0" fontId="45" fillId="0" borderId="54" xfId="5" applyFont="1" applyFill="1" applyBorder="1" applyAlignment="1" applyProtection="1">
      <alignment horizontal="center" vertical="center" wrapText="1"/>
    </xf>
    <xf numFmtId="0" fontId="45" fillId="0" borderId="37" xfId="76" applyFont="1" applyFill="1" applyBorder="1" applyAlignment="1" applyProtection="1">
      <alignment horizontal="center" vertical="center" wrapText="1"/>
    </xf>
    <xf numFmtId="0" fontId="45" fillId="0" borderId="37" xfId="76" applyFont="1" applyFill="1" applyBorder="1" applyAlignment="1" applyProtection="1">
      <alignment horizontal="left" vertical="center" wrapText="1"/>
    </xf>
    <xf numFmtId="164" fontId="81" fillId="0" borderId="35" xfId="118" applyNumberFormat="1" applyFont="1" applyBorder="1" applyAlignment="1">
      <alignment horizontal="center" vertical="center" wrapText="1"/>
    </xf>
    <xf numFmtId="49" fontId="47" fillId="0" borderId="0" xfId="4" applyNumberFormat="1" applyFont="1" applyFill="1" applyAlignment="1">
      <alignment vertical="center" wrapText="1"/>
    </xf>
    <xf numFmtId="0" fontId="45" fillId="0" borderId="0" xfId="4" applyFont="1" applyFill="1" applyAlignment="1">
      <alignment vertical="center" wrapText="1"/>
    </xf>
    <xf numFmtId="0" fontId="45" fillId="31" borderId="54" xfId="5" applyFont="1" applyFill="1" applyBorder="1" applyAlignment="1" applyProtection="1">
      <alignment horizontal="center" vertical="center" wrapText="1"/>
    </xf>
    <xf numFmtId="0" fontId="54" fillId="0" borderId="37" xfId="76" applyFont="1" applyFill="1" applyBorder="1" applyAlignment="1" applyProtection="1">
      <alignment horizontal="center" vertical="center" wrapText="1"/>
    </xf>
    <xf numFmtId="0" fontId="54" fillId="0" borderId="37" xfId="76" applyFont="1" applyFill="1" applyBorder="1" applyAlignment="1" applyProtection="1">
      <alignment horizontal="left" vertical="center" wrapText="1"/>
    </xf>
    <xf numFmtId="0" fontId="45" fillId="0" borderId="90" xfId="5" applyFont="1" applyFill="1" applyBorder="1" applyAlignment="1" applyProtection="1">
      <alignment horizontal="center" vertical="center" wrapText="1"/>
    </xf>
    <xf numFmtId="0" fontId="45" fillId="0" borderId="56" xfId="5" applyFont="1" applyFill="1" applyBorder="1" applyAlignment="1" applyProtection="1">
      <alignment horizontal="center" vertical="center" wrapText="1"/>
    </xf>
    <xf numFmtId="0" fontId="45" fillId="0" borderId="18" xfId="76" applyFont="1" applyFill="1" applyBorder="1" applyAlignment="1" applyProtection="1">
      <alignment horizontal="center" vertical="center" wrapText="1"/>
    </xf>
    <xf numFmtId="0" fontId="45" fillId="0" borderId="18" xfId="76" applyFont="1" applyFill="1" applyBorder="1" applyAlignment="1" applyProtection="1">
      <alignment horizontal="left" vertical="center" wrapText="1"/>
    </xf>
    <xf numFmtId="0" fontId="45" fillId="4" borderId="90" xfId="5" applyFont="1" applyFill="1" applyBorder="1" applyAlignment="1" applyProtection="1">
      <alignment horizontal="center" vertical="center" wrapText="1"/>
    </xf>
    <xf numFmtId="0" fontId="48" fillId="4" borderId="52" xfId="76" applyFont="1" applyFill="1" applyBorder="1" applyAlignment="1" applyProtection="1">
      <alignment horizontal="center" vertical="center" wrapText="1"/>
    </xf>
    <xf numFmtId="0" fontId="48" fillId="4" borderId="52" xfId="76" applyFont="1" applyFill="1" applyBorder="1" applyAlignment="1" applyProtection="1">
      <alignment horizontal="left" vertical="center" wrapText="1"/>
    </xf>
    <xf numFmtId="164" fontId="81" fillId="4" borderId="53" xfId="118" applyNumberFormat="1" applyFont="1" applyFill="1" applyBorder="1" applyAlignment="1">
      <alignment horizontal="center" vertical="center" wrapText="1"/>
    </xf>
    <xf numFmtId="164" fontId="81" fillId="38" borderId="53" xfId="118" applyNumberFormat="1" applyFont="1" applyFill="1" applyBorder="1" applyAlignment="1">
      <alignment horizontal="center" vertical="center" wrapText="1"/>
    </xf>
    <xf numFmtId="0" fontId="45" fillId="0" borderId="54" xfId="5" applyFont="1" applyFill="1" applyBorder="1" applyAlignment="1">
      <alignment horizontal="center" vertical="center" wrapText="1"/>
    </xf>
    <xf numFmtId="0" fontId="45" fillId="24" borderId="54" xfId="5" applyFont="1" applyFill="1" applyBorder="1" applyAlignment="1" applyProtection="1">
      <alignment horizontal="center" vertical="center" wrapText="1"/>
    </xf>
    <xf numFmtId="0" fontId="45" fillId="24" borderId="37" xfId="76" applyFont="1" applyFill="1" applyBorder="1" applyAlignment="1" applyProtection="1">
      <alignment horizontal="center" vertical="center" wrapText="1"/>
    </xf>
    <xf numFmtId="0" fontId="45" fillId="24" borderId="37" xfId="76" applyFont="1" applyFill="1" applyBorder="1" applyAlignment="1" applyProtection="1">
      <alignment horizontal="left" vertical="center" wrapText="1"/>
    </xf>
    <xf numFmtId="49" fontId="47" fillId="24" borderId="0" xfId="4" applyNumberFormat="1" applyFont="1" applyFill="1" applyAlignment="1">
      <alignment vertical="center" wrapText="1"/>
    </xf>
    <xf numFmtId="0" fontId="47" fillId="24" borderId="0" xfId="4" applyFont="1" applyFill="1" applyAlignment="1">
      <alignment vertical="center" wrapText="1"/>
    </xf>
    <xf numFmtId="49" fontId="45" fillId="24" borderId="0" xfId="4" applyNumberFormat="1" applyFont="1" applyFill="1" applyAlignment="1">
      <alignment vertical="center" wrapText="1"/>
    </xf>
    <xf numFmtId="0" fontId="55" fillId="24" borderId="54" xfId="5" applyFont="1" applyFill="1" applyBorder="1" applyAlignment="1" applyProtection="1">
      <alignment horizontal="center" vertical="center" wrapText="1"/>
    </xf>
    <xf numFmtId="0" fontId="45" fillId="40" borderId="54" xfId="5" applyFont="1" applyFill="1" applyBorder="1" applyAlignment="1" applyProtection="1">
      <alignment horizontal="center" vertical="center" wrapText="1"/>
    </xf>
    <xf numFmtId="0" fontId="45" fillId="40" borderId="37" xfId="76" applyFont="1" applyFill="1" applyBorder="1" applyAlignment="1" applyProtection="1">
      <alignment horizontal="center" vertical="center" wrapText="1"/>
    </xf>
    <xf numFmtId="0" fontId="45" fillId="40" borderId="37" xfId="76" applyFont="1" applyFill="1" applyBorder="1" applyAlignment="1" applyProtection="1">
      <alignment horizontal="left" vertical="center" wrapText="1"/>
    </xf>
    <xf numFmtId="164" fontId="81" fillId="40" borderId="35" xfId="118" applyNumberFormat="1" applyFont="1" applyFill="1" applyBorder="1" applyAlignment="1">
      <alignment horizontal="center" vertical="center" wrapText="1"/>
    </xf>
    <xf numFmtId="0" fontId="45" fillId="24" borderId="37" xfId="76" applyFont="1" applyFill="1" applyBorder="1" applyAlignment="1" applyProtection="1">
      <alignment vertical="center" wrapText="1"/>
    </xf>
    <xf numFmtId="0" fontId="45" fillId="24" borderId="54" xfId="5" applyFont="1" applyFill="1" applyBorder="1" applyAlignment="1" applyProtection="1">
      <alignment horizontal="center" vertical="center"/>
    </xf>
    <xf numFmtId="0" fontId="55" fillId="40" borderId="54" xfId="5" applyFont="1" applyFill="1" applyBorder="1" applyAlignment="1" applyProtection="1">
      <alignment horizontal="center" vertical="center"/>
    </xf>
    <xf numFmtId="0" fontId="45" fillId="40" borderId="37" xfId="76" applyFont="1" applyFill="1" applyBorder="1" applyAlignment="1" applyProtection="1">
      <alignment vertical="center" wrapText="1"/>
    </xf>
    <xf numFmtId="0" fontId="47" fillId="0" borderId="0" xfId="4" applyFont="1" applyFill="1" applyAlignment="1">
      <alignment vertical="center" wrapText="1"/>
    </xf>
    <xf numFmtId="49" fontId="45" fillId="0" borderId="0" xfId="4" applyNumberFormat="1" applyFont="1" applyFill="1" applyAlignment="1">
      <alignment vertical="center" wrapText="1"/>
    </xf>
    <xf numFmtId="0" fontId="45" fillId="0" borderId="54" xfId="5" applyFont="1" applyFill="1" applyBorder="1" applyAlignment="1" applyProtection="1">
      <alignment horizontal="center" vertical="center"/>
    </xf>
    <xf numFmtId="0" fontId="45" fillId="0" borderId="37" xfId="76" applyFont="1" applyFill="1" applyBorder="1" applyAlignment="1" applyProtection="1">
      <alignment vertical="center" wrapText="1"/>
    </xf>
    <xf numFmtId="0" fontId="45" fillId="0" borderId="91" xfId="5" applyFont="1" applyFill="1" applyBorder="1" applyAlignment="1" applyProtection="1">
      <alignment horizontal="center" vertical="center"/>
    </xf>
    <xf numFmtId="0" fontId="82" fillId="31" borderId="54" xfId="5" applyFont="1" applyFill="1" applyBorder="1" applyAlignment="1" applyProtection="1">
      <alignment horizontal="center" vertical="center" wrapText="1"/>
    </xf>
    <xf numFmtId="0" fontId="45" fillId="0" borderId="35" xfId="76" applyFont="1" applyFill="1" applyBorder="1" applyAlignment="1" applyProtection="1">
      <alignment horizontal="center" vertical="center" wrapText="1"/>
    </xf>
    <xf numFmtId="0" fontId="45" fillId="0" borderId="2" xfId="119" applyFont="1" applyBorder="1" applyAlignment="1">
      <alignment horizontal="left" vertical="center"/>
    </xf>
    <xf numFmtId="0" fontId="45" fillId="0" borderId="35" xfId="119" applyFont="1" applyBorder="1" applyAlignment="1">
      <alignment horizontal="center" vertical="center"/>
    </xf>
    <xf numFmtId="0" fontId="45" fillId="0" borderId="35" xfId="76" applyFont="1" applyFill="1" applyBorder="1" applyAlignment="1" applyProtection="1">
      <alignment horizontal="left" vertical="center" wrapText="1"/>
    </xf>
    <xf numFmtId="0" fontId="45" fillId="40" borderId="35" xfId="76" applyFont="1" applyFill="1" applyBorder="1" applyAlignment="1" applyProtection="1">
      <alignment horizontal="center" vertical="center" wrapText="1"/>
    </xf>
    <xf numFmtId="0" fontId="45" fillId="40" borderId="35" xfId="76" applyFont="1" applyFill="1" applyBorder="1" applyAlignment="1" applyProtection="1">
      <alignment horizontal="left" vertical="center" wrapText="1"/>
    </xf>
    <xf numFmtId="0" fontId="48" fillId="4" borderId="92" xfId="76" applyFont="1" applyFill="1" applyBorder="1" applyAlignment="1" applyProtection="1">
      <alignment horizontal="center" vertical="center" wrapText="1"/>
    </xf>
    <xf numFmtId="0" fontId="48" fillId="4" borderId="92" xfId="76" applyFont="1" applyFill="1" applyBorder="1" applyAlignment="1" applyProtection="1">
      <alignment horizontal="left" vertical="center" wrapText="1"/>
    </xf>
    <xf numFmtId="164" fontId="81" fillId="4" borderId="93" xfId="118" applyNumberFormat="1" applyFont="1" applyFill="1" applyBorder="1" applyAlignment="1">
      <alignment horizontal="center" vertical="center" wrapText="1"/>
    </xf>
    <xf numFmtId="0" fontId="54" fillId="0" borderId="18" xfId="76" applyFont="1" applyFill="1" applyBorder="1" applyAlignment="1" applyProtection="1">
      <alignment horizontal="center" vertical="center" wrapText="1"/>
    </xf>
    <xf numFmtId="0" fontId="54" fillId="0" borderId="18" xfId="76" applyFont="1" applyFill="1" applyBorder="1" applyAlignment="1" applyProtection="1">
      <alignment horizontal="left" vertical="center" wrapText="1"/>
    </xf>
    <xf numFmtId="0" fontId="48" fillId="0" borderId="54" xfId="5" applyFont="1" applyFill="1" applyBorder="1" applyAlignment="1" applyProtection="1">
      <alignment horizontal="center" vertical="center" wrapText="1"/>
    </xf>
    <xf numFmtId="0" fontId="48" fillId="0" borderId="56" xfId="5" applyFont="1" applyFill="1" applyBorder="1" applyAlignment="1" applyProtection="1">
      <alignment horizontal="center" vertical="center" wrapText="1"/>
    </xf>
    <xf numFmtId="0" fontId="45" fillId="39" borderId="51" xfId="5" applyFont="1" applyFill="1" applyBorder="1" applyAlignment="1" applyProtection="1">
      <alignment horizontal="center" vertical="center" wrapText="1"/>
    </xf>
    <xf numFmtId="0" fontId="48" fillId="39" borderId="30" xfId="76" applyFont="1" applyFill="1" applyBorder="1" applyAlignment="1" applyProtection="1">
      <alignment horizontal="center" vertical="center" wrapText="1"/>
    </xf>
    <xf numFmtId="0" fontId="48" fillId="39" borderId="30" xfId="76" applyFont="1" applyFill="1" applyBorder="1" applyAlignment="1" applyProtection="1">
      <alignment horizontal="left" vertical="center" wrapText="1"/>
    </xf>
    <xf numFmtId="164" fontId="81" fillId="39" borderId="33" xfId="118" applyNumberFormat="1" applyFont="1" applyFill="1" applyBorder="1" applyAlignment="1">
      <alignment horizontal="center" vertical="center" wrapText="1"/>
    </xf>
    <xf numFmtId="0" fontId="45" fillId="38" borderId="60" xfId="5" applyFont="1" applyFill="1" applyBorder="1" applyAlignment="1" applyProtection="1">
      <alignment horizontal="center" vertical="center" wrapText="1"/>
    </xf>
    <xf numFmtId="0" fontId="48" fillId="38" borderId="92" xfId="76" applyFont="1" applyFill="1" applyBorder="1" applyAlignment="1" applyProtection="1">
      <alignment horizontal="left" vertical="center" wrapText="1"/>
    </xf>
    <xf numFmtId="164" fontId="81" fillId="38" borderId="93" xfId="118" applyNumberFormat="1" applyFont="1" applyFill="1" applyBorder="1" applyAlignment="1">
      <alignment horizontal="center" vertical="center" wrapText="1"/>
    </xf>
    <xf numFmtId="0" fontId="48" fillId="24" borderId="37" xfId="76" applyFont="1" applyFill="1" applyBorder="1" applyAlignment="1" applyProtection="1">
      <alignment horizontal="center" vertical="center" wrapText="1"/>
    </xf>
    <xf numFmtId="0" fontId="48" fillId="24" borderId="37" xfId="76" applyFont="1" applyFill="1" applyBorder="1" applyAlignment="1" applyProtection="1">
      <alignment horizontal="left" vertical="center" wrapText="1"/>
    </xf>
    <xf numFmtId="0" fontId="45" fillId="0" borderId="91" xfId="5" applyFont="1" applyFill="1" applyBorder="1" applyAlignment="1" applyProtection="1">
      <alignment horizontal="center" vertical="center" wrapText="1"/>
    </xf>
    <xf numFmtId="0" fontId="48" fillId="24" borderId="18" xfId="76" applyFont="1" applyFill="1" applyBorder="1" applyAlignment="1" applyProtection="1">
      <alignment horizontal="center" vertical="center" wrapText="1"/>
    </xf>
    <xf numFmtId="0" fontId="48" fillId="24" borderId="18" xfId="76" applyFont="1" applyFill="1" applyBorder="1" applyAlignment="1" applyProtection="1">
      <alignment horizontal="left" vertical="center" wrapText="1"/>
    </xf>
    <xf numFmtId="0" fontId="45" fillId="38" borderId="60" xfId="5" applyFont="1" applyFill="1" applyBorder="1" applyAlignment="1">
      <alignment horizontal="center" vertical="center" wrapText="1"/>
    </xf>
    <xf numFmtId="0" fontId="48" fillId="0" borderId="37" xfId="76" applyFont="1" applyFill="1" applyBorder="1" applyAlignment="1" applyProtection="1">
      <alignment horizontal="center" vertical="center" wrapText="1"/>
    </xf>
    <xf numFmtId="0" fontId="48" fillId="0" borderId="37" xfId="76" applyFont="1" applyFill="1" applyBorder="1" applyAlignment="1" applyProtection="1">
      <alignment horizontal="left" vertical="center" wrapText="1"/>
    </xf>
    <xf numFmtId="0" fontId="45" fillId="4" borderId="54" xfId="5" applyFont="1" applyFill="1" applyBorder="1" applyAlignment="1">
      <alignment horizontal="center" vertical="center" wrapText="1"/>
    </xf>
    <xf numFmtId="0" fontId="45" fillId="31" borderId="54" xfId="5" applyFont="1" applyFill="1" applyBorder="1" applyAlignment="1">
      <alignment horizontal="center" vertical="center" wrapText="1"/>
    </xf>
    <xf numFmtId="0" fontId="48" fillId="0" borderId="18" xfId="76" applyFont="1" applyFill="1" applyBorder="1" applyAlignment="1" applyProtection="1">
      <alignment horizontal="center" vertical="center" wrapText="1"/>
    </xf>
    <xf numFmtId="0" fontId="48" fillId="0" borderId="18" xfId="76" applyFont="1" applyFill="1" applyBorder="1" applyAlignment="1" applyProtection="1">
      <alignment horizontal="left" vertical="center" wrapText="1"/>
    </xf>
    <xf numFmtId="0" fontId="54" fillId="24" borderId="37" xfId="76" applyFont="1" applyFill="1" applyBorder="1" applyAlignment="1" applyProtection="1">
      <alignment horizontal="center" vertical="center" wrapText="1"/>
    </xf>
    <xf numFmtId="0" fontId="54" fillId="24" borderId="37" xfId="76" applyFont="1" applyFill="1" applyBorder="1" applyAlignment="1" applyProtection="1">
      <alignment horizontal="left" vertical="center" wrapText="1"/>
    </xf>
    <xf numFmtId="0" fontId="54" fillId="0" borderId="6" xfId="76" applyFont="1" applyFill="1" applyBorder="1" applyAlignment="1" applyProtection="1">
      <alignment horizontal="center" vertical="center" wrapText="1"/>
    </xf>
    <xf numFmtId="0" fontId="54" fillId="0" borderId="37" xfId="76" applyFont="1" applyFill="1" applyBorder="1" applyAlignment="1" applyProtection="1">
      <alignment vertical="center" wrapText="1"/>
    </xf>
    <xf numFmtId="0" fontId="54" fillId="0" borderId="8" xfId="76" applyFont="1" applyFill="1" applyBorder="1" applyAlignment="1" applyProtection="1">
      <alignment horizontal="center" vertical="center" wrapText="1"/>
    </xf>
    <xf numFmtId="0" fontId="54" fillId="0" borderId="8" xfId="76" applyFont="1" applyFill="1" applyBorder="1" applyAlignment="1" applyProtection="1">
      <alignment horizontal="left" vertical="center" wrapText="1"/>
    </xf>
    <xf numFmtId="0" fontId="45" fillId="0" borderId="35" xfId="5" applyFont="1" applyFill="1" applyBorder="1" applyAlignment="1" applyProtection="1">
      <alignment horizontal="center" vertical="center" wrapText="1"/>
    </xf>
    <xf numFmtId="0" fontId="54" fillId="0" borderId="35" xfId="76" applyFont="1" applyFill="1" applyBorder="1" applyAlignment="1" applyProtection="1">
      <alignment horizontal="center" vertical="center" wrapText="1"/>
    </xf>
    <xf numFmtId="0" fontId="54" fillId="0" borderId="35" xfId="76" applyFont="1" applyFill="1" applyBorder="1" applyAlignment="1" applyProtection="1">
      <alignment horizontal="left" vertical="center" wrapText="1"/>
    </xf>
    <xf numFmtId="0" fontId="48" fillId="38" borderId="92" xfId="76" applyFont="1" applyFill="1" applyBorder="1" applyAlignment="1" applyProtection="1">
      <alignment horizontal="center" vertical="center" wrapText="1"/>
    </xf>
    <xf numFmtId="0" fontId="45" fillId="38" borderId="54" xfId="5" applyFont="1" applyFill="1" applyBorder="1" applyAlignment="1" applyProtection="1">
      <alignment horizontal="center" vertical="center" wrapText="1"/>
    </xf>
    <xf numFmtId="0" fontId="48" fillId="38" borderId="37" xfId="76" applyFont="1" applyFill="1" applyBorder="1" applyAlignment="1" applyProtection="1">
      <alignment horizontal="center" vertical="center" wrapText="1"/>
    </xf>
    <xf numFmtId="0" fontId="48" fillId="24" borderId="54" xfId="5" applyFont="1" applyFill="1" applyBorder="1" applyAlignment="1" applyProtection="1">
      <alignment horizontal="center" vertical="center" wrapText="1"/>
    </xf>
    <xf numFmtId="0" fontId="54" fillId="24" borderId="6" xfId="76" applyFont="1" applyFill="1" applyBorder="1" applyAlignment="1" applyProtection="1">
      <alignment horizontal="center" vertical="center" wrapText="1"/>
    </xf>
    <xf numFmtId="0" fontId="54" fillId="24" borderId="37" xfId="76" applyFont="1" applyFill="1" applyBorder="1" applyAlignment="1" applyProtection="1">
      <alignment vertical="center" wrapText="1"/>
    </xf>
    <xf numFmtId="0" fontId="48" fillId="0" borderId="91" xfId="5" applyFont="1" applyFill="1" applyBorder="1" applyAlignment="1" applyProtection="1">
      <alignment horizontal="center" vertical="center"/>
    </xf>
    <xf numFmtId="0" fontId="48" fillId="24" borderId="6" xfId="76" applyFont="1" applyFill="1" applyBorder="1" applyAlignment="1" applyProtection="1">
      <alignment horizontal="center" vertical="center" wrapText="1"/>
    </xf>
    <xf numFmtId="0" fontId="48" fillId="0" borderId="37" xfId="76" applyFont="1" applyFill="1" applyBorder="1" applyAlignment="1" applyProtection="1">
      <alignment vertical="center" wrapText="1"/>
    </xf>
    <xf numFmtId="0" fontId="48" fillId="24" borderId="54" xfId="5" applyFont="1" applyFill="1" applyBorder="1" applyAlignment="1" applyProtection="1">
      <alignment horizontal="center" vertical="center"/>
    </xf>
    <xf numFmtId="0" fontId="45" fillId="24" borderId="54" xfId="5" applyFont="1" applyFill="1" applyBorder="1" applyAlignment="1">
      <alignment horizontal="center" vertical="center"/>
    </xf>
    <xf numFmtId="0" fontId="45" fillId="24" borderId="6" xfId="76" applyFont="1" applyFill="1" applyBorder="1" applyAlignment="1" applyProtection="1">
      <alignment horizontal="center" vertical="center" wrapText="1"/>
    </xf>
    <xf numFmtId="0" fontId="45" fillId="24" borderId="54" xfId="5" applyFont="1" applyFill="1" applyBorder="1" applyAlignment="1">
      <alignment horizontal="center" vertical="center" wrapText="1"/>
    </xf>
    <xf numFmtId="0" fontId="54" fillId="0" borderId="35" xfId="119" applyFont="1" applyBorder="1" applyAlignment="1">
      <alignment vertical="center"/>
    </xf>
    <xf numFmtId="0" fontId="54" fillId="0" borderId="35" xfId="119" applyFont="1" applyBorder="1" applyAlignment="1">
      <alignment horizontal="center" vertical="center" wrapText="1"/>
    </xf>
    <xf numFmtId="0" fontId="54" fillId="0" borderId="35" xfId="119" applyFont="1" applyBorder="1" applyAlignment="1">
      <alignment vertical="center" wrapText="1"/>
    </xf>
    <xf numFmtId="0" fontId="48" fillId="0" borderId="54" xfId="5" applyFont="1" applyFill="1" applyBorder="1" applyAlignment="1">
      <alignment horizontal="center" vertical="center" wrapText="1"/>
    </xf>
    <xf numFmtId="0" fontId="48" fillId="0" borderId="91" xfId="5" applyFont="1" applyFill="1" applyBorder="1" applyAlignment="1" applyProtection="1">
      <alignment horizontal="center" vertical="center" wrapText="1"/>
    </xf>
    <xf numFmtId="0" fontId="48" fillId="39" borderId="49" xfId="76" applyFont="1" applyFill="1" applyBorder="1" applyAlignment="1" applyProtection="1">
      <alignment horizontal="center" vertical="center" wrapText="1"/>
    </xf>
    <xf numFmtId="0" fontId="48" fillId="39" borderId="49" xfId="76" applyFont="1" applyFill="1" applyBorder="1" applyAlignment="1" applyProtection="1">
      <alignment horizontal="left" vertical="center" wrapText="1"/>
    </xf>
    <xf numFmtId="164" fontId="81" fillId="39" borderId="94" xfId="118" applyNumberFormat="1" applyFont="1" applyFill="1" applyBorder="1" applyAlignment="1">
      <alignment horizontal="center" vertical="center" wrapText="1"/>
    </xf>
    <xf numFmtId="164" fontId="81" fillId="0" borderId="36" xfId="118" applyNumberFormat="1" applyFont="1" applyBorder="1" applyAlignment="1">
      <alignment horizontal="center" vertical="center" wrapText="1"/>
    </xf>
    <xf numFmtId="49" fontId="47" fillId="23" borderId="0" xfId="4" applyNumberFormat="1" applyFont="1" applyFill="1" applyAlignment="1">
      <alignment vertical="center"/>
    </xf>
    <xf numFmtId="0" fontId="45" fillId="24" borderId="0" xfId="4" applyFont="1" applyFill="1" applyAlignment="1">
      <alignment vertical="center"/>
    </xf>
    <xf numFmtId="0" fontId="6" fillId="35" borderId="95" xfId="5" applyFont="1" applyFill="1" applyBorder="1" applyAlignment="1" applyProtection="1">
      <alignment horizontal="center" vertical="center" wrapText="1"/>
    </xf>
    <xf numFmtId="0" fontId="78" fillId="0" borderId="0" xfId="4" applyFont="1" applyFill="1" applyAlignment="1">
      <alignment vertical="center"/>
    </xf>
    <xf numFmtId="43" fontId="72" fillId="0" borderId="11" xfId="1" applyFont="1" applyBorder="1" applyAlignment="1">
      <alignment horizontal="center" vertical="center" wrapText="1"/>
    </xf>
    <xf numFmtId="43" fontId="60" fillId="14" borderId="96" xfId="1" applyFont="1" applyFill="1" applyBorder="1" applyAlignment="1">
      <alignment horizontal="center" vertical="center"/>
    </xf>
    <xf numFmtId="0" fontId="7" fillId="0" borderId="0" xfId="79"/>
    <xf numFmtId="0" fontId="84" fillId="5" borderId="97" xfId="129" applyNumberFormat="1" applyFont="1" applyFill="1" applyBorder="1" applyAlignment="1">
      <alignment horizontal="right" vertical="center"/>
    </xf>
    <xf numFmtId="43" fontId="85" fillId="0" borderId="97" xfId="1" applyFont="1" applyFill="1" applyBorder="1" applyAlignment="1">
      <alignment horizontal="right" vertical="center"/>
    </xf>
    <xf numFmtId="43" fontId="86" fillId="0" borderId="97" xfId="1" applyFont="1" applyFill="1" applyBorder="1" applyAlignment="1">
      <alignment horizontal="right" vertical="center"/>
    </xf>
    <xf numFmtId="0" fontId="86" fillId="41" borderId="97" xfId="129" applyFont="1" applyFill="1" applyBorder="1" applyAlignment="1">
      <alignment vertical="center"/>
    </xf>
    <xf numFmtId="0" fontId="86" fillId="41" borderId="97" xfId="129" applyFont="1" applyFill="1" applyBorder="1" applyAlignment="1">
      <alignment horizontal="center" vertical="center"/>
    </xf>
    <xf numFmtId="43" fontId="87" fillId="41" borderId="97" xfId="1" applyFont="1" applyFill="1" applyBorder="1" applyAlignment="1">
      <alignment horizontal="right" vertical="center"/>
    </xf>
    <xf numFmtId="43" fontId="88" fillId="41" borderId="97" xfId="1" applyFont="1" applyFill="1" applyBorder="1" applyAlignment="1">
      <alignment horizontal="right" vertical="center"/>
    </xf>
    <xf numFmtId="0" fontId="86" fillId="0" borderId="97" xfId="129" applyFont="1" applyFill="1" applyBorder="1" applyAlignment="1">
      <alignment vertical="center"/>
    </xf>
    <xf numFmtId="175" fontId="86" fillId="0" borderId="97" xfId="1" applyNumberFormat="1" applyFont="1" applyFill="1" applyBorder="1" applyAlignment="1">
      <alignment horizontal="right" vertical="center"/>
    </xf>
    <xf numFmtId="0" fontId="67" fillId="7" borderId="97" xfId="129" applyFont="1" applyFill="1" applyBorder="1" applyAlignment="1">
      <alignment horizontal="left" vertical="center"/>
    </xf>
    <xf numFmtId="0" fontId="84" fillId="0" borderId="97" xfId="129" applyFont="1" applyFill="1" applyBorder="1" applyAlignment="1">
      <alignment vertical="center"/>
    </xf>
    <xf numFmtId="0" fontId="84" fillId="0" borderId="97" xfId="129" applyFont="1" applyFill="1" applyBorder="1" applyAlignment="1">
      <alignment horizontal="left" vertical="center"/>
    </xf>
    <xf numFmtId="37" fontId="86" fillId="41" borderId="97" xfId="130" applyNumberFormat="1" applyFont="1" applyFill="1" applyBorder="1" applyAlignment="1">
      <alignment horizontal="center" vertical="center"/>
    </xf>
    <xf numFmtId="4" fontId="7" fillId="0" borderId="0" xfId="79" applyNumberFormat="1"/>
    <xf numFmtId="3" fontId="7" fillId="0" borderId="0" xfId="79" applyNumberFormat="1"/>
    <xf numFmtId="0" fontId="90" fillId="0" borderId="97" xfId="129" applyFont="1" applyFill="1" applyBorder="1" applyAlignment="1">
      <alignment vertical="center"/>
    </xf>
    <xf numFmtId="3" fontId="7" fillId="0" borderId="0" xfId="79" applyNumberFormat="1" applyFont="1"/>
    <xf numFmtId="0" fontId="91" fillId="14" borderId="97" xfId="129" applyFont="1" applyFill="1" applyBorder="1" applyAlignment="1">
      <alignment vertical="center"/>
    </xf>
    <xf numFmtId="0" fontId="92" fillId="0" borderId="97" xfId="129" applyFont="1" applyBorder="1" applyAlignment="1">
      <alignment vertical="center"/>
    </xf>
    <xf numFmtId="0" fontId="90" fillId="0" borderId="97" xfId="129" applyFont="1" applyFill="1" applyBorder="1" applyAlignment="1">
      <alignment horizontal="left" vertical="center" wrapText="1"/>
    </xf>
    <xf numFmtId="0" fontId="90" fillId="0" borderId="97" xfId="129" applyFont="1" applyFill="1" applyBorder="1" applyAlignment="1">
      <alignment horizontal="left" vertical="center"/>
    </xf>
    <xf numFmtId="0" fontId="7" fillId="0" borderId="0" xfId="79" applyFont="1" applyFill="1" applyAlignment="1">
      <alignment horizontal="right"/>
    </xf>
    <xf numFmtId="0" fontId="86" fillId="0" borderId="97" xfId="129" applyFont="1" applyFill="1" applyBorder="1" applyAlignment="1">
      <alignment horizontal="left" vertical="center"/>
    </xf>
    <xf numFmtId="0" fontId="86" fillId="0" borderId="97" xfId="129" applyFont="1" applyBorder="1" applyAlignment="1">
      <alignment vertical="center" wrapText="1"/>
    </xf>
    <xf numFmtId="0" fontId="84" fillId="0" borderId="97" xfId="129" applyFont="1" applyBorder="1" applyAlignment="1">
      <alignment vertical="center"/>
    </xf>
    <xf numFmtId="0" fontId="88" fillId="0" borderId="97" xfId="129" applyFont="1" applyFill="1" applyBorder="1" applyAlignment="1">
      <alignment horizontal="center" vertical="center"/>
    </xf>
    <xf numFmtId="0" fontId="84" fillId="0" borderId="97" xfId="129" applyFont="1" applyFill="1" applyBorder="1" applyAlignment="1">
      <alignment horizontal="center" vertical="center"/>
    </xf>
    <xf numFmtId="0" fontId="86" fillId="0" borderId="98" xfId="129" applyFont="1" applyFill="1" applyBorder="1" applyAlignment="1">
      <alignment horizontal="left" vertical="center"/>
    </xf>
    <xf numFmtId="0" fontId="86" fillId="0" borderId="98" xfId="129" applyFont="1" applyFill="1" applyBorder="1" applyAlignment="1">
      <alignment horizontal="center" vertical="center"/>
    </xf>
    <xf numFmtId="0" fontId="8" fillId="0" borderId="0" xfId="79" applyFont="1" applyAlignment="1">
      <alignment vertical="center"/>
    </xf>
    <xf numFmtId="20" fontId="8" fillId="0" borderId="0" xfId="79" applyNumberFormat="1" applyFont="1" applyBorder="1" applyAlignment="1">
      <alignment horizontal="center" vertical="center"/>
    </xf>
    <xf numFmtId="0" fontId="6" fillId="0" borderId="0" xfId="79" applyFont="1" applyBorder="1" applyAlignment="1">
      <alignment vertical="center"/>
    </xf>
    <xf numFmtId="0" fontId="10" fillId="0" borderId="0" xfId="79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3" fontId="11" fillId="0" borderId="0" xfId="79" applyNumberFormat="1" applyFont="1" applyFill="1" applyBorder="1" applyAlignment="1">
      <alignment horizontal="center" vertical="center"/>
    </xf>
    <xf numFmtId="175" fontId="10" fillId="0" borderId="3" xfId="1" quotePrefix="1" applyNumberFormat="1" applyFont="1" applyFill="1" applyBorder="1" applyAlignment="1" applyProtection="1">
      <alignment horizontal="center" vertical="center" wrapText="1"/>
    </xf>
    <xf numFmtId="3" fontId="10" fillId="0" borderId="7" xfId="2" quotePrefix="1" applyNumberFormat="1" applyFont="1" applyFill="1" applyBorder="1" applyAlignment="1" applyProtection="1">
      <alignment horizontal="center" vertical="center" wrapText="1"/>
    </xf>
    <xf numFmtId="0" fontId="8" fillId="0" borderId="0" xfId="79" applyFont="1" applyFill="1" applyAlignment="1">
      <alignment vertical="center"/>
    </xf>
    <xf numFmtId="0" fontId="6" fillId="0" borderId="13" xfId="79" applyFont="1" applyBorder="1" applyAlignment="1" applyProtection="1">
      <alignment horizontal="center" vertical="center" wrapText="1"/>
    </xf>
    <xf numFmtId="0" fontId="6" fillId="0" borderId="0" xfId="79" applyFont="1" applyBorder="1" applyAlignment="1" applyProtection="1">
      <alignment horizontal="center" vertical="center" wrapText="1"/>
    </xf>
    <xf numFmtId="174" fontId="6" fillId="0" borderId="9" xfId="117" applyFont="1" applyBorder="1" applyAlignment="1">
      <alignment horizontal="left" vertical="center"/>
    </xf>
    <xf numFmtId="166" fontId="10" fillId="0" borderId="9" xfId="79" applyNumberFormat="1" applyFont="1" applyBorder="1" applyAlignment="1" applyProtection="1">
      <alignment horizontal="right" vertical="center" wrapText="1"/>
    </xf>
    <xf numFmtId="166" fontId="10" fillId="0" borderId="0" xfId="79" applyNumberFormat="1" applyFont="1" applyBorder="1" applyAlignment="1" applyProtection="1">
      <alignment horizontal="right" vertical="center" wrapText="1"/>
    </xf>
    <xf numFmtId="3" fontId="10" fillId="0" borderId="11" xfId="1" applyNumberFormat="1" applyFont="1" applyBorder="1" applyAlignment="1" applyProtection="1">
      <alignment horizontal="right" vertical="center" wrapText="1"/>
    </xf>
    <xf numFmtId="175" fontId="10" fillId="0" borderId="11" xfId="1" applyNumberFormat="1" applyFont="1" applyBorder="1" applyAlignment="1" applyProtection="1">
      <alignment horizontal="right" vertical="center" wrapText="1"/>
    </xf>
    <xf numFmtId="10" fontId="10" fillId="0" borderId="12" xfId="3" applyNumberFormat="1" applyFont="1" applyFill="1" applyBorder="1" applyAlignment="1" applyProtection="1">
      <alignment horizontal="right" vertical="center" wrapText="1"/>
    </xf>
    <xf numFmtId="43" fontId="11" fillId="0" borderId="13" xfId="1" applyFont="1" applyBorder="1" applyAlignment="1" applyProtection="1">
      <alignment horizontal="center" vertical="center"/>
    </xf>
    <xf numFmtId="43" fontId="11" fillId="0" borderId="14" xfId="1" applyFont="1" applyBorder="1" applyAlignment="1" applyProtection="1">
      <alignment horizontal="left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3" fontId="15" fillId="0" borderId="15" xfId="1" applyNumberFormat="1" applyFont="1" applyFill="1" applyBorder="1" applyAlignment="1" applyProtection="1">
      <alignment horizontal="right" vertical="center"/>
    </xf>
    <xf numFmtId="3" fontId="15" fillId="0" borderId="15" xfId="1" applyNumberFormat="1" applyFont="1" applyBorder="1" applyAlignment="1" applyProtection="1">
      <alignment horizontal="right" vertical="center"/>
    </xf>
    <xf numFmtId="175" fontId="15" fillId="0" borderId="15" xfId="1" applyNumberFormat="1" applyFont="1" applyBorder="1" applyAlignment="1" applyProtection="1">
      <alignment horizontal="right" vertical="center"/>
    </xf>
    <xf numFmtId="10" fontId="15" fillId="0" borderId="16" xfId="3" applyNumberFormat="1" applyFont="1" applyFill="1" applyBorder="1" applyAlignment="1" applyProtection="1">
      <alignment horizontal="right" vertical="center"/>
    </xf>
    <xf numFmtId="0" fontId="11" fillId="0" borderId="0" xfId="79" applyFont="1" applyAlignment="1">
      <alignment vertical="center"/>
    </xf>
    <xf numFmtId="43" fontId="11" fillId="0" borderId="13" xfId="1" applyFont="1" applyBorder="1" applyAlignment="1">
      <alignment vertical="center"/>
    </xf>
    <xf numFmtId="43" fontId="11" fillId="0" borderId="0" xfId="1" applyFont="1" applyFill="1" applyBorder="1" applyAlignment="1" applyProtection="1">
      <alignment horizontal="left" vertical="center"/>
    </xf>
    <xf numFmtId="3" fontId="11" fillId="0" borderId="15" xfId="1" applyNumberFormat="1" applyFont="1" applyFill="1" applyBorder="1" applyAlignment="1" applyProtection="1">
      <alignment horizontal="right" vertical="center"/>
    </xf>
    <xf numFmtId="175" fontId="11" fillId="0" borderId="15" xfId="1" applyNumberFormat="1" applyFont="1" applyBorder="1" applyAlignment="1" applyProtection="1">
      <alignment horizontal="right" vertical="center"/>
    </xf>
    <xf numFmtId="164" fontId="11" fillId="0" borderId="0" xfId="79" applyNumberFormat="1" applyFont="1" applyAlignment="1">
      <alignment vertical="center"/>
    </xf>
    <xf numFmtId="43" fontId="10" fillId="0" borderId="0" xfId="1" applyFont="1" applyBorder="1" applyAlignment="1" applyProtection="1">
      <alignment horizontal="center" vertical="center"/>
    </xf>
    <xf numFmtId="43" fontId="13" fillId="0" borderId="0" xfId="1" applyFont="1" applyFill="1" applyBorder="1" applyAlignment="1" applyProtection="1">
      <alignment horizontal="left" vertical="center"/>
    </xf>
    <xf numFmtId="43" fontId="10" fillId="0" borderId="0" xfId="1" applyFont="1" applyBorder="1" applyAlignment="1" applyProtection="1">
      <alignment horizontal="right" vertical="center"/>
    </xf>
    <xf numFmtId="3" fontId="13" fillId="0" borderId="15" xfId="1" applyNumberFormat="1" applyFont="1" applyFill="1" applyBorder="1" applyAlignment="1" applyProtection="1">
      <alignment horizontal="right" vertical="center"/>
    </xf>
    <xf numFmtId="10" fontId="13" fillId="0" borderId="16" xfId="3" applyNumberFormat="1" applyFont="1" applyFill="1" applyBorder="1" applyAlignment="1" applyProtection="1">
      <alignment horizontal="right" vertical="center"/>
    </xf>
    <xf numFmtId="0" fontId="10" fillId="0" borderId="0" xfId="79" applyFont="1" applyAlignment="1">
      <alignment vertical="center"/>
    </xf>
    <xf numFmtId="43" fontId="10" fillId="0" borderId="13" xfId="1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3" fontId="10" fillId="0" borderId="15" xfId="1" applyNumberFormat="1" applyFont="1" applyFill="1" applyBorder="1" applyAlignment="1" applyProtection="1">
      <alignment horizontal="right" vertical="center"/>
    </xf>
    <xf numFmtId="166" fontId="10" fillId="0" borderId="0" xfId="79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166" fontId="11" fillId="0" borderId="0" xfId="79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43" fontId="15" fillId="0" borderId="13" xfId="1" applyFont="1" applyBorder="1" applyAlignment="1" applyProtection="1">
      <alignment horizontal="center" vertical="center"/>
    </xf>
    <xf numFmtId="43" fontId="15" fillId="0" borderId="0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left" vertical="center"/>
    </xf>
    <xf numFmtId="43" fontId="13" fillId="0" borderId="0" xfId="1" applyFont="1" applyBorder="1" applyAlignment="1">
      <alignment vertical="center"/>
    </xf>
    <xf numFmtId="43" fontId="13" fillId="0" borderId="0" xfId="1" applyFont="1" applyBorder="1" applyAlignment="1" applyProtection="1">
      <alignment horizontal="right" vertical="center"/>
    </xf>
    <xf numFmtId="0" fontId="13" fillId="0" borderId="0" xfId="79" applyFont="1" applyAlignment="1">
      <alignment vertical="center"/>
    </xf>
    <xf numFmtId="166" fontId="13" fillId="0" borderId="0" xfId="79" applyNumberFormat="1" applyFont="1" applyAlignment="1">
      <alignment vertical="center"/>
    </xf>
    <xf numFmtId="43" fontId="10" fillId="0" borderId="0" xfId="1" applyFont="1" applyBorder="1" applyAlignment="1" applyProtection="1">
      <alignment horizontal="left" vertical="center"/>
    </xf>
    <xf numFmtId="43" fontId="10" fillId="0" borderId="14" xfId="1" applyFont="1" applyFill="1" applyBorder="1" applyAlignment="1">
      <alignment vertical="center"/>
    </xf>
    <xf numFmtId="43" fontId="13" fillId="0" borderId="3" xfId="1" applyFont="1" applyBorder="1" applyAlignment="1" applyProtection="1">
      <alignment horizontal="center" vertical="center"/>
    </xf>
    <xf numFmtId="43" fontId="10" fillId="0" borderId="0" xfId="1" quotePrefix="1" applyFont="1" applyFill="1" applyBorder="1" applyAlignment="1" applyProtection="1">
      <alignment horizontal="left" vertical="center"/>
    </xf>
    <xf numFmtId="43" fontId="10" fillId="0" borderId="15" xfId="1" applyFont="1" applyBorder="1" applyAlignment="1" applyProtection="1">
      <alignment horizontal="right" vertical="center"/>
    </xf>
    <xf numFmtId="43" fontId="13" fillId="0" borderId="14" xfId="1" quotePrefix="1" applyFont="1" applyFill="1" applyBorder="1" applyAlignment="1" applyProtection="1">
      <alignment horizontal="left" vertical="center"/>
    </xf>
    <xf numFmtId="3" fontId="10" fillId="0" borderId="34" xfId="1" applyNumberFormat="1" applyFont="1" applyFill="1" applyBorder="1" applyAlignment="1" applyProtection="1">
      <alignment horizontal="right" vertical="center"/>
    </xf>
    <xf numFmtId="43" fontId="10" fillId="0" borderId="9" xfId="1" applyFont="1" applyBorder="1" applyAlignment="1" applyProtection="1">
      <alignment horizontal="right" vertical="center"/>
    </xf>
    <xf numFmtId="43" fontId="10" fillId="0" borderId="99" xfId="1" applyFont="1" applyBorder="1" applyAlignment="1" applyProtection="1">
      <alignment horizontal="right" vertical="center"/>
    </xf>
    <xf numFmtId="3" fontId="11" fillId="2" borderId="3" xfId="1" applyNumberFormat="1" applyFont="1" applyFill="1" applyBorder="1" applyAlignment="1" applyProtection="1">
      <alignment horizontal="right" vertical="center"/>
    </xf>
    <xf numFmtId="3" fontId="15" fillId="2" borderId="3" xfId="1" applyNumberFormat="1" applyFont="1" applyFill="1" applyBorder="1" applyAlignment="1" applyProtection="1">
      <alignment horizontal="right" vertical="center"/>
    </xf>
    <xf numFmtId="175" fontId="11" fillId="2" borderId="3" xfId="1" applyNumberFormat="1" applyFont="1" applyFill="1" applyBorder="1" applyAlignment="1" applyProtection="1">
      <alignment horizontal="right" vertical="center"/>
    </xf>
    <xf numFmtId="3" fontId="11" fillId="0" borderId="11" xfId="1" applyNumberFormat="1" applyFont="1" applyBorder="1" applyAlignment="1" applyProtection="1">
      <alignment horizontal="right" vertical="center"/>
    </xf>
    <xf numFmtId="175" fontId="11" fillId="0" borderId="11" xfId="1" applyNumberFormat="1" applyFont="1" applyBorder="1" applyAlignment="1" applyProtection="1">
      <alignment horizontal="right" vertical="center"/>
    </xf>
    <xf numFmtId="10" fontId="11" fillId="0" borderId="12" xfId="3" applyNumberFormat="1" applyFont="1" applyFill="1" applyBorder="1" applyAlignment="1" applyProtection="1">
      <alignment horizontal="right" vertical="center"/>
    </xf>
    <xf numFmtId="43" fontId="11" fillId="0" borderId="13" xfId="1" applyFont="1" applyBorder="1" applyAlignment="1" applyProtection="1">
      <alignment vertical="center"/>
    </xf>
    <xf numFmtId="43" fontId="11" fillId="0" borderId="14" xfId="1" applyFont="1" applyFill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15" fillId="0" borderId="14" xfId="1" applyFont="1" applyFill="1" applyBorder="1" applyAlignment="1" applyProtection="1">
      <alignment vertical="center"/>
    </xf>
    <xf numFmtId="43" fontId="10" fillId="0" borderId="0" xfId="1" applyFont="1" applyBorder="1" applyAlignment="1" applyProtection="1">
      <alignment vertical="center"/>
    </xf>
    <xf numFmtId="43" fontId="10" fillId="0" borderId="0" xfId="1" applyFont="1" applyFill="1" applyBorder="1" applyAlignment="1">
      <alignment horizontal="left" vertical="center"/>
    </xf>
    <xf numFmtId="43" fontId="10" fillId="0" borderId="0" xfId="1" applyFont="1" applyFill="1" applyBorder="1" applyAlignment="1">
      <alignment vertical="center"/>
    </xf>
    <xf numFmtId="177" fontId="10" fillId="0" borderId="100" xfId="1" applyNumberFormat="1" applyFont="1" applyFill="1" applyBorder="1" applyAlignment="1" applyProtection="1">
      <alignment vertical="center"/>
    </xf>
    <xf numFmtId="43" fontId="13" fillId="0" borderId="0" xfId="1" applyFont="1" applyBorder="1" applyAlignment="1" applyProtection="1">
      <alignment vertical="center"/>
    </xf>
    <xf numFmtId="177" fontId="10" fillId="0" borderId="100" xfId="1" applyNumberFormat="1" applyFont="1" applyBorder="1" applyAlignment="1" applyProtection="1">
      <alignment vertical="center"/>
    </xf>
    <xf numFmtId="43" fontId="10" fillId="0" borderId="0" xfId="1" applyFont="1" applyFill="1" applyBorder="1" applyAlignment="1" applyProtection="1">
      <alignment vertical="center"/>
    </xf>
    <xf numFmtId="43" fontId="13" fillId="0" borderId="0" xfId="1" applyFont="1" applyFill="1" applyBorder="1" applyAlignment="1" applyProtection="1">
      <alignment vertical="center" wrapText="1"/>
    </xf>
    <xf numFmtId="177" fontId="10" fillId="0" borderId="15" xfId="1" applyNumberFormat="1" applyFont="1" applyFill="1" applyBorder="1" applyAlignment="1" applyProtection="1">
      <alignment vertical="center"/>
    </xf>
    <xf numFmtId="43" fontId="10" fillId="0" borderId="0" xfId="1" applyFont="1" applyFill="1" applyBorder="1" applyAlignment="1" applyProtection="1">
      <alignment vertical="center" wrapText="1"/>
    </xf>
    <xf numFmtId="3" fontId="10" fillId="0" borderId="15" xfId="1" applyNumberFormat="1" applyFont="1" applyBorder="1" applyAlignment="1" applyProtection="1">
      <alignment horizontal="right" vertical="center"/>
    </xf>
    <xf numFmtId="177" fontId="10" fillId="0" borderId="101" xfId="1" applyNumberFormat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/>
    </xf>
    <xf numFmtId="3" fontId="11" fillId="0" borderId="15" xfId="1" applyNumberFormat="1" applyFont="1" applyBorder="1" applyAlignment="1" applyProtection="1">
      <alignment horizontal="right" vertical="center"/>
    </xf>
    <xf numFmtId="43" fontId="13" fillId="0" borderId="0" xfId="1" applyFont="1" applyFill="1" applyBorder="1" applyAlignment="1" applyProtection="1">
      <alignment vertical="center"/>
    </xf>
    <xf numFmtId="3" fontId="11" fillId="0" borderId="15" xfId="1" applyNumberFormat="1" applyFont="1" applyFill="1" applyBorder="1" applyAlignment="1">
      <alignment horizontal="right" vertical="center"/>
    </xf>
    <xf numFmtId="3" fontId="11" fillId="0" borderId="15" xfId="1" applyNumberFormat="1" applyFont="1" applyBorder="1" applyAlignment="1">
      <alignment horizontal="right" vertical="center"/>
    </xf>
    <xf numFmtId="43" fontId="96" fillId="0" borderId="0" xfId="1" applyFont="1" applyBorder="1" applyAlignment="1" applyProtection="1">
      <alignment vertical="center"/>
    </xf>
    <xf numFmtId="43" fontId="11" fillId="0" borderId="9" xfId="1" applyFont="1" applyBorder="1" applyAlignment="1" applyProtection="1">
      <alignment vertical="center"/>
    </xf>
    <xf numFmtId="43" fontId="11" fillId="0" borderId="14" xfId="1" applyFont="1" applyBorder="1" applyAlignment="1" applyProtection="1">
      <alignment vertical="center"/>
    </xf>
    <xf numFmtId="3" fontId="11" fillId="0" borderId="14" xfId="1" applyNumberFormat="1" applyFont="1" applyBorder="1" applyAlignment="1" applyProtection="1">
      <alignment vertical="center"/>
    </xf>
    <xf numFmtId="43" fontId="11" fillId="0" borderId="99" xfId="1" applyFont="1" applyBorder="1" applyAlignment="1" applyProtection="1">
      <alignment vertical="center"/>
    </xf>
    <xf numFmtId="43" fontId="11" fillId="0" borderId="13" xfId="1" applyFont="1" applyFill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alignment vertical="center"/>
    </xf>
    <xf numFmtId="175" fontId="10" fillId="0" borderId="15" xfId="1" applyNumberFormat="1" applyFont="1" applyBorder="1" applyAlignment="1" applyProtection="1">
      <alignment horizontal="right" vertical="center"/>
    </xf>
    <xf numFmtId="0" fontId="11" fillId="0" borderId="0" xfId="79" applyFont="1" applyFill="1" applyBorder="1" applyAlignment="1">
      <alignment vertical="center"/>
    </xf>
    <xf numFmtId="166" fontId="11" fillId="0" borderId="0" xfId="79" applyNumberFormat="1" applyFont="1" applyFill="1" applyBorder="1" applyAlignment="1">
      <alignment vertical="center"/>
    </xf>
    <xf numFmtId="3" fontId="11" fillId="2" borderId="21" xfId="1" applyNumberFormat="1" applyFont="1" applyFill="1" applyBorder="1" applyAlignment="1" applyProtection="1">
      <alignment horizontal="right" vertical="center"/>
    </xf>
    <xf numFmtId="175" fontId="11" fillId="2" borderId="21" xfId="1" applyNumberFormat="1" applyFont="1" applyFill="1" applyBorder="1" applyAlignment="1" applyProtection="1">
      <alignment horizontal="right" vertical="center"/>
    </xf>
    <xf numFmtId="164" fontId="11" fillId="0" borderId="0" xfId="79" applyNumberFormat="1" applyFont="1" applyFill="1" applyAlignment="1">
      <alignment vertical="center"/>
    </xf>
    <xf numFmtId="0" fontId="11" fillId="0" borderId="0" xfId="79" applyFont="1" applyFill="1" applyAlignment="1">
      <alignment vertical="center"/>
    </xf>
    <xf numFmtId="166" fontId="11" fillId="0" borderId="0" xfId="79" applyNumberFormat="1" applyFont="1" applyFill="1" applyAlignment="1">
      <alignment vertical="center"/>
    </xf>
    <xf numFmtId="43" fontId="10" fillId="0" borderId="14" xfId="1" applyFont="1" applyFill="1" applyBorder="1" applyAlignment="1" applyProtection="1">
      <alignment vertical="center"/>
    </xf>
    <xf numFmtId="3" fontId="11" fillId="2" borderId="103" xfId="1" applyNumberFormat="1" applyFont="1" applyFill="1" applyBorder="1" applyAlignment="1" applyProtection="1">
      <alignment horizontal="right" vertical="center"/>
    </xf>
    <xf numFmtId="175" fontId="11" fillId="2" borderId="103" xfId="1" applyNumberFormat="1" applyFont="1" applyFill="1" applyBorder="1" applyAlignment="1" applyProtection="1">
      <alignment horizontal="right" vertical="center"/>
    </xf>
    <xf numFmtId="10" fontId="11" fillId="4" borderId="59" xfId="3" applyNumberFormat="1" applyFont="1" applyFill="1" applyBorder="1" applyAlignment="1" applyProtection="1">
      <alignment horizontal="right" vertical="center"/>
    </xf>
    <xf numFmtId="3" fontId="11" fillId="0" borderId="0" xfId="1" applyNumberFormat="1" applyFont="1" applyFill="1" applyBorder="1" applyAlignment="1" applyProtection="1">
      <alignment horizontal="left" vertical="center"/>
    </xf>
    <xf numFmtId="3" fontId="10" fillId="0" borderId="0" xfId="1" applyNumberFormat="1" applyFont="1" applyFill="1" applyBorder="1" applyAlignment="1" applyProtection="1">
      <alignment horizontal="right" vertical="center"/>
    </xf>
    <xf numFmtId="3" fontId="10" fillId="0" borderId="0" xfId="2" applyNumberFormat="1" applyFont="1" applyFill="1" applyBorder="1" applyAlignment="1" applyProtection="1">
      <alignment horizontal="right" vertical="center"/>
    </xf>
    <xf numFmtId="0" fontId="10" fillId="0" borderId="0" xfId="79" applyFont="1" applyFill="1" applyAlignment="1">
      <alignment vertical="center"/>
    </xf>
    <xf numFmtId="166" fontId="10" fillId="0" borderId="0" xfId="79" applyNumberFormat="1" applyFont="1" applyFill="1" applyAlignment="1">
      <alignment vertical="center"/>
    </xf>
    <xf numFmtId="43" fontId="10" fillId="0" borderId="0" xfId="1" applyFont="1" applyBorder="1" applyAlignment="1">
      <alignment horizontal="center" vertical="center"/>
    </xf>
    <xf numFmtId="43" fontId="10" fillId="0" borderId="0" xfId="1" applyFont="1" applyBorder="1" applyAlignment="1">
      <alignment horizontal="right" vertical="center"/>
    </xf>
    <xf numFmtId="3" fontId="10" fillId="0" borderId="0" xfId="79" applyNumberFormat="1" applyFont="1" applyFill="1" applyBorder="1" applyAlignment="1">
      <alignment horizontal="right" vertical="center"/>
    </xf>
    <xf numFmtId="0" fontId="10" fillId="0" borderId="0" xfId="79" applyFont="1" applyBorder="1" applyAlignment="1">
      <alignment vertical="center"/>
    </xf>
    <xf numFmtId="43" fontId="8" fillId="0" borderId="0" xfId="1" applyFont="1" applyBorder="1" applyAlignment="1">
      <alignment horizontal="center" vertical="center"/>
    </xf>
    <xf numFmtId="43" fontId="6" fillId="0" borderId="0" xfId="1" applyFont="1" applyBorder="1" applyAlignment="1">
      <alignment vertical="center"/>
    </xf>
    <xf numFmtId="43" fontId="11" fillId="0" borderId="13" xfId="1" applyFont="1" applyBorder="1" applyAlignment="1" applyProtection="1">
      <alignment horizontal="center" vertical="center" wrapText="1"/>
    </xf>
    <xf numFmtId="43" fontId="11" fillId="0" borderId="0" xfId="1" applyFont="1" applyBorder="1" applyAlignment="1" applyProtection="1">
      <alignment horizontal="center" vertical="center" wrapText="1"/>
    </xf>
    <xf numFmtId="43" fontId="11" fillId="0" borderId="0" xfId="1" applyFont="1" applyFill="1" applyBorder="1" applyAlignment="1">
      <alignment horizontal="left" vertical="center"/>
    </xf>
    <xf numFmtId="43" fontId="10" fillId="0" borderId="9" xfId="1" applyFont="1" applyBorder="1" applyAlignment="1" applyProtection="1">
      <alignment horizontal="right" vertical="center" wrapText="1"/>
    </xf>
    <xf numFmtId="43" fontId="10" fillId="0" borderId="14" xfId="1" applyFont="1" applyBorder="1" applyAlignment="1" applyProtection="1">
      <alignment horizontal="right" vertical="center" wrapText="1"/>
    </xf>
    <xf numFmtId="3" fontId="10" fillId="0" borderId="14" xfId="1" applyNumberFormat="1" applyFont="1" applyBorder="1" applyAlignment="1" applyProtection="1">
      <alignment horizontal="right" vertical="center" wrapText="1"/>
    </xf>
    <xf numFmtId="3" fontId="10" fillId="0" borderId="15" xfId="1" applyNumberFormat="1" applyFont="1" applyBorder="1" applyAlignment="1" applyProtection="1">
      <alignment horizontal="right" vertical="center" wrapText="1"/>
    </xf>
    <xf numFmtId="43" fontId="10" fillId="0" borderId="15" xfId="1" applyFont="1" applyBorder="1" applyAlignment="1" applyProtection="1">
      <alignment horizontal="right" vertical="center" wrapText="1"/>
    </xf>
    <xf numFmtId="3" fontId="10" fillId="0" borderId="16" xfId="79" applyNumberFormat="1" applyFont="1" applyFill="1" applyBorder="1" applyAlignment="1" applyProtection="1">
      <alignment horizontal="right" vertical="center" wrapText="1"/>
    </xf>
    <xf numFmtId="3" fontId="11" fillId="0" borderId="14" xfId="1" applyNumberFormat="1" applyFont="1" applyBorder="1" applyAlignment="1" applyProtection="1">
      <alignment horizontal="right" vertical="center"/>
    </xf>
    <xf numFmtId="3" fontId="11" fillId="0" borderId="16" xfId="79" applyNumberFormat="1" applyFont="1" applyFill="1" applyBorder="1" applyAlignment="1" applyProtection="1">
      <alignment horizontal="right" vertical="center"/>
    </xf>
    <xf numFmtId="43" fontId="11" fillId="0" borderId="0" xfId="79" applyNumberFormat="1" applyFont="1" applyAlignment="1">
      <alignment vertical="center"/>
    </xf>
    <xf numFmtId="43" fontId="11" fillId="0" borderId="0" xfId="1" applyFont="1" applyBorder="1" applyAlignment="1" applyProtection="1">
      <alignment horizontal="left" vertical="center"/>
    </xf>
    <xf numFmtId="43" fontId="15" fillId="0" borderId="0" xfId="1" applyFont="1" applyFill="1" applyBorder="1" applyAlignment="1" applyProtection="1">
      <alignment horizontal="left" vertical="center"/>
    </xf>
    <xf numFmtId="2" fontId="13" fillId="0" borderId="16" xfId="3" applyNumberFormat="1" applyFont="1" applyFill="1" applyBorder="1" applyAlignment="1" applyProtection="1">
      <alignment horizontal="right" vertical="center"/>
    </xf>
    <xf numFmtId="175" fontId="11" fillId="4" borderId="3" xfId="1" applyNumberFormat="1" applyFont="1" applyFill="1" applyBorder="1" applyAlignment="1" applyProtection="1">
      <alignment horizontal="right" vertical="center"/>
    </xf>
    <xf numFmtId="43" fontId="11" fillId="0" borderId="13" xfId="1" applyFont="1" applyBorder="1" applyAlignment="1" applyProtection="1">
      <alignment horizontal="left" vertical="center"/>
    </xf>
    <xf numFmtId="43" fontId="11" fillId="0" borderId="9" xfId="1" applyFont="1" applyBorder="1" applyAlignment="1" applyProtection="1">
      <alignment horizontal="right" vertical="center"/>
    </xf>
    <xf numFmtId="43" fontId="11" fillId="0" borderId="99" xfId="1" applyFont="1" applyBorder="1" applyAlignment="1" applyProtection="1">
      <alignment horizontal="right" vertical="center"/>
    </xf>
    <xf numFmtId="43" fontId="11" fillId="0" borderId="13" xfId="1" quotePrefix="1" applyFont="1" applyBorder="1" applyAlignment="1" applyProtection="1">
      <alignment horizontal="left" vertical="center"/>
    </xf>
    <xf numFmtId="43" fontId="11" fillId="0" borderId="0" xfId="1" quotePrefix="1" applyFont="1" applyBorder="1" applyAlignment="1" applyProtection="1">
      <alignment horizontal="center" vertical="center"/>
    </xf>
    <xf numFmtId="3" fontId="11" fillId="0" borderId="11" xfId="1" applyNumberFormat="1" applyFont="1" applyBorder="1" applyAlignment="1">
      <alignment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7" xfId="1" applyFont="1" applyBorder="1" applyAlignment="1" applyProtection="1">
      <alignment horizontal="center" vertical="center"/>
    </xf>
    <xf numFmtId="3" fontId="15" fillId="0" borderId="14" xfId="1" applyNumberFormat="1" applyFont="1" applyBorder="1" applyAlignment="1" applyProtection="1">
      <alignment horizontal="center" vertical="center"/>
    </xf>
    <xf numFmtId="43" fontId="11" fillId="0" borderId="14" xfId="1" applyFont="1" applyFill="1" applyBorder="1" applyAlignment="1">
      <alignment horizontal="left" vertical="center"/>
    </xf>
    <xf numFmtId="175" fontId="11" fillId="0" borderId="15" xfId="1" applyNumberFormat="1" applyFont="1" applyFill="1" applyBorder="1" applyAlignment="1" applyProtection="1">
      <alignment horizontal="right" vertical="center"/>
    </xf>
    <xf numFmtId="3" fontId="11" fillId="0" borderId="14" xfId="1" applyNumberFormat="1" applyFont="1" applyFill="1" applyBorder="1" applyAlignment="1" applyProtection="1">
      <alignment horizontal="right" vertical="center"/>
    </xf>
    <xf numFmtId="175" fontId="10" fillId="0" borderId="15" xfId="1" applyNumberFormat="1" applyFont="1" applyFill="1" applyBorder="1" applyAlignment="1" applyProtection="1">
      <alignment horizontal="right" vertical="center"/>
    </xf>
    <xf numFmtId="43" fontId="10" fillId="0" borderId="14" xfId="1" applyFont="1" applyBorder="1" applyAlignment="1">
      <alignment horizontal="right" vertical="center"/>
    </xf>
    <xf numFmtId="43" fontId="15" fillId="0" borderId="14" xfId="1" applyFont="1" applyFill="1" applyBorder="1" applyAlignment="1" applyProtection="1">
      <alignment horizontal="left" vertical="center"/>
    </xf>
    <xf numFmtId="43" fontId="11" fillId="0" borderId="13" xfId="1" applyFont="1" applyBorder="1" applyAlignment="1">
      <alignment horizontal="center" vertical="center"/>
    </xf>
    <xf numFmtId="43" fontId="11" fillId="0" borderId="0" xfId="1" applyFont="1" applyBorder="1" applyAlignment="1">
      <alignment horizontal="left" vertical="center"/>
    </xf>
    <xf numFmtId="175" fontId="11" fillId="0" borderId="34" xfId="1" applyNumberFormat="1" applyFont="1" applyFill="1" applyBorder="1" applyAlignment="1" applyProtection="1">
      <alignment horizontal="right" vertical="center"/>
    </xf>
    <xf numFmtId="43" fontId="11" fillId="0" borderId="34" xfId="1" applyFont="1" applyBorder="1" applyAlignment="1" applyProtection="1">
      <alignment horizontal="right" vertical="center"/>
    </xf>
    <xf numFmtId="175" fontId="11" fillId="4" borderId="21" xfId="1" applyNumberFormat="1" applyFont="1" applyFill="1" applyBorder="1" applyAlignment="1" applyProtection="1">
      <alignment horizontal="right" vertical="center"/>
    </xf>
    <xf numFmtId="0" fontId="10" fillId="0" borderId="0" xfId="79" applyFont="1" applyAlignment="1">
      <alignment horizontal="center" vertical="center"/>
    </xf>
    <xf numFmtId="3" fontId="10" fillId="0" borderId="0" xfId="1" applyNumberFormat="1" applyFont="1" applyAlignment="1">
      <alignment vertical="center"/>
    </xf>
    <xf numFmtId="43" fontId="10" fillId="0" borderId="0" xfId="1" applyFont="1" applyAlignment="1">
      <alignment vertical="center"/>
    </xf>
    <xf numFmtId="3" fontId="10" fillId="0" borderId="0" xfId="79" applyNumberFormat="1" applyFont="1" applyFill="1" applyAlignment="1">
      <alignment vertical="center"/>
    </xf>
    <xf numFmtId="0" fontId="97" fillId="0" borderId="0" xfId="79" applyFont="1" applyFill="1" applyAlignment="1">
      <alignment vertical="center"/>
    </xf>
    <xf numFmtId="0" fontId="8" fillId="0" borderId="0" xfId="79" applyFont="1" applyAlignment="1">
      <alignment horizontal="center" vertical="center"/>
    </xf>
    <xf numFmtId="0" fontId="72" fillId="38" borderId="3" xfId="79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3" fontId="12" fillId="0" borderId="3" xfId="1" applyFont="1" applyBorder="1" applyAlignment="1">
      <alignment horizontal="left" vertical="center" wrapText="1"/>
    </xf>
    <xf numFmtId="43" fontId="72" fillId="0" borderId="3" xfId="1" applyFont="1" applyFill="1" applyBorder="1" applyAlignment="1">
      <alignment horizontal="center" vertical="center" wrapText="1"/>
    </xf>
    <xf numFmtId="175" fontId="86" fillId="0" borderId="97" xfId="1" applyNumberFormat="1" applyFont="1" applyBorder="1" applyAlignment="1">
      <alignment horizontal="right" vertical="center"/>
    </xf>
    <xf numFmtId="175" fontId="62" fillId="0" borderId="97" xfId="1" applyNumberFormat="1" applyFont="1" applyBorder="1" applyAlignment="1">
      <alignment vertical="center"/>
    </xf>
    <xf numFmtId="175" fontId="7" fillId="0" borderId="97" xfId="1" applyNumberFormat="1" applyFont="1" applyBorder="1" applyAlignment="1">
      <alignment vertical="center"/>
    </xf>
    <xf numFmtId="175" fontId="84" fillId="0" borderId="97" xfId="1" applyNumberFormat="1" applyFont="1" applyFill="1" applyBorder="1" applyAlignment="1">
      <alignment horizontal="right" vertical="center"/>
    </xf>
    <xf numFmtId="175" fontId="86" fillId="41" borderId="97" xfId="1" applyNumberFormat="1" applyFont="1" applyFill="1" applyBorder="1" applyAlignment="1">
      <alignment horizontal="right" vertical="center"/>
    </xf>
    <xf numFmtId="175" fontId="84" fillId="42" borderId="97" xfId="1" applyNumberFormat="1" applyFont="1" applyFill="1" applyBorder="1" applyAlignment="1">
      <alignment horizontal="right" vertical="center"/>
    </xf>
    <xf numFmtId="175" fontId="84" fillId="0" borderId="97" xfId="1" applyNumberFormat="1" applyFont="1" applyBorder="1" applyAlignment="1">
      <alignment horizontal="right" vertical="center"/>
    </xf>
    <xf numFmtId="175" fontId="86" fillId="14" borderId="97" xfId="1" applyNumberFormat="1" applyFont="1" applyFill="1" applyBorder="1" applyAlignment="1">
      <alignment horizontal="right" vertical="center"/>
    </xf>
    <xf numFmtId="175" fontId="93" fillId="0" borderId="97" xfId="1" applyNumberFormat="1" applyFont="1" applyBorder="1" applyAlignment="1">
      <alignment vertical="center"/>
    </xf>
    <xf numFmtId="175" fontId="92" fillId="0" borderId="97" xfId="1" applyNumberFormat="1" applyFont="1" applyBorder="1" applyAlignment="1">
      <alignment vertical="center"/>
    </xf>
    <xf numFmtId="175" fontId="87" fillId="41" borderId="97" xfId="1" applyNumberFormat="1" applyFont="1" applyFill="1" applyBorder="1" applyAlignment="1">
      <alignment horizontal="right" vertical="center"/>
    </xf>
    <xf numFmtId="175" fontId="86" fillId="42" borderId="97" xfId="1" applyNumberFormat="1" applyFont="1" applyFill="1" applyBorder="1" applyAlignment="1">
      <alignment horizontal="right" vertical="center"/>
    </xf>
    <xf numFmtId="175" fontId="88" fillId="41" borderId="97" xfId="1" applyNumberFormat="1" applyFont="1" applyFill="1" applyBorder="1" applyAlignment="1">
      <alignment horizontal="right" vertical="center"/>
    </xf>
    <xf numFmtId="175" fontId="94" fillId="0" borderId="97" xfId="1" applyNumberFormat="1" applyFont="1" applyBorder="1" applyAlignment="1">
      <alignment horizontal="right" vertical="center"/>
    </xf>
    <xf numFmtId="175" fontId="88" fillId="0" borderId="97" xfId="1" applyNumberFormat="1" applyFont="1" applyFill="1" applyBorder="1" applyAlignment="1">
      <alignment horizontal="right" vertical="center"/>
    </xf>
    <xf numFmtId="175" fontId="85" fillId="0" borderId="97" xfId="1" applyNumberFormat="1" applyFont="1" applyFill="1" applyBorder="1" applyAlignment="1">
      <alignment horizontal="right" vertical="center"/>
    </xf>
    <xf numFmtId="175" fontId="86" fillId="0" borderId="98" xfId="1" applyNumberFormat="1" applyFont="1" applyFill="1" applyBorder="1" applyAlignment="1">
      <alignment horizontal="right" vertical="center"/>
    </xf>
    <xf numFmtId="0" fontId="40" fillId="3" borderId="31" xfId="4" applyFont="1" applyFill="1" applyBorder="1" applyAlignment="1">
      <alignment horizontal="center" vertical="center"/>
    </xf>
    <xf numFmtId="0" fontId="40" fillId="3" borderId="32" xfId="4" applyFont="1" applyFill="1" applyBorder="1" applyAlignment="1">
      <alignment horizontal="center" vertical="center"/>
    </xf>
    <xf numFmtId="0" fontId="41" fillId="23" borderId="51" xfId="4" applyFont="1" applyFill="1" applyBorder="1" applyAlignment="1">
      <alignment vertical="center"/>
    </xf>
    <xf numFmtId="0" fontId="45" fillId="23" borderId="101" xfId="128" applyFont="1" applyFill="1" applyBorder="1" applyAlignment="1">
      <alignment horizontal="center" vertical="center"/>
    </xf>
    <xf numFmtId="0" fontId="45" fillId="23" borderId="100" xfId="128" applyFont="1" applyFill="1" applyBorder="1" applyAlignment="1">
      <alignment horizontal="center" vertical="center"/>
    </xf>
    <xf numFmtId="0" fontId="12" fillId="0" borderId="52" xfId="0" applyFont="1" applyFill="1" applyBorder="1" applyAlignment="1" applyProtection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 wrapText="1"/>
    </xf>
    <xf numFmtId="0" fontId="12" fillId="0" borderId="60" xfId="0" applyFont="1" applyFill="1" applyBorder="1" applyAlignment="1" applyProtection="1">
      <alignment horizontal="center" vertical="center" wrapText="1"/>
    </xf>
    <xf numFmtId="166" fontId="10" fillId="0" borderId="4" xfId="2" quotePrefix="1" applyNumberFormat="1" applyFont="1" applyFill="1" applyBorder="1" applyAlignment="1" applyProtection="1">
      <alignment horizontal="center" vertical="center" wrapText="1"/>
    </xf>
    <xf numFmtId="166" fontId="10" fillId="0" borderId="5" xfId="2" quotePrefix="1" applyNumberFormat="1" applyFont="1" applyFill="1" applyBorder="1" applyAlignment="1" applyProtection="1">
      <alignment horizontal="center" vertical="center" wrapText="1"/>
    </xf>
    <xf numFmtId="175" fontId="10" fillId="0" borderId="4" xfId="1" quotePrefix="1" applyNumberFormat="1" applyFont="1" applyFill="1" applyBorder="1" applyAlignment="1" applyProtection="1">
      <alignment horizontal="center" vertical="center" wrapText="1"/>
    </xf>
    <xf numFmtId="175" fontId="10" fillId="0" borderId="3" xfId="1" quotePrefix="1" applyNumberFormat="1" applyFont="1" applyFill="1" applyBorder="1" applyAlignment="1" applyProtection="1">
      <alignment horizontal="center" vertical="center" wrapText="1"/>
    </xf>
    <xf numFmtId="0" fontId="40" fillId="25" borderId="30" xfId="4" applyFont="1" applyFill="1" applyBorder="1" applyAlignment="1">
      <alignment horizontal="center" vertical="center"/>
    </xf>
    <xf numFmtId="0" fontId="40" fillId="25" borderId="31" xfId="4" applyFont="1" applyFill="1" applyBorder="1" applyAlignment="1">
      <alignment horizontal="center" vertical="center"/>
    </xf>
    <xf numFmtId="0" fontId="40" fillId="25" borderId="32" xfId="4" applyFont="1" applyFill="1" applyBorder="1" applyAlignment="1">
      <alignment horizontal="center" vertical="center"/>
    </xf>
    <xf numFmtId="164" fontId="42" fillId="23" borderId="27" xfId="115" applyFont="1" applyFill="1" applyBorder="1" applyAlignment="1">
      <alignment horizontal="center" vertical="center"/>
    </xf>
    <xf numFmtId="43" fontId="11" fillId="2" borderId="30" xfId="1" applyFont="1" applyFill="1" applyBorder="1" applyAlignment="1" applyProtection="1">
      <alignment vertical="center"/>
    </xf>
    <xf numFmtId="43" fontId="11" fillId="2" borderId="31" xfId="1" applyFont="1" applyFill="1" applyBorder="1" applyAlignment="1" applyProtection="1">
      <alignment vertical="center"/>
    </xf>
    <xf numFmtId="0" fontId="5" fillId="0" borderId="30" xfId="79" applyFont="1" applyBorder="1" applyAlignment="1">
      <alignment horizontal="center" vertical="center" wrapText="1"/>
    </xf>
    <xf numFmtId="0" fontId="5" fillId="0" borderId="31" xfId="79" applyFont="1" applyBorder="1" applyAlignment="1">
      <alignment horizontal="center" vertical="center" wrapText="1"/>
    </xf>
    <xf numFmtId="3" fontId="11" fillId="0" borderId="21" xfId="79" applyNumberFormat="1" applyFont="1" applyBorder="1" applyAlignment="1">
      <alignment horizontal="center" vertical="center"/>
    </xf>
    <xf numFmtId="3" fontId="11" fillId="0" borderId="57" xfId="79" applyNumberFormat="1" applyFont="1" applyBorder="1" applyAlignment="1">
      <alignment horizontal="center" vertical="center"/>
    </xf>
    <xf numFmtId="174" fontId="95" fillId="0" borderId="23" xfId="117" applyFont="1" applyFill="1" applyBorder="1" applyAlignment="1">
      <alignment horizontal="center" vertical="center" wrapText="1"/>
    </xf>
    <xf numFmtId="174" fontId="95" fillId="0" borderId="24" xfId="117" applyFont="1" applyFill="1" applyBorder="1" applyAlignment="1">
      <alignment horizontal="center" vertical="center" wrapText="1"/>
    </xf>
    <xf numFmtId="174" fontId="95" fillId="0" borderId="92" xfId="117" applyFont="1" applyFill="1" applyBorder="1" applyAlignment="1">
      <alignment horizontal="center" vertical="center" wrapText="1"/>
    </xf>
    <xf numFmtId="174" fontId="95" fillId="0" borderId="99" xfId="117" applyFont="1" applyFill="1" applyBorder="1" applyAlignment="1">
      <alignment horizontal="center" vertical="center" wrapText="1"/>
    </xf>
    <xf numFmtId="174" fontId="95" fillId="0" borderId="0" xfId="117" applyFont="1" applyFill="1" applyBorder="1" applyAlignment="1">
      <alignment horizontal="center" vertical="center" wrapText="1"/>
    </xf>
    <xf numFmtId="3" fontId="10" fillId="0" borderId="4" xfId="1" quotePrefix="1" applyNumberFormat="1" applyFont="1" applyFill="1" applyBorder="1" applyAlignment="1" applyProtection="1">
      <alignment horizontal="center" vertical="center" wrapText="1"/>
    </xf>
    <xf numFmtId="3" fontId="10" fillId="0" borderId="3" xfId="1" quotePrefix="1" applyNumberFormat="1" applyFont="1" applyFill="1" applyBorder="1" applyAlignment="1" applyProtection="1">
      <alignment horizontal="center" vertical="center" wrapText="1"/>
    </xf>
    <xf numFmtId="3" fontId="10" fillId="0" borderId="4" xfId="2" quotePrefix="1" applyNumberFormat="1" applyFont="1" applyFill="1" applyBorder="1" applyAlignment="1" applyProtection="1">
      <alignment horizontal="center" vertical="center" wrapText="1"/>
    </xf>
    <xf numFmtId="3" fontId="10" fillId="0" borderId="5" xfId="2" quotePrefix="1" applyNumberFormat="1" applyFont="1" applyFill="1" applyBorder="1" applyAlignment="1" applyProtection="1">
      <alignment horizontal="center" vertical="center" wrapText="1"/>
    </xf>
    <xf numFmtId="43" fontId="15" fillId="0" borderId="0" xfId="1" quotePrefix="1" applyFont="1" applyFill="1" applyBorder="1" applyAlignment="1" applyProtection="1">
      <alignment horizontal="left" vertical="center" wrapText="1"/>
    </xf>
    <xf numFmtId="43" fontId="15" fillId="0" borderId="14" xfId="1" quotePrefix="1" applyFont="1" applyFill="1" applyBorder="1" applyAlignment="1" applyProtection="1">
      <alignment horizontal="left" vertical="center" wrapText="1"/>
    </xf>
    <xf numFmtId="43" fontId="11" fillId="2" borderId="6" xfId="1" applyFont="1" applyFill="1" applyBorder="1" applyAlignment="1" applyProtection="1">
      <alignment horizontal="left" vertical="center"/>
    </xf>
    <xf numFmtId="43" fontId="11" fillId="2" borderId="3" xfId="1" applyFont="1" applyFill="1" applyBorder="1" applyAlignment="1" applyProtection="1">
      <alignment horizontal="left" vertical="center"/>
    </xf>
    <xf numFmtId="43" fontId="11" fillId="2" borderId="34" xfId="1" applyFont="1" applyFill="1" applyBorder="1" applyAlignment="1" applyProtection="1">
      <alignment horizontal="left" vertical="center"/>
    </xf>
    <xf numFmtId="43" fontId="11" fillId="2" borderId="6" xfId="1" applyFont="1" applyFill="1" applyBorder="1" applyAlignment="1" applyProtection="1">
      <alignment vertical="center"/>
    </xf>
    <xf numFmtId="43" fontId="11" fillId="2" borderId="3" xfId="1" applyFont="1" applyFill="1" applyBorder="1" applyAlignment="1" applyProtection="1">
      <alignment vertical="center"/>
    </xf>
    <xf numFmtId="43" fontId="11" fillId="2" borderId="11" xfId="1" applyFont="1" applyFill="1" applyBorder="1" applyAlignment="1" applyProtection="1">
      <alignment vertical="center"/>
    </xf>
    <xf numFmtId="43" fontId="11" fillId="2" borderId="34" xfId="1" applyFont="1" applyFill="1" applyBorder="1" applyAlignment="1" applyProtection="1">
      <alignment vertical="center"/>
    </xf>
    <xf numFmtId="43" fontId="13" fillId="0" borderId="0" xfId="1" applyFont="1" applyFill="1" applyBorder="1" applyAlignment="1" applyProtection="1">
      <alignment horizontal="left" vertical="center" wrapText="1"/>
    </xf>
    <xf numFmtId="43" fontId="13" fillId="0" borderId="14" xfId="1" applyFont="1" applyFill="1" applyBorder="1" applyAlignment="1" applyProtection="1">
      <alignment horizontal="left" vertical="center" wrapText="1"/>
    </xf>
    <xf numFmtId="43" fontId="11" fillId="2" borderId="18" xfId="1" applyFont="1" applyFill="1" applyBorder="1" applyAlignment="1" applyProtection="1">
      <alignment horizontal="left" vertical="center"/>
    </xf>
    <xf numFmtId="43" fontId="11" fillId="2" borderId="19" xfId="1" applyFont="1" applyFill="1" applyBorder="1" applyAlignment="1" applyProtection="1">
      <alignment horizontal="left" vertical="center"/>
    </xf>
    <xf numFmtId="43" fontId="11" fillId="2" borderId="27" xfId="1" applyFont="1" applyFill="1" applyBorder="1" applyAlignment="1" applyProtection="1">
      <alignment horizontal="left" vertical="center"/>
    </xf>
    <xf numFmtId="43" fontId="11" fillId="2" borderId="102" xfId="1" applyFont="1" applyFill="1" applyBorder="1" applyAlignment="1" applyProtection="1">
      <alignment horizontal="left" vertical="center"/>
    </xf>
    <xf numFmtId="43" fontId="5" fillId="0" borderId="30" xfId="1" applyFont="1" applyBorder="1" applyAlignment="1">
      <alignment horizontal="center" vertical="center" wrapText="1"/>
    </xf>
    <xf numFmtId="43" fontId="5" fillId="0" borderId="31" xfId="1" applyFont="1" applyBorder="1" applyAlignment="1">
      <alignment horizontal="center" vertical="center" wrapText="1"/>
    </xf>
    <xf numFmtId="43" fontId="95" fillId="0" borderId="23" xfId="1" applyFont="1" applyFill="1" applyBorder="1" applyAlignment="1">
      <alignment horizontal="center" vertical="center" wrapText="1"/>
    </xf>
    <xf numFmtId="43" fontId="95" fillId="0" borderId="24" xfId="1" applyFont="1" applyFill="1" applyBorder="1" applyAlignment="1">
      <alignment horizontal="center" vertical="center" wrapText="1"/>
    </xf>
    <xf numFmtId="43" fontId="95" fillId="0" borderId="92" xfId="1" applyFont="1" applyFill="1" applyBorder="1" applyAlignment="1">
      <alignment horizontal="center" vertical="center" wrapText="1"/>
    </xf>
    <xf numFmtId="43" fontId="95" fillId="0" borderId="99" xfId="1" applyFont="1" applyFill="1" applyBorder="1" applyAlignment="1">
      <alignment horizontal="center" vertical="center" wrapText="1"/>
    </xf>
    <xf numFmtId="43" fontId="95" fillId="0" borderId="0" xfId="1" applyFont="1" applyFill="1" applyBorder="1" applyAlignment="1">
      <alignment horizontal="center" vertical="center" wrapText="1"/>
    </xf>
    <xf numFmtId="43" fontId="11" fillId="2" borderId="11" xfId="1" applyFont="1" applyFill="1" applyBorder="1" applyAlignment="1" applyProtection="1">
      <alignment horizontal="left" vertical="center"/>
    </xf>
    <xf numFmtId="43" fontId="11" fillId="2" borderId="15" xfId="1" applyFont="1" applyFill="1" applyBorder="1" applyAlignment="1" applyProtection="1">
      <alignment vertical="center"/>
    </xf>
    <xf numFmtId="43" fontId="11" fillId="2" borderId="37" xfId="1" applyFont="1" applyFill="1" applyBorder="1" applyAlignment="1" applyProtection="1">
      <alignment vertical="center"/>
    </xf>
    <xf numFmtId="43" fontId="11" fillId="2" borderId="2" xfId="1" applyFont="1" applyFill="1" applyBorder="1" applyAlignment="1" applyProtection="1">
      <alignment vertical="center"/>
    </xf>
    <xf numFmtId="43" fontId="11" fillId="2" borderId="9" xfId="1" applyFont="1" applyFill="1" applyBorder="1" applyAlignment="1" applyProtection="1">
      <alignment vertical="center"/>
    </xf>
    <xf numFmtId="43" fontId="11" fillId="2" borderId="17" xfId="1" applyFont="1" applyFill="1" applyBorder="1" applyAlignment="1" applyProtection="1">
      <alignment vertical="center"/>
    </xf>
    <xf numFmtId="43" fontId="11" fillId="2" borderId="0" xfId="1" applyFont="1" applyFill="1" applyBorder="1" applyAlignment="1" applyProtection="1">
      <alignment vertical="center"/>
    </xf>
    <xf numFmtId="43" fontId="11" fillId="2" borderId="22" xfId="1" applyFont="1" applyFill="1" applyBorder="1" applyAlignment="1" applyProtection="1">
      <alignment vertical="center"/>
    </xf>
    <xf numFmtId="0" fontId="40" fillId="3" borderId="30" xfId="4" applyFont="1" applyFill="1" applyBorder="1" applyAlignment="1">
      <alignment horizontal="center" vertical="center"/>
    </xf>
    <xf numFmtId="0" fontId="40" fillId="3" borderId="31" xfId="4" applyFont="1" applyFill="1" applyBorder="1" applyAlignment="1">
      <alignment horizontal="center" vertical="center"/>
    </xf>
    <xf numFmtId="0" fontId="40" fillId="3" borderId="32" xfId="4" applyFont="1" applyFill="1" applyBorder="1" applyAlignment="1">
      <alignment horizontal="center" vertical="center"/>
    </xf>
    <xf numFmtId="0" fontId="43" fillId="3" borderId="23" xfId="4" applyFont="1" applyFill="1" applyBorder="1" applyAlignment="1">
      <alignment horizontal="center" vertical="center"/>
    </xf>
    <xf numFmtId="0" fontId="43" fillId="3" borderId="24" xfId="4" applyFont="1" applyFill="1" applyBorder="1" applyAlignment="1">
      <alignment horizontal="center" vertical="center"/>
    </xf>
    <xf numFmtId="0" fontId="43" fillId="3" borderId="48" xfId="4" applyFont="1" applyFill="1" applyBorder="1" applyAlignment="1">
      <alignment horizontal="center" vertical="center"/>
    </xf>
    <xf numFmtId="0" fontId="43" fillId="3" borderId="49" xfId="4" applyFont="1" applyFill="1" applyBorder="1" applyAlignment="1">
      <alignment horizontal="center" vertical="center"/>
    </xf>
    <xf numFmtId="0" fontId="43" fillId="3" borderId="27" xfId="4" applyFont="1" applyFill="1" applyBorder="1" applyAlignment="1">
      <alignment horizontal="center" vertical="center"/>
    </xf>
    <xf numFmtId="0" fontId="43" fillId="3" borderId="50" xfId="4" applyFont="1" applyFill="1" applyBorder="1" applyAlignment="1">
      <alignment horizontal="center" vertical="center"/>
    </xf>
    <xf numFmtId="0" fontId="45" fillId="23" borderId="100" xfId="4" applyFont="1" applyFill="1" applyBorder="1" applyAlignment="1">
      <alignment horizontal="right" vertical="center"/>
    </xf>
    <xf numFmtId="0" fontId="45" fillId="23" borderId="0" xfId="4" applyFont="1" applyFill="1" applyBorder="1" applyAlignment="1">
      <alignment horizontal="right" vertical="center"/>
    </xf>
    <xf numFmtId="0" fontId="45" fillId="23" borderId="14" xfId="4" applyFont="1" applyFill="1" applyBorder="1" applyAlignment="1">
      <alignment horizontal="right" vertical="center"/>
    </xf>
    <xf numFmtId="0" fontId="83" fillId="14" borderId="96" xfId="129" applyFont="1" applyFill="1" applyBorder="1" applyAlignment="1">
      <alignment horizontal="left" vertical="center"/>
    </xf>
    <xf numFmtId="0" fontId="64" fillId="0" borderId="0" xfId="79" applyFont="1" applyBorder="1" applyAlignment="1">
      <alignment horizontal="center" vertical="center" wrapText="1"/>
    </xf>
    <xf numFmtId="43" fontId="6" fillId="35" borderId="3" xfId="1" applyFont="1" applyFill="1" applyBorder="1" applyAlignment="1" applyProtection="1">
      <alignment horizontal="center" vertical="center" wrapText="1"/>
    </xf>
    <xf numFmtId="0" fontId="60" fillId="35" borderId="3" xfId="0" applyFont="1" applyFill="1" applyBorder="1" applyAlignment="1">
      <alignment horizontal="center"/>
    </xf>
    <xf numFmtId="43" fontId="6" fillId="35" borderId="3" xfId="1" applyNumberFormat="1" applyFont="1" applyFill="1" applyBorder="1" applyAlignment="1" applyProtection="1">
      <alignment horizontal="center" vertical="center" wrapText="1"/>
    </xf>
    <xf numFmtId="0" fontId="65" fillId="36" borderId="89" xfId="79" applyFont="1" applyFill="1" applyBorder="1" applyAlignment="1">
      <alignment horizontal="center" vertical="center"/>
    </xf>
    <xf numFmtId="0" fontId="65" fillId="36" borderId="72" xfId="79" applyFont="1" applyFill="1" applyBorder="1" applyAlignment="1">
      <alignment horizontal="center" vertical="center"/>
    </xf>
    <xf numFmtId="49" fontId="65" fillId="36" borderId="86" xfId="79" applyNumberFormat="1" applyFont="1" applyFill="1" applyBorder="1" applyAlignment="1">
      <alignment horizontal="center" vertical="center" wrapText="1"/>
    </xf>
    <xf numFmtId="49" fontId="65" fillId="36" borderId="87" xfId="79" applyNumberFormat="1" applyFont="1" applyFill="1" applyBorder="1" applyAlignment="1">
      <alignment horizontal="center" vertical="center" wrapText="1"/>
    </xf>
    <xf numFmtId="49" fontId="65" fillId="36" borderId="88" xfId="79" applyNumberFormat="1" applyFont="1" applyFill="1" applyBorder="1" applyAlignment="1">
      <alignment horizontal="center" vertical="center" wrapText="1"/>
    </xf>
    <xf numFmtId="49" fontId="65" fillId="36" borderId="64" xfId="79" applyNumberFormat="1" applyFont="1" applyFill="1" applyBorder="1" applyAlignment="1">
      <alignment horizontal="center" vertical="center" wrapText="1"/>
    </xf>
    <xf numFmtId="49" fontId="65" fillId="36" borderId="67" xfId="79" applyNumberFormat="1" applyFont="1" applyFill="1" applyBorder="1" applyAlignment="1">
      <alignment horizontal="center" vertical="center" wrapText="1"/>
    </xf>
    <xf numFmtId="49" fontId="65" fillId="36" borderId="71" xfId="79" applyNumberFormat="1" applyFont="1" applyFill="1" applyBorder="1" applyAlignment="1">
      <alignment horizontal="center" vertical="center" wrapText="1"/>
    </xf>
  </cellXfs>
  <cellStyles count="131">
    <cellStyle name="20% - Colore 1 2" xfId="6"/>
    <cellStyle name="20% - Colore 2 2" xfId="7"/>
    <cellStyle name="20% - Colore 3 2" xfId="8"/>
    <cellStyle name="20% - Colore 4 2" xfId="9"/>
    <cellStyle name="20% - Colore 5 2" xfId="10"/>
    <cellStyle name="20% - Colore 6 2" xfId="11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60% - Colore 1 2" xfId="18"/>
    <cellStyle name="60% - Colore 2 2" xfId="19"/>
    <cellStyle name="60% - Colore 3 2" xfId="20"/>
    <cellStyle name="60% - Colore 4 2" xfId="21"/>
    <cellStyle name="60% - Colore 5 2" xfId="22"/>
    <cellStyle name="60% - Colore 6 2" xfId="23"/>
    <cellStyle name="Calcolo 2" xfId="24"/>
    <cellStyle name="Cella collegata 2" xfId="25"/>
    <cellStyle name="Cella da controllare 2" xfId="26"/>
    <cellStyle name="Collegamento ipertestuale 2" xfId="27"/>
    <cellStyle name="Colore 1 2" xfId="28"/>
    <cellStyle name="Colore 2 2" xfId="29"/>
    <cellStyle name="Colore 3 2" xfId="30"/>
    <cellStyle name="Colore 4 2" xfId="31"/>
    <cellStyle name="Colore 5 2" xfId="32"/>
    <cellStyle name="Colore 6 2" xfId="33"/>
    <cellStyle name="Comma [0]_all7_pdc" xfId="34"/>
    <cellStyle name="Comma 2" xfId="35"/>
    <cellStyle name="Comma 2 2" xfId="36"/>
    <cellStyle name="Comma_all7_pdc" xfId="37"/>
    <cellStyle name="Currency [0]_all7_pdc" xfId="38"/>
    <cellStyle name="Currency_all7_pdc" xfId="39"/>
    <cellStyle name="Euro" xfId="40"/>
    <cellStyle name="Euro 2" xfId="41"/>
    <cellStyle name="Euro 3" xfId="42"/>
    <cellStyle name="Euro 4" xfId="43"/>
    <cellStyle name="Euro 5" xfId="44"/>
    <cellStyle name="Euro 6" xfId="45"/>
    <cellStyle name="Euro 7" xfId="46"/>
    <cellStyle name="Euro 8" xfId="47"/>
    <cellStyle name="Euro_allegato tabelle I report 2012" xfId="48"/>
    <cellStyle name="Input 2" xfId="49"/>
    <cellStyle name="Migliaia" xfId="1" builtinId="3"/>
    <cellStyle name="Migliaia (0)_% Attrezzature ed Edilizia" xfId="50"/>
    <cellStyle name="Migliaia [0]" xfId="2" builtinId="6"/>
    <cellStyle name="Migliaia [0] 2" xfId="51"/>
    <cellStyle name="Migliaia [0] 2 2" xfId="52"/>
    <cellStyle name="Migliaia [0] 3" xfId="53"/>
    <cellStyle name="Migliaia [0] 3 2" xfId="54"/>
    <cellStyle name="Migliaia [0] 4" xfId="55"/>
    <cellStyle name="Migliaia [0] 5" xfId="56"/>
    <cellStyle name="Migliaia [0] 6" xfId="57"/>
    <cellStyle name="Migliaia [0] 7" xfId="126"/>
    <cellStyle name="Migliaia [0] 8 2" xfId="58"/>
    <cellStyle name="Migliaia 10" xfId="125"/>
    <cellStyle name="Migliaia 11" xfId="59"/>
    <cellStyle name="Migliaia 2" xfId="60"/>
    <cellStyle name="Migliaia 2 2" xfId="61"/>
    <cellStyle name="Migliaia 2 3" xfId="62"/>
    <cellStyle name="Migliaia 2 4" xfId="63"/>
    <cellStyle name="Migliaia 2_AOTS_Organizzazione_31-12-2011" xfId="64"/>
    <cellStyle name="Migliaia 3" xfId="65"/>
    <cellStyle name="Migliaia 3 2" xfId="66"/>
    <cellStyle name="Migliaia 3_AOTS_Organizzazione_31-12-2011" xfId="67"/>
    <cellStyle name="Migliaia 4" xfId="68"/>
    <cellStyle name="Migliaia 4 2" xfId="69"/>
    <cellStyle name="Migliaia 5" xfId="70"/>
    <cellStyle name="Migliaia 6" xfId="71"/>
    <cellStyle name="Migliaia 6 2" xfId="118"/>
    <cellStyle name="Migliaia 7" xfId="72"/>
    <cellStyle name="Migliaia 8" xfId="73"/>
    <cellStyle name="Migliaia 9" xfId="115"/>
    <cellStyle name="Migliaia 9 2" xfId="74"/>
    <cellStyle name="Neutrale 2" xfId="75"/>
    <cellStyle name="Normal 12" xfId="116"/>
    <cellStyle name="Normal 2" xfId="76"/>
    <cellStyle name="Normal_all7_pdc" xfId="77"/>
    <cellStyle name="Normal_Sheet1 2" xfId="5"/>
    <cellStyle name="Normale" xfId="0" builtinId="0"/>
    <cellStyle name="Normale 10" xfId="120"/>
    <cellStyle name="Normale 11" xfId="122"/>
    <cellStyle name="Normale 12" xfId="124"/>
    <cellStyle name="Normale 19 2" xfId="123"/>
    <cellStyle name="Normale 2" xfId="78"/>
    <cellStyle name="Normale 2 2" xfId="79"/>
    <cellStyle name="Normale 2_1 BILANCIO AOU" xfId="80"/>
    <cellStyle name="Normale 20" xfId="121"/>
    <cellStyle name="Normale 3" xfId="81"/>
    <cellStyle name="Normale 3 2" xfId="82"/>
    <cellStyle name="Normale 3 3" xfId="83"/>
    <cellStyle name="Normale 4" xfId="84"/>
    <cellStyle name="Normale 5" xfId="85"/>
    <cellStyle name="Normale 6" xfId="86"/>
    <cellStyle name="Normale 6 2" xfId="87"/>
    <cellStyle name="Normale 7" xfId="88"/>
    <cellStyle name="Normale 7 2" xfId="89"/>
    <cellStyle name="Normale 7 3" xfId="119"/>
    <cellStyle name="Normale 7_Allegati 1-2def" xfId="90"/>
    <cellStyle name="Normale 8" xfId="91"/>
    <cellStyle name="Normale 9" xfId="92"/>
    <cellStyle name="Normale_FLUSSI FINANZIARI" xfId="129"/>
    <cellStyle name="Normale_Mattone CE_Budget 2008 (v. 0.5 del 12.02.2008) 2" xfId="4"/>
    <cellStyle name="Normale_Mattone CE_Budget 2008 (v. 0.5 del 12.02.2008) 2 2" xfId="128"/>
    <cellStyle name="Normale_modelloDCF2004bottoni" xfId="130"/>
    <cellStyle name="Nota 2" xfId="93"/>
    <cellStyle name="Output 2" xfId="94"/>
    <cellStyle name="Percent 2" xfId="95"/>
    <cellStyle name="Percent 3" xfId="96"/>
    <cellStyle name="Percentuale" xfId="3" builtinId="5"/>
    <cellStyle name="Percentuale 2" xfId="97"/>
    <cellStyle name="Percentuale 2 2" xfId="98"/>
    <cellStyle name="Percentuale 2 3" xfId="99"/>
    <cellStyle name="Percentuale 3" xfId="127"/>
    <cellStyle name="Percentuale 4" xfId="100"/>
    <cellStyle name="SAS FM Row drillable header" xfId="101"/>
    <cellStyle name="SAS FM Row header" xfId="102"/>
    <cellStyle name="Testo avviso 2" xfId="103"/>
    <cellStyle name="Testo descrittivo 2" xfId="104"/>
    <cellStyle name="Titolo 1 2" xfId="105"/>
    <cellStyle name="Titolo 2 2" xfId="106"/>
    <cellStyle name="Titolo 3 2" xfId="107"/>
    <cellStyle name="Titolo 4 2" xfId="108"/>
    <cellStyle name="Titolo 5" xfId="109"/>
    <cellStyle name="Titolo 6" xfId="117"/>
    <cellStyle name="Totale 2" xfId="110"/>
    <cellStyle name="Valore non valido 2" xfId="111"/>
    <cellStyle name="Valore valido 2" xfId="112"/>
    <cellStyle name="Valuta (0)_% Attrezzature ed Edilizia" xfId="113"/>
    <cellStyle name="Valuta 2" xfId="114"/>
  </cellStyles>
  <dxfs count="1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66FF33"/>
      <color rgb="FF00FFFF"/>
      <color rgb="FFFF99FF"/>
      <color rgb="FF99FF99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/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338" customWidth="1"/>
    <col min="8" max="8" width="10.7109375" bestFit="1" customWidth="1"/>
    <col min="9" max="9" width="13.28515625" bestFit="1" customWidth="1"/>
  </cols>
  <sheetData>
    <row r="1" spans="1:11" ht="15.75">
      <c r="A1" s="1"/>
      <c r="B1" s="1"/>
      <c r="C1" s="2"/>
      <c r="D1" s="194"/>
      <c r="E1" s="194"/>
    </row>
    <row r="2" spans="1:11" ht="20.25">
      <c r="A2" s="260" t="s">
        <v>0</v>
      </c>
      <c r="B2" s="247"/>
      <c r="C2" s="247"/>
      <c r="D2" s="195"/>
      <c r="E2" s="195"/>
      <c r="F2" s="248" t="s">
        <v>1</v>
      </c>
      <c r="G2" s="333"/>
      <c r="H2" s="4"/>
    </row>
    <row r="3" spans="1:11" ht="13.5" thickBot="1">
      <c r="A3" s="5"/>
      <c r="B3" s="5"/>
      <c r="C3" s="6"/>
      <c r="D3" s="196"/>
      <c r="E3" s="196"/>
      <c r="F3" s="197"/>
      <c r="G3" s="7"/>
      <c r="H3" s="7"/>
    </row>
    <row r="4" spans="1:11" ht="33" customHeight="1">
      <c r="A4" s="818" t="s">
        <v>1823</v>
      </c>
      <c r="B4" s="819"/>
      <c r="C4" s="820"/>
      <c r="D4" s="823" t="s">
        <v>3620</v>
      </c>
      <c r="E4" s="823" t="s">
        <v>3621</v>
      </c>
      <c r="F4" s="821" t="s">
        <v>3622</v>
      </c>
      <c r="G4" s="822"/>
      <c r="H4" s="8"/>
    </row>
    <row r="5" spans="1:11">
      <c r="A5" s="249"/>
      <c r="B5" s="250"/>
      <c r="C5" s="250"/>
      <c r="D5" s="824"/>
      <c r="E5" s="824"/>
      <c r="F5" s="251" t="s">
        <v>2</v>
      </c>
      <c r="G5" s="404" t="s">
        <v>3</v>
      </c>
      <c r="H5" s="9"/>
    </row>
    <row r="6" spans="1:11">
      <c r="A6" s="10"/>
      <c r="B6" s="11"/>
      <c r="C6" s="12"/>
      <c r="D6" s="198"/>
      <c r="E6" s="198"/>
      <c r="F6" s="199"/>
      <c r="G6" s="181"/>
      <c r="H6" s="13"/>
    </row>
    <row r="7" spans="1:11">
      <c r="A7" s="14" t="s">
        <v>4</v>
      </c>
      <c r="B7" s="15"/>
      <c r="C7" s="16" t="s">
        <v>5</v>
      </c>
      <c r="D7" s="200"/>
      <c r="E7" s="200"/>
      <c r="F7" s="201"/>
      <c r="G7" s="182"/>
      <c r="H7" s="7"/>
    </row>
    <row r="8" spans="1:11">
      <c r="A8" s="14"/>
      <c r="B8" s="15"/>
      <c r="C8" s="17"/>
      <c r="D8" s="202"/>
      <c r="E8" s="202"/>
      <c r="F8" s="201"/>
      <c r="G8" s="182"/>
      <c r="H8" s="7"/>
    </row>
    <row r="9" spans="1:11">
      <c r="A9" s="14">
        <v>1</v>
      </c>
      <c r="B9" s="16" t="s">
        <v>6</v>
      </c>
      <c r="C9" s="16"/>
      <c r="D9" s="203">
        <f t="shared" ref="D9:E9" si="0">D10+D11+D18+D23</f>
        <v>855123759</v>
      </c>
      <c r="E9" s="203">
        <f t="shared" si="0"/>
        <v>840535790</v>
      </c>
      <c r="F9" s="405">
        <f>+D9-E9</f>
        <v>14587969</v>
      </c>
      <c r="G9" s="339">
        <f>+F9/E9</f>
        <v>1.7355559600858876E-2</v>
      </c>
      <c r="H9" s="18"/>
      <c r="J9" s="193"/>
      <c r="K9" s="244"/>
    </row>
    <row r="10" spans="1:11">
      <c r="A10" s="19"/>
      <c r="B10" s="20" t="s">
        <v>7</v>
      </c>
      <c r="C10" s="20"/>
      <c r="D10" s="204">
        <f>+ROUND('CE Min'!D26,0)</f>
        <v>827608326</v>
      </c>
      <c r="E10" s="204">
        <f>+ROUND('CE Min'!E26,0)</f>
        <v>808657199</v>
      </c>
      <c r="F10" s="205">
        <f t="shared" ref="F10:F35" si="1">+D10-E10</f>
        <v>18951127</v>
      </c>
      <c r="G10" s="183">
        <f t="shared" ref="G10:G35" si="2">+F10/E10</f>
        <v>2.3435303640943657E-2</v>
      </c>
      <c r="H10" s="21"/>
      <c r="J10" s="229"/>
      <c r="K10" s="244"/>
    </row>
    <row r="11" spans="1:11">
      <c r="A11" s="14"/>
      <c r="B11" s="20" t="s">
        <v>8</v>
      </c>
      <c r="C11" s="20"/>
      <c r="D11" s="204">
        <f t="shared" ref="D11:E11" si="3">SUM(D12:D17)</f>
        <v>27348887</v>
      </c>
      <c r="E11" s="204">
        <f t="shared" si="3"/>
        <v>31495043</v>
      </c>
      <c r="F11" s="205">
        <f t="shared" si="1"/>
        <v>-4146156</v>
      </c>
      <c r="G11" s="183">
        <f t="shared" si="2"/>
        <v>-0.13164471628122559</v>
      </c>
      <c r="H11" s="21"/>
      <c r="J11" s="229"/>
      <c r="K11" s="244"/>
    </row>
    <row r="12" spans="1:11">
      <c r="A12" s="14"/>
      <c r="B12" s="22"/>
      <c r="C12" s="57" t="s">
        <v>9</v>
      </c>
      <c r="D12" s="204">
        <f>+ROUND('CE Min'!D37,0)</f>
        <v>19718169</v>
      </c>
      <c r="E12" s="204">
        <f>+ROUND('CE Min'!E37,0)</f>
        <v>23197531</v>
      </c>
      <c r="F12" s="206">
        <f t="shared" si="1"/>
        <v>-3479362</v>
      </c>
      <c r="G12" s="184">
        <f t="shared" si="2"/>
        <v>-0.14998846213418143</v>
      </c>
      <c r="H12" s="23"/>
      <c r="J12" s="229"/>
      <c r="K12" s="244"/>
    </row>
    <row r="13" spans="1:11" ht="22.5">
      <c r="A13" s="19"/>
      <c r="B13" s="22"/>
      <c r="C13" s="57" t="s">
        <v>10</v>
      </c>
      <c r="D13" s="204">
        <f>+ROUND('CE Min'!D38,0)</f>
        <v>0</v>
      </c>
      <c r="E13" s="204">
        <f>+ROUND('CE Min'!E38,0)</f>
        <v>0</v>
      </c>
      <c r="F13" s="206">
        <f t="shared" si="1"/>
        <v>0</v>
      </c>
      <c r="G13" s="184" t="e">
        <f t="shared" si="2"/>
        <v>#DIV/0!</v>
      </c>
      <c r="H13" s="23"/>
      <c r="J13" s="229"/>
      <c r="K13" s="244"/>
    </row>
    <row r="14" spans="1:11" ht="22.5">
      <c r="A14" s="14"/>
      <c r="B14" s="22"/>
      <c r="C14" s="57" t="s">
        <v>11</v>
      </c>
      <c r="D14" s="204">
        <f>+ROUND('CE Min'!D39,0)</f>
        <v>0</v>
      </c>
      <c r="E14" s="204">
        <f>+ROUND('CE Min'!E39,0)</f>
        <v>0</v>
      </c>
      <c r="F14" s="206">
        <f t="shared" si="1"/>
        <v>0</v>
      </c>
      <c r="G14" s="184" t="e">
        <f t="shared" si="2"/>
        <v>#DIV/0!</v>
      </c>
      <c r="H14" s="23"/>
      <c r="J14" s="229"/>
      <c r="K14" s="244"/>
    </row>
    <row r="15" spans="1:11">
      <c r="A15" s="19"/>
      <c r="B15" s="22"/>
      <c r="C15" s="57" t="s">
        <v>12</v>
      </c>
      <c r="D15" s="204">
        <f>+ROUND('CE Min'!D40,0)</f>
        <v>367134</v>
      </c>
      <c r="E15" s="204">
        <f>+ROUND('CE Min'!E40,0)</f>
        <v>1601345</v>
      </c>
      <c r="F15" s="206">
        <f t="shared" si="1"/>
        <v>-1234211</v>
      </c>
      <c r="G15" s="184">
        <f t="shared" si="2"/>
        <v>-0.77073397675079391</v>
      </c>
      <c r="H15" s="23"/>
      <c r="J15" s="229"/>
      <c r="K15" s="244"/>
    </row>
    <row r="16" spans="1:11">
      <c r="A16" s="19"/>
      <c r="B16" s="22"/>
      <c r="C16" s="57" t="s">
        <v>13</v>
      </c>
      <c r="D16" s="204">
        <f>+ROUND('CE Min'!D41,0)</f>
        <v>148042</v>
      </c>
      <c r="E16" s="204">
        <f>+ROUND('CE Min'!E41,0)</f>
        <v>0</v>
      </c>
      <c r="F16" s="206">
        <f t="shared" si="1"/>
        <v>148042</v>
      </c>
      <c r="G16" s="184" t="e">
        <f t="shared" si="2"/>
        <v>#DIV/0!</v>
      </c>
      <c r="H16" s="23"/>
      <c r="J16" s="229"/>
      <c r="K16" s="244"/>
    </row>
    <row r="17" spans="1:11">
      <c r="A17" s="14"/>
      <c r="B17" s="22"/>
      <c r="C17" s="57" t="s">
        <v>14</v>
      </c>
      <c r="D17" s="204">
        <f>+ROUND('CE Min'!D44,0)</f>
        <v>7115542</v>
      </c>
      <c r="E17" s="204">
        <f>+ROUND('CE Min'!E44,0)</f>
        <v>6696167</v>
      </c>
      <c r="F17" s="206">
        <f t="shared" si="1"/>
        <v>419375</v>
      </c>
      <c r="G17" s="184">
        <f t="shared" si="2"/>
        <v>6.2629113043327619E-2</v>
      </c>
      <c r="H17" s="23"/>
      <c r="J17" s="229"/>
      <c r="K17" s="244"/>
    </row>
    <row r="18" spans="1:11">
      <c r="A18" s="19"/>
      <c r="B18" s="22" t="s">
        <v>15</v>
      </c>
      <c r="C18" s="20"/>
      <c r="D18" s="204">
        <f t="shared" ref="D18:E18" si="4">SUM(D19:D22)</f>
        <v>0</v>
      </c>
      <c r="E18" s="204">
        <f t="shared" si="4"/>
        <v>22300</v>
      </c>
      <c r="F18" s="205">
        <f t="shared" si="1"/>
        <v>-22300</v>
      </c>
      <c r="G18" s="183">
        <f t="shared" si="2"/>
        <v>-1</v>
      </c>
      <c r="H18" s="21"/>
      <c r="J18" s="229"/>
      <c r="K18" s="244"/>
    </row>
    <row r="19" spans="1:11">
      <c r="A19" s="19"/>
      <c r="B19" s="22"/>
      <c r="C19" s="20" t="s">
        <v>16</v>
      </c>
      <c r="D19" s="204">
        <f>+ROUND('CE Min'!D51,0)</f>
        <v>0</v>
      </c>
      <c r="E19" s="204">
        <f>+ROUND('CE Min'!E51,0)</f>
        <v>0</v>
      </c>
      <c r="F19" s="206">
        <f t="shared" si="1"/>
        <v>0</v>
      </c>
      <c r="G19" s="184" t="e">
        <f t="shared" si="2"/>
        <v>#DIV/0!</v>
      </c>
      <c r="H19" s="23"/>
      <c r="J19" s="229"/>
      <c r="K19" s="244"/>
    </row>
    <row r="20" spans="1:11">
      <c r="A20" s="19"/>
      <c r="B20" s="22"/>
      <c r="C20" s="20" t="s">
        <v>17</v>
      </c>
      <c r="D20" s="204">
        <f>+ROUND('CE Min'!D52,0)</f>
        <v>0</v>
      </c>
      <c r="E20" s="204">
        <f>+ROUND('CE Min'!E52,0)</f>
        <v>0</v>
      </c>
      <c r="F20" s="206">
        <f t="shared" si="1"/>
        <v>0</v>
      </c>
      <c r="G20" s="184" t="e">
        <f t="shared" si="2"/>
        <v>#DIV/0!</v>
      </c>
      <c r="H20" s="23"/>
      <c r="J20" s="229"/>
      <c r="K20" s="244"/>
    </row>
    <row r="21" spans="1:11">
      <c r="A21" s="19"/>
      <c r="B21" s="22"/>
      <c r="C21" s="20" t="s">
        <v>18</v>
      </c>
      <c r="D21" s="204">
        <f>+ROUND('CE Min'!D53,0)</f>
        <v>0</v>
      </c>
      <c r="E21" s="204">
        <f>+ROUND('CE Min'!E53,0)</f>
        <v>0</v>
      </c>
      <c r="F21" s="206">
        <f t="shared" si="1"/>
        <v>0</v>
      </c>
      <c r="G21" s="184" t="e">
        <f t="shared" si="2"/>
        <v>#DIV/0!</v>
      </c>
      <c r="H21" s="23"/>
      <c r="J21" s="229"/>
      <c r="K21" s="244"/>
    </row>
    <row r="22" spans="1:11">
      <c r="A22" s="19"/>
      <c r="B22" s="22"/>
      <c r="C22" s="20" t="s">
        <v>19</v>
      </c>
      <c r="D22" s="204">
        <f>+ROUND('CE Min'!D54,0)</f>
        <v>0</v>
      </c>
      <c r="E22" s="204">
        <f>+ROUND('CE Min'!E54,0)</f>
        <v>22300</v>
      </c>
      <c r="F22" s="206">
        <f t="shared" si="1"/>
        <v>-22300</v>
      </c>
      <c r="G22" s="184">
        <f t="shared" si="2"/>
        <v>-1</v>
      </c>
      <c r="H22" s="23"/>
      <c r="J22" s="229"/>
      <c r="K22" s="244"/>
    </row>
    <row r="23" spans="1:11">
      <c r="A23" s="19"/>
      <c r="B23" s="22" t="s">
        <v>20</v>
      </c>
      <c r="C23" s="20"/>
      <c r="D23" s="204">
        <f>+ROUND('CE Min'!D55,0)</f>
        <v>166546</v>
      </c>
      <c r="E23" s="204">
        <f>+ROUND('CE Min'!E55,0)</f>
        <v>361248</v>
      </c>
      <c r="F23" s="206">
        <f t="shared" si="1"/>
        <v>-194702</v>
      </c>
      <c r="G23" s="184">
        <f t="shared" si="2"/>
        <v>-0.53897045796793341</v>
      </c>
      <c r="H23" s="23"/>
      <c r="J23" s="229"/>
      <c r="K23" s="244"/>
    </row>
    <row r="24" spans="1:11">
      <c r="A24" s="14">
        <v>2</v>
      </c>
      <c r="B24" s="16" t="s">
        <v>21</v>
      </c>
      <c r="C24" s="16"/>
      <c r="D24" s="207">
        <f>+ROUND('CE Min'!D56,0)</f>
        <v>-187160</v>
      </c>
      <c r="E24" s="207">
        <f>+ROUND('CE Min'!E56,0)</f>
        <v>-88737</v>
      </c>
      <c r="F24" s="208">
        <f t="shared" si="1"/>
        <v>-98423</v>
      </c>
      <c r="G24" s="334">
        <f t="shared" si="2"/>
        <v>1.1091540169264231</v>
      </c>
      <c r="H24" s="24"/>
      <c r="J24" s="193"/>
      <c r="K24" s="244"/>
    </row>
    <row r="25" spans="1:11">
      <c r="A25" s="14">
        <v>3</v>
      </c>
      <c r="B25" s="16" t="s">
        <v>22</v>
      </c>
      <c r="C25" s="16"/>
      <c r="D25" s="207">
        <f>+ROUND('CE Min'!D59,0)</f>
        <v>42649692</v>
      </c>
      <c r="E25" s="207">
        <f>+ROUND('CE Min'!E59,0)</f>
        <v>14017662</v>
      </c>
      <c r="F25" s="208">
        <f t="shared" si="1"/>
        <v>28632030</v>
      </c>
      <c r="G25" s="334">
        <f t="shared" si="2"/>
        <v>2.0425681543755299</v>
      </c>
      <c r="H25" s="24"/>
      <c r="J25" s="193"/>
      <c r="K25" s="244"/>
    </row>
    <row r="26" spans="1:11">
      <c r="A26" s="14">
        <v>4</v>
      </c>
      <c r="B26" s="16" t="s">
        <v>23</v>
      </c>
      <c r="C26" s="16"/>
      <c r="D26" s="203">
        <f t="shared" ref="D26:E26" si="5">SUM(D27:D29)</f>
        <v>42286440</v>
      </c>
      <c r="E26" s="203">
        <f t="shared" si="5"/>
        <v>38453547</v>
      </c>
      <c r="F26" s="208">
        <f t="shared" si="1"/>
        <v>3832893</v>
      </c>
      <c r="G26" s="334">
        <f t="shared" si="2"/>
        <v>9.9675928465064609E-2</v>
      </c>
      <c r="H26" s="24"/>
      <c r="J26" s="193"/>
      <c r="K26" s="244"/>
    </row>
    <row r="27" spans="1:11">
      <c r="A27" s="14"/>
      <c r="B27" s="20" t="s">
        <v>24</v>
      </c>
      <c r="C27" s="25"/>
      <c r="D27" s="204">
        <f>+ROUND('CE Min'!D66,0)</f>
        <v>27238371</v>
      </c>
      <c r="E27" s="204">
        <f>+ROUND('CE Min'!E66,0)</f>
        <v>24629766</v>
      </c>
      <c r="F27" s="206">
        <f t="shared" si="1"/>
        <v>2608605</v>
      </c>
      <c r="G27" s="184">
        <f t="shared" si="2"/>
        <v>0.10591269929239279</v>
      </c>
      <c r="H27" s="23"/>
      <c r="J27" s="229"/>
      <c r="K27" s="244"/>
    </row>
    <row r="28" spans="1:11">
      <c r="A28" s="19"/>
      <c r="B28" s="20" t="s">
        <v>25</v>
      </c>
      <c r="C28" s="25"/>
      <c r="D28" s="204">
        <f>+ROUND('CE Min'!D112,0)</f>
        <v>9072801</v>
      </c>
      <c r="E28" s="204">
        <f>+ROUND('CE Min'!E112,0)</f>
        <v>7791391</v>
      </c>
      <c r="F28" s="206">
        <f t="shared" si="1"/>
        <v>1281410</v>
      </c>
      <c r="G28" s="184">
        <f t="shared" si="2"/>
        <v>0.16446485614699607</v>
      </c>
      <c r="H28" s="23"/>
      <c r="J28" s="229"/>
      <c r="K28" s="244"/>
    </row>
    <row r="29" spans="1:11">
      <c r="A29" s="14"/>
      <c r="B29" s="20" t="s">
        <v>26</v>
      </c>
      <c r="C29" s="25"/>
      <c r="D29" s="204">
        <f>+ROUND('CE Min'!D105+'CE Min'!D111,0)</f>
        <v>5975268</v>
      </c>
      <c r="E29" s="204">
        <f>+ROUND('CE Min'!E105+'CE Min'!E111,0)</f>
        <v>6032390</v>
      </c>
      <c r="F29" s="206">
        <f t="shared" si="1"/>
        <v>-57122</v>
      </c>
      <c r="G29" s="184">
        <f t="shared" si="2"/>
        <v>-9.4692153524556597E-3</v>
      </c>
      <c r="H29" s="23"/>
      <c r="J29" s="229"/>
      <c r="K29" s="244"/>
    </row>
    <row r="30" spans="1:11">
      <c r="A30" s="14">
        <v>5</v>
      </c>
      <c r="B30" s="16" t="s">
        <v>27</v>
      </c>
      <c r="C30" s="16"/>
      <c r="D30" s="207">
        <f>+ROUND(+'CE Min'!D120,0)</f>
        <v>17503102</v>
      </c>
      <c r="E30" s="207">
        <f>+ROUND(+'CE Min'!E120,0)</f>
        <v>76796309</v>
      </c>
      <c r="F30" s="208">
        <f t="shared" si="1"/>
        <v>-59293207</v>
      </c>
      <c r="G30" s="334">
        <f t="shared" si="2"/>
        <v>-0.77208407242592869</v>
      </c>
      <c r="H30" s="24"/>
      <c r="J30" s="193"/>
      <c r="K30" s="244"/>
    </row>
    <row r="31" spans="1:11">
      <c r="A31" s="14">
        <v>6</v>
      </c>
      <c r="B31" s="16" t="s">
        <v>28</v>
      </c>
      <c r="C31" s="16"/>
      <c r="D31" s="207">
        <f>+ROUND('CE Min'!D141,0)</f>
        <v>8751128</v>
      </c>
      <c r="E31" s="207">
        <f>+ROUND('CE Min'!E141,0)</f>
        <v>7762333</v>
      </c>
      <c r="F31" s="208">
        <f t="shared" si="1"/>
        <v>988795</v>
      </c>
      <c r="G31" s="334">
        <f t="shared" si="2"/>
        <v>0.12738373888365778</v>
      </c>
      <c r="H31" s="259"/>
      <c r="I31" s="258"/>
      <c r="J31" s="193"/>
      <c r="K31" s="244"/>
    </row>
    <row r="32" spans="1:11">
      <c r="A32" s="14">
        <v>7</v>
      </c>
      <c r="B32" s="16" t="s">
        <v>29</v>
      </c>
      <c r="C32" s="16"/>
      <c r="D32" s="207">
        <f>+ROUND('CE Min'!D145,0)</f>
        <v>25721947</v>
      </c>
      <c r="E32" s="207">
        <f>+ROUND('CE Min'!E145,0)</f>
        <v>25951874</v>
      </c>
      <c r="F32" s="208">
        <f t="shared" si="1"/>
        <v>-229927</v>
      </c>
      <c r="G32" s="334">
        <f t="shared" si="2"/>
        <v>-8.8597455428459614E-3</v>
      </c>
      <c r="H32" s="24"/>
      <c r="J32" s="193"/>
      <c r="K32" s="244"/>
    </row>
    <row r="33" spans="1:11">
      <c r="A33" s="14">
        <v>8</v>
      </c>
      <c r="B33" s="16" t="s">
        <v>30</v>
      </c>
      <c r="C33" s="16"/>
      <c r="D33" s="207">
        <f>+ROUND(+'CE Min'!D152,0)</f>
        <v>91082</v>
      </c>
      <c r="E33" s="207">
        <f>+ROUND(+'CE Min'!E152,0)</f>
        <v>0</v>
      </c>
      <c r="F33" s="208">
        <f t="shared" si="1"/>
        <v>91082</v>
      </c>
      <c r="G33" s="185" t="e">
        <f t="shared" si="2"/>
        <v>#DIV/0!</v>
      </c>
      <c r="H33" s="24"/>
      <c r="J33" s="193"/>
      <c r="K33" s="244"/>
    </row>
    <row r="34" spans="1:11">
      <c r="A34" s="14">
        <v>9</v>
      </c>
      <c r="B34" s="16" t="s">
        <v>31</v>
      </c>
      <c r="C34" s="16"/>
      <c r="D34" s="405">
        <f>+ROUND(+'CE Min'!D153,0)-1</f>
        <v>715547</v>
      </c>
      <c r="E34" s="405">
        <f>+ROUND(+'CE Min'!E153,0)-1</f>
        <v>823772</v>
      </c>
      <c r="F34" s="208">
        <f t="shared" si="1"/>
        <v>-108225</v>
      </c>
      <c r="G34" s="185">
        <f t="shared" si="2"/>
        <v>-0.13137737140859365</v>
      </c>
      <c r="H34" s="24"/>
      <c r="J34" s="193"/>
      <c r="K34" s="244"/>
    </row>
    <row r="35" spans="1:11">
      <c r="A35" s="252" t="s">
        <v>32</v>
      </c>
      <c r="B35" s="253"/>
      <c r="C35" s="253"/>
      <c r="D35" s="209">
        <f t="shared" ref="D35:E35" si="6">D9+D24+D25+D26+SUM(D30:D34)</f>
        <v>992655537</v>
      </c>
      <c r="E35" s="209">
        <f t="shared" si="6"/>
        <v>1004252550</v>
      </c>
      <c r="F35" s="210">
        <f t="shared" si="1"/>
        <v>-11597013</v>
      </c>
      <c r="G35" s="176">
        <f t="shared" si="2"/>
        <v>-1.1547904956776062E-2</v>
      </c>
      <c r="H35" s="24"/>
      <c r="J35" s="193"/>
      <c r="K35" s="244"/>
    </row>
    <row r="36" spans="1:11">
      <c r="A36" s="19"/>
      <c r="B36" s="26"/>
      <c r="C36" s="17"/>
      <c r="D36" s="211"/>
      <c r="E36" s="211"/>
      <c r="F36" s="206"/>
      <c r="G36" s="184"/>
      <c r="H36" s="21"/>
      <c r="J36" s="229"/>
      <c r="K36" s="244"/>
    </row>
    <row r="37" spans="1:11">
      <c r="A37" s="14" t="s">
        <v>33</v>
      </c>
      <c r="B37" s="15"/>
      <c r="C37" s="27" t="s">
        <v>34</v>
      </c>
      <c r="D37" s="212"/>
      <c r="E37" s="212"/>
      <c r="F37" s="208">
        <f t="shared" ref="F37:F85" si="7">+D37-E37</f>
        <v>0</v>
      </c>
      <c r="G37" s="185" t="e">
        <f t="shared" ref="G37:G85" si="8">+F37/E37</f>
        <v>#DIV/0!</v>
      </c>
      <c r="H37" s="21"/>
      <c r="J37" s="193"/>
      <c r="K37" s="244"/>
    </row>
    <row r="38" spans="1:11">
      <c r="A38" s="14">
        <v>1</v>
      </c>
      <c r="B38" s="16" t="s">
        <v>35</v>
      </c>
      <c r="C38" s="28"/>
      <c r="D38" s="212">
        <f t="shared" ref="D38:E38" si="9">SUM(D39:D40)</f>
        <v>177783738</v>
      </c>
      <c r="E38" s="212">
        <f t="shared" si="9"/>
        <v>165598070</v>
      </c>
      <c r="F38" s="208">
        <f t="shared" si="7"/>
        <v>12185668</v>
      </c>
      <c r="G38" s="185">
        <f t="shared" si="8"/>
        <v>7.3585809303212291E-2</v>
      </c>
      <c r="H38" s="24"/>
      <c r="J38" s="193"/>
      <c r="K38" s="244"/>
    </row>
    <row r="39" spans="1:11">
      <c r="A39" s="14"/>
      <c r="B39" s="20" t="s">
        <v>36</v>
      </c>
      <c r="C39" s="25"/>
      <c r="D39" s="204">
        <f>+ROUND('CE Min'!D160,0)</f>
        <v>172696323</v>
      </c>
      <c r="E39" s="204">
        <f>+ROUND('CE Min'!E160,0)</f>
        <v>159803072</v>
      </c>
      <c r="F39" s="206">
        <f t="shared" si="7"/>
        <v>12893251</v>
      </c>
      <c r="G39" s="184">
        <f t="shared" si="8"/>
        <v>8.0682122306134391E-2</v>
      </c>
      <c r="H39" s="23"/>
      <c r="J39" s="229"/>
      <c r="K39" s="244"/>
    </row>
    <row r="40" spans="1:11">
      <c r="A40" s="19"/>
      <c r="B40" s="20" t="s">
        <v>37</v>
      </c>
      <c r="C40" s="25"/>
      <c r="D40" s="204">
        <f>+ROUND('CE Min'!D191,0)</f>
        <v>5087415</v>
      </c>
      <c r="E40" s="204">
        <f>+ROUND('CE Min'!E191,0)</f>
        <v>5794998</v>
      </c>
      <c r="F40" s="206">
        <f t="shared" si="7"/>
        <v>-707583</v>
      </c>
      <c r="G40" s="184">
        <f t="shared" si="8"/>
        <v>-0.12210237173507221</v>
      </c>
      <c r="H40" s="23"/>
      <c r="J40" s="229"/>
      <c r="K40" s="244"/>
    </row>
    <row r="41" spans="1:11">
      <c r="A41" s="14">
        <v>2</v>
      </c>
      <c r="B41" s="16" t="s">
        <v>38</v>
      </c>
      <c r="C41" s="28"/>
      <c r="D41" s="212">
        <f t="shared" ref="D41:E41" si="10">SUM(D42:D58)</f>
        <v>324074776</v>
      </c>
      <c r="E41" s="212">
        <f t="shared" si="10"/>
        <v>313518064</v>
      </c>
      <c r="F41" s="208">
        <f t="shared" si="7"/>
        <v>10556712</v>
      </c>
      <c r="G41" s="185">
        <f t="shared" si="8"/>
        <v>3.3671782305979024E-2</v>
      </c>
      <c r="H41" s="24"/>
      <c r="J41" s="193"/>
      <c r="K41" s="244"/>
    </row>
    <row r="42" spans="1:11">
      <c r="A42" s="19"/>
      <c r="B42" s="22" t="s">
        <v>39</v>
      </c>
      <c r="C42" s="20"/>
      <c r="D42" s="204">
        <f>+ROUND('CE Min'!D201,0)</f>
        <v>40949433</v>
      </c>
      <c r="E42" s="204">
        <f>+ROUND('CE Min'!E201,0)</f>
        <v>40917904</v>
      </c>
      <c r="F42" s="206">
        <f t="shared" si="7"/>
        <v>31529</v>
      </c>
      <c r="G42" s="184">
        <f t="shared" si="8"/>
        <v>7.7054288997794218E-4</v>
      </c>
      <c r="H42" s="23"/>
      <c r="J42" s="229"/>
      <c r="K42" s="244"/>
    </row>
    <row r="43" spans="1:11">
      <c r="A43" s="19"/>
      <c r="B43" s="22" t="s">
        <v>40</v>
      </c>
      <c r="C43" s="20"/>
      <c r="D43" s="204">
        <f>+ROUND('CE Min'!D209,0)</f>
        <v>48879669</v>
      </c>
      <c r="E43" s="204">
        <f>+ROUND('CE Min'!E209,0)</f>
        <v>48857822</v>
      </c>
      <c r="F43" s="206">
        <f t="shared" si="7"/>
        <v>21847</v>
      </c>
      <c r="G43" s="184">
        <f t="shared" si="8"/>
        <v>4.4715460300297466E-4</v>
      </c>
      <c r="H43" s="23"/>
      <c r="J43" s="229"/>
      <c r="K43" s="244"/>
    </row>
    <row r="44" spans="1:11">
      <c r="A44" s="19"/>
      <c r="B44" s="22" t="s">
        <v>41</v>
      </c>
      <c r="C44" s="20"/>
      <c r="D44" s="204">
        <f>+ROUND('CE Min'!D213,0)</f>
        <v>41292460</v>
      </c>
      <c r="E44" s="204">
        <f>+ROUND('CE Min'!E213,0)</f>
        <v>39154948</v>
      </c>
      <c r="F44" s="206">
        <f t="shared" si="7"/>
        <v>2137512</v>
      </c>
      <c r="G44" s="184">
        <f t="shared" si="8"/>
        <v>5.4591108127636893E-2</v>
      </c>
      <c r="H44" s="23"/>
      <c r="J44" s="229"/>
      <c r="K44" s="244"/>
    </row>
    <row r="45" spans="1:11">
      <c r="A45" s="19"/>
      <c r="B45" s="22" t="s">
        <v>42</v>
      </c>
      <c r="C45" s="20"/>
      <c r="D45" s="204">
        <f>+ROUND('CE Min'!D232,0)</f>
        <v>1803469</v>
      </c>
      <c r="E45" s="204">
        <f>+ROUND('CE Min'!E232,0)</f>
        <v>1573456</v>
      </c>
      <c r="F45" s="206">
        <f t="shared" si="7"/>
        <v>230013</v>
      </c>
      <c r="G45" s="184">
        <f t="shared" si="8"/>
        <v>0.14618330604732513</v>
      </c>
      <c r="H45" s="23"/>
      <c r="J45" s="229"/>
      <c r="K45" s="244"/>
    </row>
    <row r="46" spans="1:11">
      <c r="A46" s="19"/>
      <c r="B46" s="22" t="s">
        <v>43</v>
      </c>
      <c r="C46" s="20"/>
      <c r="D46" s="204">
        <f>+ROUND('CE Min'!D238,0)</f>
        <v>9363749</v>
      </c>
      <c r="E46" s="204">
        <f>+ROUND('CE Min'!E238,0)</f>
        <v>8984268</v>
      </c>
      <c r="F46" s="206">
        <f t="shared" si="7"/>
        <v>379481</v>
      </c>
      <c r="G46" s="184">
        <f t="shared" si="8"/>
        <v>4.2238388258230945E-2</v>
      </c>
      <c r="H46" s="23"/>
      <c r="J46" s="229"/>
      <c r="K46" s="244"/>
    </row>
    <row r="47" spans="1:11">
      <c r="A47" s="19"/>
      <c r="B47" s="22" t="s">
        <v>44</v>
      </c>
      <c r="C47" s="20"/>
      <c r="D47" s="204">
        <f>+ROUND('CE Min'!D243,0)</f>
        <v>3265592</v>
      </c>
      <c r="E47" s="204">
        <f>+ROUND('CE Min'!E243,0)</f>
        <v>4660061</v>
      </c>
      <c r="F47" s="206">
        <f t="shared" si="7"/>
        <v>-1394469</v>
      </c>
      <c r="G47" s="184">
        <f t="shared" si="8"/>
        <v>-0.29923835760948192</v>
      </c>
      <c r="H47" s="23"/>
      <c r="J47" s="229"/>
      <c r="K47" s="244"/>
    </row>
    <row r="48" spans="1:11">
      <c r="A48" s="19"/>
      <c r="B48" s="22" t="s">
        <v>45</v>
      </c>
      <c r="C48" s="20"/>
      <c r="D48" s="204">
        <f>+ROUND('CE Min'!D248,0)</f>
        <v>66941677</v>
      </c>
      <c r="E48" s="204">
        <f>+ROUND('CE Min'!E248,0)</f>
        <v>68340648</v>
      </c>
      <c r="F48" s="206">
        <f t="shared" si="7"/>
        <v>-1398971</v>
      </c>
      <c r="G48" s="184">
        <f t="shared" si="8"/>
        <v>-2.0470555093361129E-2</v>
      </c>
      <c r="H48" s="23"/>
      <c r="J48" s="229"/>
      <c r="K48" s="244"/>
    </row>
    <row r="49" spans="1:11">
      <c r="A49" s="19"/>
      <c r="B49" s="22" t="s">
        <v>46</v>
      </c>
      <c r="C49" s="20"/>
      <c r="D49" s="204">
        <f>+ROUND('CE Min'!D258,0)</f>
        <v>7286764</v>
      </c>
      <c r="E49" s="204">
        <f>+ROUND('CE Min'!E258,0)</f>
        <v>6460678</v>
      </c>
      <c r="F49" s="206">
        <f t="shared" si="7"/>
        <v>826086</v>
      </c>
      <c r="G49" s="184">
        <f t="shared" si="8"/>
        <v>0.12786367003586929</v>
      </c>
      <c r="H49" s="23"/>
      <c r="J49" s="229"/>
      <c r="K49" s="244"/>
    </row>
    <row r="50" spans="1:11">
      <c r="A50" s="19"/>
      <c r="B50" s="22" t="s">
        <v>47</v>
      </c>
      <c r="C50" s="20"/>
      <c r="D50" s="204">
        <f>+ROUND('CE Min'!D264,0)</f>
        <v>5251385</v>
      </c>
      <c r="E50" s="204">
        <f>+ROUND('CE Min'!E264,0)</f>
        <v>4768560</v>
      </c>
      <c r="F50" s="206">
        <f t="shared" si="7"/>
        <v>482825</v>
      </c>
      <c r="G50" s="184">
        <f t="shared" si="8"/>
        <v>0.10125174056738302</v>
      </c>
      <c r="H50" s="23"/>
      <c r="J50" s="229"/>
      <c r="K50" s="244"/>
    </row>
    <row r="51" spans="1:11">
      <c r="A51" s="19"/>
      <c r="B51" s="22" t="s">
        <v>48</v>
      </c>
      <c r="C51" s="20"/>
      <c r="D51" s="204">
        <f>+ROUND('CE Min'!D271,0)</f>
        <v>284591</v>
      </c>
      <c r="E51" s="204">
        <f>+ROUND('CE Min'!E271,0)</f>
        <v>353205</v>
      </c>
      <c r="F51" s="206">
        <f t="shared" si="7"/>
        <v>-68614</v>
      </c>
      <c r="G51" s="184">
        <f t="shared" si="8"/>
        <v>-0.19426112314378335</v>
      </c>
      <c r="H51" s="23"/>
      <c r="J51" s="229"/>
      <c r="K51" s="244"/>
    </row>
    <row r="52" spans="1:11">
      <c r="A52" s="19"/>
      <c r="B52" s="22" t="s">
        <v>49</v>
      </c>
      <c r="C52" s="20"/>
      <c r="D52" s="204">
        <f>+ROUND('CE Min'!D277,0)</f>
        <v>9076211</v>
      </c>
      <c r="E52" s="204">
        <f>+ROUND('CE Min'!E277,0)</f>
        <v>8591058</v>
      </c>
      <c r="F52" s="206">
        <f t="shared" si="7"/>
        <v>485153</v>
      </c>
      <c r="G52" s="184">
        <f t="shared" si="8"/>
        <v>5.6471857133312334E-2</v>
      </c>
      <c r="H52" s="23"/>
      <c r="J52" s="229"/>
      <c r="K52" s="244"/>
    </row>
    <row r="53" spans="1:11">
      <c r="A53" s="19"/>
      <c r="B53" s="22" t="s">
        <v>50</v>
      </c>
      <c r="C53" s="20"/>
      <c r="D53" s="204">
        <f>+ROUND('CE Min'!D282,0)</f>
        <v>50227601</v>
      </c>
      <c r="E53" s="204">
        <f>+ROUND('CE Min'!E282,0)</f>
        <v>41033015</v>
      </c>
      <c r="F53" s="206">
        <f t="shared" si="7"/>
        <v>9194586</v>
      </c>
      <c r="G53" s="184">
        <f t="shared" si="8"/>
        <v>0.22407775787375117</v>
      </c>
      <c r="H53" s="23"/>
      <c r="J53" s="229"/>
      <c r="K53" s="244"/>
    </row>
    <row r="54" spans="1:11">
      <c r="A54" s="19"/>
      <c r="B54" s="22" t="s">
        <v>51</v>
      </c>
      <c r="C54" s="20"/>
      <c r="D54" s="204">
        <f>+ROUND('CE Min'!D291,0)</f>
        <v>7346592</v>
      </c>
      <c r="E54" s="204">
        <f>+ROUND('CE Min'!E291,0)</f>
        <v>6157979</v>
      </c>
      <c r="F54" s="206">
        <f t="shared" si="7"/>
        <v>1188613</v>
      </c>
      <c r="G54" s="184">
        <f t="shared" si="8"/>
        <v>0.19301998269237358</v>
      </c>
      <c r="H54" s="23"/>
      <c r="J54" s="229"/>
      <c r="K54" s="244"/>
    </row>
    <row r="55" spans="1:11">
      <c r="A55" s="19"/>
      <c r="B55" s="22" t="s">
        <v>52</v>
      </c>
      <c r="C55" s="20"/>
      <c r="D55" s="204">
        <f>+ROUND('CE Min'!D299,0)</f>
        <v>7963037</v>
      </c>
      <c r="E55" s="204">
        <f>+ROUND('CE Min'!E299,0)</f>
        <v>8558291</v>
      </c>
      <c r="F55" s="206">
        <f t="shared" si="7"/>
        <v>-595254</v>
      </c>
      <c r="G55" s="184">
        <f t="shared" si="8"/>
        <v>-6.9552904896550027E-2</v>
      </c>
      <c r="H55" s="197"/>
      <c r="J55" s="229"/>
      <c r="K55" s="244"/>
    </row>
    <row r="56" spans="1:11">
      <c r="A56" s="19"/>
      <c r="B56" s="22" t="s">
        <v>53</v>
      </c>
      <c r="C56" s="256"/>
      <c r="D56" s="204">
        <f>+ROUND('CE Min'!D307,0)</f>
        <v>10439794</v>
      </c>
      <c r="E56" s="204">
        <f>+ROUND('CE Min'!E307,0)</f>
        <v>12258529</v>
      </c>
      <c r="F56" s="206">
        <f t="shared" si="7"/>
        <v>-1818735</v>
      </c>
      <c r="G56" s="184">
        <f t="shared" si="8"/>
        <v>-0.14836486498502391</v>
      </c>
      <c r="H56" s="197"/>
      <c r="J56" s="229"/>
      <c r="K56" s="244"/>
    </row>
    <row r="57" spans="1:11">
      <c r="A57" s="19"/>
      <c r="B57" s="22" t="s">
        <v>54</v>
      </c>
      <c r="C57" s="20"/>
      <c r="D57" s="204">
        <f>+ROUND('CE Min'!D321,0)</f>
        <v>13702752</v>
      </c>
      <c r="E57" s="204">
        <f>+ROUND('CE Min'!E321,0)</f>
        <v>12847642</v>
      </c>
      <c r="F57" s="206">
        <f t="shared" si="7"/>
        <v>855110</v>
      </c>
      <c r="G57" s="184">
        <f t="shared" si="8"/>
        <v>6.6557738766382185E-2</v>
      </c>
      <c r="H57" s="23"/>
      <c r="J57" s="229"/>
      <c r="K57" s="244"/>
    </row>
    <row r="58" spans="1:11">
      <c r="A58" s="19"/>
      <c r="B58" s="22" t="s">
        <v>55</v>
      </c>
      <c r="C58" s="20"/>
      <c r="D58" s="204">
        <f>+ROUND('CE Min'!D329,0)</f>
        <v>0</v>
      </c>
      <c r="E58" s="204">
        <f>+ROUND('CE Min'!E329,0)</f>
        <v>0</v>
      </c>
      <c r="F58" s="206">
        <f t="shared" si="7"/>
        <v>0</v>
      </c>
      <c r="G58" s="184" t="e">
        <f t="shared" si="8"/>
        <v>#DIV/0!</v>
      </c>
      <c r="H58" s="23"/>
      <c r="J58" s="229"/>
      <c r="K58" s="244"/>
    </row>
    <row r="59" spans="1:11">
      <c r="A59" s="14">
        <v>3</v>
      </c>
      <c r="B59" s="16" t="s">
        <v>56</v>
      </c>
      <c r="C59" s="28"/>
      <c r="D59" s="212">
        <f t="shared" ref="D59:E59" si="11">SUM(D60:D62)</f>
        <v>82781760</v>
      </c>
      <c r="E59" s="212">
        <f t="shared" si="11"/>
        <v>95044416</v>
      </c>
      <c r="F59" s="208">
        <f t="shared" si="7"/>
        <v>-12262656</v>
      </c>
      <c r="G59" s="185">
        <f t="shared" si="8"/>
        <v>-0.12902026774513509</v>
      </c>
      <c r="H59" s="24"/>
      <c r="J59" s="193"/>
      <c r="K59" s="244"/>
    </row>
    <row r="60" spans="1:11">
      <c r="A60" s="19"/>
      <c r="B60" s="22" t="s">
        <v>57</v>
      </c>
      <c r="C60" s="20"/>
      <c r="D60" s="204">
        <f>+ROUND('CE Min'!D331,0)</f>
        <v>79972114</v>
      </c>
      <c r="E60" s="204">
        <f>+ROUND('CE Min'!E331,0)</f>
        <v>89850423</v>
      </c>
      <c r="F60" s="206">
        <f t="shared" si="7"/>
        <v>-9878309</v>
      </c>
      <c r="G60" s="184">
        <f t="shared" si="8"/>
        <v>-0.10994170834343206</v>
      </c>
      <c r="H60" s="23"/>
      <c r="J60" s="229"/>
      <c r="K60" s="244"/>
    </row>
    <row r="61" spans="1:11">
      <c r="A61" s="19"/>
      <c r="B61" s="22" t="s">
        <v>58</v>
      </c>
      <c r="C61" s="256"/>
      <c r="D61" s="204">
        <f>+ROUND('CE Min'!D351,0)</f>
        <v>2459558</v>
      </c>
      <c r="E61" s="204">
        <f>+ROUND('CE Min'!E351,0)</f>
        <v>4860877</v>
      </c>
      <c r="F61" s="206">
        <f t="shared" si="7"/>
        <v>-2401319</v>
      </c>
      <c r="G61" s="184">
        <f t="shared" si="8"/>
        <v>-0.49400941435053797</v>
      </c>
      <c r="H61" s="23"/>
      <c r="J61" s="229"/>
      <c r="K61" s="244"/>
    </row>
    <row r="62" spans="1:11">
      <c r="A62" s="19"/>
      <c r="B62" s="22" t="s">
        <v>59</v>
      </c>
      <c r="C62" s="20"/>
      <c r="D62" s="204">
        <f>+ROUND('CE Min'!D365,0)</f>
        <v>350088</v>
      </c>
      <c r="E62" s="204">
        <f>+ROUND('CE Min'!E365,0)</f>
        <v>333116</v>
      </c>
      <c r="F62" s="206">
        <f t="shared" si="7"/>
        <v>16972</v>
      </c>
      <c r="G62" s="184">
        <f t="shared" si="8"/>
        <v>5.0949218890716748E-2</v>
      </c>
      <c r="H62" s="23"/>
      <c r="J62" s="229"/>
      <c r="K62" s="244"/>
    </row>
    <row r="63" spans="1:11">
      <c r="A63" s="14">
        <v>4</v>
      </c>
      <c r="B63" s="29" t="s">
        <v>60</v>
      </c>
      <c r="C63" s="28"/>
      <c r="D63" s="212">
        <f>+ROUND('CE Min'!D368,0)</f>
        <v>17800544</v>
      </c>
      <c r="E63" s="212">
        <f>+ROUND('CE Min'!E368,0)</f>
        <v>16143307</v>
      </c>
      <c r="F63" s="208">
        <f t="shared" si="7"/>
        <v>1657237</v>
      </c>
      <c r="G63" s="185">
        <f t="shared" si="8"/>
        <v>0.1026578383227179</v>
      </c>
      <c r="H63" s="24"/>
      <c r="J63" s="193"/>
      <c r="K63" s="244"/>
    </row>
    <row r="64" spans="1:11">
      <c r="A64" s="14">
        <v>5</v>
      </c>
      <c r="B64" s="16" t="s">
        <v>61</v>
      </c>
      <c r="C64" s="16"/>
      <c r="D64" s="212">
        <f>+ROUND('CE Min'!D376,0)</f>
        <v>4528917</v>
      </c>
      <c r="E64" s="212">
        <f>+ROUND('CE Min'!E376,0)</f>
        <v>5005316</v>
      </c>
      <c r="F64" s="208">
        <f t="shared" si="7"/>
        <v>-476399</v>
      </c>
      <c r="G64" s="185">
        <f t="shared" si="8"/>
        <v>-9.517860610598812E-2</v>
      </c>
      <c r="H64" s="24"/>
      <c r="J64" s="193"/>
      <c r="K64" s="244"/>
    </row>
    <row r="65" spans="1:11">
      <c r="A65" s="14">
        <v>6</v>
      </c>
      <c r="B65" s="16" t="s">
        <v>62</v>
      </c>
      <c r="C65" s="28"/>
      <c r="D65" s="212">
        <f t="shared" ref="D65:E65" si="12">SUM(D66:D70)</f>
        <v>323639509</v>
      </c>
      <c r="E65" s="212">
        <f t="shared" si="12"/>
        <v>317806055</v>
      </c>
      <c r="F65" s="208">
        <f t="shared" si="7"/>
        <v>5833454</v>
      </c>
      <c r="G65" s="185">
        <f t="shared" si="8"/>
        <v>1.8355389736045148E-2</v>
      </c>
      <c r="H65" s="24"/>
      <c r="J65" s="193"/>
      <c r="K65" s="244"/>
    </row>
    <row r="66" spans="1:11">
      <c r="A66" s="14"/>
      <c r="B66" s="20" t="s">
        <v>63</v>
      </c>
      <c r="C66" s="25"/>
      <c r="D66" s="204">
        <f>+ROUND('CE Min'!D389,0)</f>
        <v>94030030</v>
      </c>
      <c r="E66" s="204">
        <f>+ROUND('CE Min'!E389,0)</f>
        <v>93624071</v>
      </c>
      <c r="F66" s="206">
        <f t="shared" si="7"/>
        <v>405959</v>
      </c>
      <c r="G66" s="184">
        <f t="shared" si="8"/>
        <v>4.3360537056757551E-3</v>
      </c>
      <c r="H66" s="23"/>
      <c r="J66" s="229"/>
      <c r="K66" s="244"/>
    </row>
    <row r="67" spans="1:11">
      <c r="A67" s="14"/>
      <c r="B67" s="20" t="s">
        <v>64</v>
      </c>
      <c r="C67" s="25"/>
      <c r="D67" s="204">
        <f>+ROUND('CE Min'!D393,0)</f>
        <v>12139635</v>
      </c>
      <c r="E67" s="204">
        <f>+ROUND('CE Min'!E393,0)</f>
        <v>11835214</v>
      </c>
      <c r="F67" s="206">
        <f t="shared" si="7"/>
        <v>304421</v>
      </c>
      <c r="G67" s="184">
        <f t="shared" si="8"/>
        <v>2.5721630382010835E-2</v>
      </c>
      <c r="H67" s="23"/>
      <c r="J67" s="229"/>
      <c r="K67" s="244"/>
    </row>
    <row r="68" spans="1:11">
      <c r="A68" s="14"/>
      <c r="B68" s="20" t="s">
        <v>65</v>
      </c>
      <c r="C68" s="25"/>
      <c r="D68" s="204">
        <f>+ROUND('CE Min'!D397,0)</f>
        <v>146286932</v>
      </c>
      <c r="E68" s="204">
        <f>+ROUND('CE Min'!E397,0)</f>
        <v>147026757</v>
      </c>
      <c r="F68" s="206">
        <f t="shared" si="7"/>
        <v>-739825</v>
      </c>
      <c r="G68" s="184">
        <f t="shared" si="8"/>
        <v>-5.031907219445777E-3</v>
      </c>
      <c r="H68" s="23"/>
      <c r="J68" s="229"/>
      <c r="K68" s="244"/>
    </row>
    <row r="69" spans="1:11">
      <c r="A69" s="19"/>
      <c r="B69" s="20" t="s">
        <v>66</v>
      </c>
      <c r="C69" s="25"/>
      <c r="D69" s="204">
        <f>+ROUND('CE Min'!D402+'CE Min'!D411+'CE Min'!D420,0)</f>
        <v>3584636</v>
      </c>
      <c r="E69" s="204">
        <f>+ROUND('CE Min'!E402+'CE Min'!E411+'CE Min'!E420,0)</f>
        <v>3391192</v>
      </c>
      <c r="F69" s="206">
        <f t="shared" si="7"/>
        <v>193444</v>
      </c>
      <c r="G69" s="184">
        <f t="shared" si="8"/>
        <v>5.7043069221677803E-2</v>
      </c>
      <c r="H69" s="23"/>
      <c r="J69" s="229"/>
      <c r="K69" s="244"/>
    </row>
    <row r="70" spans="1:11">
      <c r="A70" s="19"/>
      <c r="B70" s="20" t="s">
        <v>67</v>
      </c>
      <c r="C70" s="25"/>
      <c r="D70" s="204">
        <f>+ROUND('CE Min'!D406+'CE Min'!D415+'CE Min'!D424,0)</f>
        <v>67598276</v>
      </c>
      <c r="E70" s="204">
        <f>+ROUND('CE Min'!E406+'CE Min'!E415+'CE Min'!E424,0)</f>
        <v>61928821</v>
      </c>
      <c r="F70" s="206">
        <f t="shared" si="7"/>
        <v>5669455</v>
      </c>
      <c r="G70" s="184">
        <f t="shared" si="8"/>
        <v>9.1547924027166605E-2</v>
      </c>
      <c r="H70" s="23"/>
      <c r="J70" s="229"/>
    </row>
    <row r="71" spans="1:11">
      <c r="A71" s="14">
        <v>7</v>
      </c>
      <c r="B71" s="29" t="s">
        <v>68</v>
      </c>
      <c r="C71" s="16"/>
      <c r="D71" s="212">
        <f>+ROUND('CE Min'!D428,0)</f>
        <v>2313528</v>
      </c>
      <c r="E71" s="212">
        <f>+ROUND('CE Min'!E428,0)</f>
        <v>2248268</v>
      </c>
      <c r="F71" s="208">
        <f t="shared" si="7"/>
        <v>65260</v>
      </c>
      <c r="G71" s="185">
        <f t="shared" si="8"/>
        <v>2.9026788621285361E-2</v>
      </c>
      <c r="H71" s="24"/>
      <c r="J71" s="193"/>
    </row>
    <row r="72" spans="1:11">
      <c r="A72" s="14">
        <v>8</v>
      </c>
      <c r="B72" s="29" t="s">
        <v>69</v>
      </c>
      <c r="C72" s="16"/>
      <c r="D72" s="212">
        <f t="shared" ref="D72:E72" si="13">SUM(D73:D75)</f>
        <v>26226877</v>
      </c>
      <c r="E72" s="212">
        <f t="shared" si="13"/>
        <v>26476914</v>
      </c>
      <c r="F72" s="208">
        <f t="shared" si="7"/>
        <v>-250037</v>
      </c>
      <c r="G72" s="185">
        <f t="shared" si="8"/>
        <v>-9.4435854571269136E-3</v>
      </c>
      <c r="H72" s="24"/>
      <c r="J72" s="193"/>
    </row>
    <row r="73" spans="1:11">
      <c r="A73" s="14"/>
      <c r="B73" s="20" t="s">
        <v>70</v>
      </c>
      <c r="C73" s="25"/>
      <c r="D73" s="204">
        <f>+ROUND('CE Min'!D437,0)</f>
        <v>268000</v>
      </c>
      <c r="E73" s="204">
        <f>+ROUND('CE Min'!E437,0)</f>
        <v>600939</v>
      </c>
      <c r="F73" s="206">
        <f t="shared" si="7"/>
        <v>-332939</v>
      </c>
      <c r="G73" s="184">
        <f t="shared" si="8"/>
        <v>-0.55403127438891464</v>
      </c>
      <c r="H73" s="23"/>
      <c r="J73" s="229"/>
    </row>
    <row r="74" spans="1:11">
      <c r="A74" s="14"/>
      <c r="B74" s="20" t="s">
        <v>71</v>
      </c>
      <c r="C74" s="25"/>
      <c r="D74" s="204">
        <f>+ROUND('CE Min'!D439,0)</f>
        <v>16306324</v>
      </c>
      <c r="E74" s="204">
        <f>+ROUND('CE Min'!E439,0)</f>
        <v>16231343</v>
      </c>
      <c r="F74" s="206">
        <f t="shared" si="7"/>
        <v>74981</v>
      </c>
      <c r="G74" s="184">
        <f t="shared" si="8"/>
        <v>4.6195191611686105E-3</v>
      </c>
      <c r="H74" s="23"/>
      <c r="J74" s="229"/>
    </row>
    <row r="75" spans="1:11">
      <c r="A75" s="19"/>
      <c r="B75" s="20" t="s">
        <v>72</v>
      </c>
      <c r="C75" s="25"/>
      <c r="D75" s="204">
        <f>+ROUND('CE Min'!D442,0)</f>
        <v>9652553</v>
      </c>
      <c r="E75" s="204">
        <f>+ROUND('CE Min'!E442,0)</f>
        <v>9644632</v>
      </c>
      <c r="F75" s="206">
        <f t="shared" si="7"/>
        <v>7921</v>
      </c>
      <c r="G75" s="184">
        <f t="shared" si="8"/>
        <v>8.2128587176783939E-4</v>
      </c>
      <c r="H75" s="23"/>
      <c r="J75" s="229"/>
    </row>
    <row r="76" spans="1:11">
      <c r="A76" s="14">
        <v>9</v>
      </c>
      <c r="B76" s="29" t="s">
        <v>73</v>
      </c>
      <c r="C76" s="16"/>
      <c r="D76" s="212">
        <f>+ROUND('CE Min'!D443,0)</f>
        <v>60420</v>
      </c>
      <c r="E76" s="212">
        <f>+ROUND('CE Min'!E443,0)</f>
        <v>501925</v>
      </c>
      <c r="F76" s="208">
        <f t="shared" si="7"/>
        <v>-441505</v>
      </c>
      <c r="G76" s="185">
        <f t="shared" si="8"/>
        <v>-0.87962344971858342</v>
      </c>
      <c r="H76" s="24"/>
      <c r="J76" s="193"/>
    </row>
    <row r="77" spans="1:11">
      <c r="A77" s="14">
        <v>10</v>
      </c>
      <c r="B77" s="16" t="s">
        <v>74</v>
      </c>
      <c r="C77" s="28"/>
      <c r="D77" s="212">
        <f t="shared" ref="D77:E77" si="14">SUM(D78:D79)</f>
        <v>-576620</v>
      </c>
      <c r="E77" s="212">
        <f t="shared" si="14"/>
        <v>1785510</v>
      </c>
      <c r="F77" s="208">
        <f t="shared" si="7"/>
        <v>-2362130</v>
      </c>
      <c r="G77" s="185">
        <f t="shared" si="8"/>
        <v>-1.3229441448101662</v>
      </c>
      <c r="H77" s="24"/>
      <c r="J77" s="193"/>
    </row>
    <row r="78" spans="1:11">
      <c r="A78" s="14"/>
      <c r="B78" s="20" t="s">
        <v>75</v>
      </c>
      <c r="C78" s="25"/>
      <c r="D78" s="204">
        <f>+ROUND('CE Min'!D447,0)</f>
        <v>-725535</v>
      </c>
      <c r="E78" s="204">
        <f>+ROUND('CE Min'!E447,0)</f>
        <v>1518394</v>
      </c>
      <c r="F78" s="206">
        <f t="shared" si="7"/>
        <v>-2243929</v>
      </c>
      <c r="G78" s="184">
        <f t="shared" si="8"/>
        <v>-1.4778305235663471</v>
      </c>
      <c r="H78" s="23"/>
      <c r="J78" s="229"/>
    </row>
    <row r="79" spans="1:11">
      <c r="A79" s="14"/>
      <c r="B79" s="20" t="s">
        <v>76</v>
      </c>
      <c r="C79" s="25"/>
      <c r="D79" s="204">
        <f>+ROUND('CE Min'!D456,0)</f>
        <v>148915</v>
      </c>
      <c r="E79" s="204">
        <f>+ROUND('CE Min'!E456,0)</f>
        <v>267116</v>
      </c>
      <c r="F79" s="206">
        <f t="shared" si="7"/>
        <v>-118201</v>
      </c>
      <c r="G79" s="184">
        <f t="shared" si="8"/>
        <v>-0.44250812381137783</v>
      </c>
      <c r="H79" s="23"/>
      <c r="J79" s="229"/>
    </row>
    <row r="80" spans="1:11">
      <c r="A80" s="14">
        <v>11</v>
      </c>
      <c r="B80" s="16" t="s">
        <v>77</v>
      </c>
      <c r="C80" s="28"/>
      <c r="D80" s="212">
        <f t="shared" ref="D80:E80" si="15">SUM(D81:D84)</f>
        <v>18556790</v>
      </c>
      <c r="E80" s="212">
        <f t="shared" si="15"/>
        <v>53932819</v>
      </c>
      <c r="F80" s="208">
        <f t="shared" si="7"/>
        <v>-35376029</v>
      </c>
      <c r="G80" s="185">
        <f t="shared" si="8"/>
        <v>-0.65592768291974501</v>
      </c>
      <c r="H80" s="24"/>
      <c r="J80" s="193"/>
    </row>
    <row r="81" spans="1:10">
      <c r="A81" s="14"/>
      <c r="B81" s="20" t="s">
        <v>78</v>
      </c>
      <c r="C81" s="17"/>
      <c r="D81" s="204">
        <f>+ROUND('CE Min'!D464,0)</f>
        <v>3158044</v>
      </c>
      <c r="E81" s="204">
        <f>+ROUND('CE Min'!E464,0)</f>
        <v>2561190</v>
      </c>
      <c r="F81" s="206">
        <f t="shared" si="7"/>
        <v>596854</v>
      </c>
      <c r="G81" s="184">
        <f t="shared" si="8"/>
        <v>0.23303776760021708</v>
      </c>
      <c r="H81" s="23"/>
      <c r="J81" s="229"/>
    </row>
    <row r="82" spans="1:10">
      <c r="A82" s="14"/>
      <c r="B82" s="20" t="s">
        <v>79</v>
      </c>
      <c r="C82" s="17"/>
      <c r="D82" s="204">
        <f>+ROUND('CE Min'!D472,0)</f>
        <v>150151</v>
      </c>
      <c r="E82" s="204">
        <f>+ROUND('CE Min'!E472,0)</f>
        <v>176073</v>
      </c>
      <c r="F82" s="206">
        <f t="shared" si="7"/>
        <v>-25922</v>
      </c>
      <c r="G82" s="184">
        <f t="shared" si="8"/>
        <v>-0.14722302681274244</v>
      </c>
      <c r="H82" s="23"/>
      <c r="J82" s="229"/>
    </row>
    <row r="83" spans="1:10">
      <c r="A83" s="14"/>
      <c r="B83" s="20" t="s">
        <v>80</v>
      </c>
      <c r="C83" s="17"/>
      <c r="D83" s="205">
        <f>+ROUND('CE Min'!D473,0)+1</f>
        <v>10771823</v>
      </c>
      <c r="E83" s="205">
        <f>+ROUND('CE Min'!E473,0)+1</f>
        <v>44654259</v>
      </c>
      <c r="F83" s="206">
        <f t="shared" si="7"/>
        <v>-33882436</v>
      </c>
      <c r="G83" s="184">
        <f t="shared" si="8"/>
        <v>-0.7587727746193258</v>
      </c>
      <c r="H83" s="23"/>
      <c r="J83" s="229"/>
    </row>
    <row r="84" spans="1:10">
      <c r="A84" s="14"/>
      <c r="B84" s="20" t="s">
        <v>81</v>
      </c>
      <c r="C84" s="17"/>
      <c r="D84" s="204">
        <f>+ROUND('CE Min'!D480,0)</f>
        <v>4476772</v>
      </c>
      <c r="E84" s="204">
        <f>+ROUND('CE Min'!E480,0)</f>
        <v>6541297</v>
      </c>
      <c r="F84" s="206">
        <f t="shared" si="7"/>
        <v>-2064525</v>
      </c>
      <c r="G84" s="184">
        <f t="shared" si="8"/>
        <v>-0.31561401355113522</v>
      </c>
      <c r="H84" s="23"/>
      <c r="J84" s="229"/>
    </row>
    <row r="85" spans="1:10">
      <c r="A85" s="252" t="s">
        <v>82</v>
      </c>
      <c r="B85" s="253"/>
      <c r="C85" s="253"/>
      <c r="D85" s="209">
        <f t="shared" ref="D85:E85" si="16">D38+D41+D63+D64+D65+D71+D72+D76+D77+D80+D59</f>
        <v>977190239</v>
      </c>
      <c r="E85" s="209">
        <f t="shared" si="16"/>
        <v>998060664</v>
      </c>
      <c r="F85" s="210">
        <f t="shared" si="7"/>
        <v>-20870425</v>
      </c>
      <c r="G85" s="176">
        <f t="shared" si="8"/>
        <v>-2.0910978413232004E-2</v>
      </c>
      <c r="H85" s="24"/>
      <c r="J85" s="193"/>
    </row>
    <row r="86" spans="1:10" ht="13.5" thickBot="1">
      <c r="A86" s="30"/>
      <c r="B86" s="31"/>
      <c r="C86" s="32"/>
      <c r="D86" s="213"/>
      <c r="E86" s="213"/>
      <c r="F86" s="214"/>
      <c r="G86" s="186"/>
      <c r="H86" s="21"/>
      <c r="J86" s="193"/>
    </row>
    <row r="87" spans="1:10" ht="13.5" thickBot="1">
      <c r="A87" s="254" t="s">
        <v>83</v>
      </c>
      <c r="B87" s="255"/>
      <c r="C87" s="255"/>
      <c r="D87" s="215">
        <f t="shared" ref="D87:E87" si="17">+D35-D85</f>
        <v>15465298</v>
      </c>
      <c r="E87" s="215">
        <f t="shared" si="17"/>
        <v>6191886</v>
      </c>
      <c r="F87" s="216">
        <f>+D87-E87</f>
        <v>9273412</v>
      </c>
      <c r="G87" s="177">
        <f>+F87/E87</f>
        <v>1.4976716302593427</v>
      </c>
      <c r="H87" s="24"/>
      <c r="J87" s="193"/>
    </row>
    <row r="88" spans="1:10">
      <c r="A88" s="33"/>
      <c r="B88" s="34"/>
      <c r="C88" s="35"/>
      <c r="D88" s="211"/>
      <c r="E88" s="211"/>
      <c r="F88" s="206"/>
      <c r="G88" s="184"/>
      <c r="H88" s="21"/>
      <c r="J88" s="229"/>
    </row>
    <row r="89" spans="1:10">
      <c r="A89" s="14" t="s">
        <v>84</v>
      </c>
      <c r="B89" s="16" t="s">
        <v>85</v>
      </c>
      <c r="C89" s="28"/>
      <c r="D89" s="212"/>
      <c r="E89" s="212"/>
      <c r="F89" s="208"/>
      <c r="G89" s="185"/>
      <c r="H89" s="21"/>
      <c r="J89" s="193"/>
    </row>
    <row r="90" spans="1:10">
      <c r="A90" s="36"/>
      <c r="B90" s="15" t="s">
        <v>86</v>
      </c>
      <c r="C90" s="37" t="s">
        <v>87</v>
      </c>
      <c r="D90" s="207">
        <f>+ROUND('CE Min'!D493+'CE Min'!D497,0)</f>
        <v>5414</v>
      </c>
      <c r="E90" s="207">
        <f>+ROUND('CE Min'!E493+'CE Min'!E497,0)</f>
        <v>27</v>
      </c>
      <c r="F90" s="208">
        <f t="shared" ref="F90:F92" si="18">+D90-E90</f>
        <v>5387</v>
      </c>
      <c r="G90" s="185">
        <f t="shared" ref="G90:G92" si="19">+F90/E90</f>
        <v>199.5185185185185</v>
      </c>
      <c r="H90" s="24"/>
      <c r="J90" s="193"/>
    </row>
    <row r="91" spans="1:10">
      <c r="A91" s="36"/>
      <c r="B91" s="15" t="s">
        <v>88</v>
      </c>
      <c r="C91" s="37" t="s">
        <v>89</v>
      </c>
      <c r="D91" s="207">
        <f>+ROUND('CE Min'!D503+'CE Min'!D507,0)</f>
        <v>162436</v>
      </c>
      <c r="E91" s="207">
        <f>+ROUND('CE Min'!E503+'CE Min'!E507,0)</f>
        <v>27496</v>
      </c>
      <c r="F91" s="208">
        <f t="shared" si="18"/>
        <v>134940</v>
      </c>
      <c r="G91" s="185">
        <f t="shared" si="19"/>
        <v>4.9076229269711957</v>
      </c>
      <c r="H91" s="24"/>
      <c r="J91" s="193"/>
    </row>
    <row r="92" spans="1:10">
      <c r="A92" s="252" t="s">
        <v>90</v>
      </c>
      <c r="B92" s="253"/>
      <c r="C92" s="253" t="s">
        <v>91</v>
      </c>
      <c r="D92" s="209">
        <f t="shared" ref="D92:E92" si="20">+D90-D91</f>
        <v>-157022</v>
      </c>
      <c r="E92" s="209">
        <f t="shared" si="20"/>
        <v>-27469</v>
      </c>
      <c r="F92" s="210">
        <f t="shared" si="18"/>
        <v>-129553</v>
      </c>
      <c r="G92" s="176">
        <f t="shared" si="19"/>
        <v>4.7163347773854163</v>
      </c>
      <c r="H92" s="24"/>
      <c r="J92" s="193"/>
    </row>
    <row r="93" spans="1:10">
      <c r="A93" s="36"/>
      <c r="B93" s="38"/>
      <c r="C93" s="16"/>
      <c r="D93" s="212"/>
      <c r="E93" s="212"/>
      <c r="F93" s="208"/>
      <c r="G93" s="185"/>
      <c r="H93" s="21"/>
      <c r="J93" s="193"/>
    </row>
    <row r="94" spans="1:10">
      <c r="A94" s="14" t="s">
        <v>92</v>
      </c>
      <c r="B94" s="16" t="s">
        <v>93</v>
      </c>
      <c r="C94" s="16"/>
      <c r="D94" s="212"/>
      <c r="E94" s="212"/>
      <c r="F94" s="208"/>
      <c r="G94" s="185"/>
      <c r="H94" s="21"/>
      <c r="J94" s="193"/>
    </row>
    <row r="95" spans="1:10">
      <c r="A95" s="36"/>
      <c r="B95" s="15" t="s">
        <v>86</v>
      </c>
      <c r="C95" s="16" t="s">
        <v>94</v>
      </c>
      <c r="D95" s="207">
        <f>+ROUND(+'CE Min'!D512,0)</f>
        <v>0</v>
      </c>
      <c r="E95" s="207">
        <f>+ROUND(+'CE Min'!E512,0)</f>
        <v>0</v>
      </c>
      <c r="F95" s="208">
        <f t="shared" ref="F95:F97" si="21">+D95-E95</f>
        <v>0</v>
      </c>
      <c r="G95" s="185" t="e">
        <f t="shared" ref="G95:G97" si="22">+F95/E95</f>
        <v>#DIV/0!</v>
      </c>
      <c r="H95" s="21"/>
      <c r="J95" s="193"/>
    </row>
    <row r="96" spans="1:10">
      <c r="A96" s="36"/>
      <c r="B96" s="15" t="s">
        <v>88</v>
      </c>
      <c r="C96" s="16" t="s">
        <v>95</v>
      </c>
      <c r="D96" s="207">
        <f>+ROUND(+'CE Min'!D513,0)</f>
        <v>0</v>
      </c>
      <c r="E96" s="207">
        <f>+ROUND(+'CE Min'!E513,0)</f>
        <v>0</v>
      </c>
      <c r="F96" s="208">
        <f t="shared" si="21"/>
        <v>0</v>
      </c>
      <c r="G96" s="185" t="e">
        <f t="shared" si="22"/>
        <v>#DIV/0!</v>
      </c>
      <c r="H96" s="21"/>
      <c r="J96" s="193"/>
    </row>
    <row r="97" spans="1:10">
      <c r="A97" s="252" t="s">
        <v>96</v>
      </c>
      <c r="B97" s="253"/>
      <c r="C97" s="253" t="s">
        <v>91</v>
      </c>
      <c r="D97" s="209">
        <f t="shared" ref="D97:E97" si="23">D95-D96</f>
        <v>0</v>
      </c>
      <c r="E97" s="209">
        <f t="shared" si="23"/>
        <v>0</v>
      </c>
      <c r="F97" s="210">
        <f t="shared" si="21"/>
        <v>0</v>
      </c>
      <c r="G97" s="176" t="e">
        <f t="shared" si="22"/>
        <v>#DIV/0!</v>
      </c>
      <c r="H97" s="24"/>
      <c r="J97" s="193"/>
    </row>
    <row r="98" spans="1:10">
      <c r="A98" s="36"/>
      <c r="B98" s="38"/>
      <c r="C98" s="16"/>
      <c r="D98" s="217"/>
      <c r="E98" s="217"/>
      <c r="F98" s="218"/>
      <c r="G98" s="187"/>
      <c r="H98" s="21"/>
      <c r="J98" s="193"/>
    </row>
    <row r="99" spans="1:10">
      <c r="A99" s="39" t="s">
        <v>97</v>
      </c>
      <c r="B99" s="16" t="s">
        <v>98</v>
      </c>
      <c r="C99" s="28"/>
      <c r="D99" s="217"/>
      <c r="E99" s="217"/>
      <c r="F99" s="218"/>
      <c r="G99" s="187"/>
      <c r="H99" s="21"/>
      <c r="J99" s="193"/>
    </row>
    <row r="100" spans="1:10">
      <c r="A100" s="39"/>
      <c r="B100" s="40">
        <v>1</v>
      </c>
      <c r="C100" s="37" t="s">
        <v>99</v>
      </c>
      <c r="D100" s="217">
        <f t="shared" ref="D100:E100" si="24">SUM(D101:D102)</f>
        <v>10169612</v>
      </c>
      <c r="E100" s="217">
        <f t="shared" si="24"/>
        <v>20738005</v>
      </c>
      <c r="F100" s="218">
        <f t="shared" ref="F100:F106" si="25">+D100-E100</f>
        <v>-10568393</v>
      </c>
      <c r="G100" s="187">
        <f t="shared" ref="G100:G106" si="26">+F100/E100</f>
        <v>-0.50961473873692287</v>
      </c>
      <c r="H100" s="24"/>
      <c r="J100" s="193"/>
    </row>
    <row r="101" spans="1:10">
      <c r="A101" s="39"/>
      <c r="B101" s="40"/>
      <c r="C101" s="20" t="s">
        <v>100</v>
      </c>
      <c r="D101" s="204">
        <f>+ROUND(+'CE Min'!D517,0)</f>
        <v>0</v>
      </c>
      <c r="E101" s="204">
        <f>+ROUND(+'CE Min'!E517,0)</f>
        <v>0</v>
      </c>
      <c r="F101" s="201">
        <f t="shared" si="25"/>
        <v>0</v>
      </c>
      <c r="G101" s="188" t="e">
        <f t="shared" si="26"/>
        <v>#DIV/0!</v>
      </c>
      <c r="H101" s="23"/>
      <c r="J101" s="229"/>
    </row>
    <row r="102" spans="1:10">
      <c r="A102" s="39"/>
      <c r="B102" s="40"/>
      <c r="C102" s="20" t="s">
        <v>101</v>
      </c>
      <c r="D102" s="204">
        <f>+ROUND('CE Min'!D518,0)</f>
        <v>10169612</v>
      </c>
      <c r="E102" s="204">
        <f>+ROUND('CE Min'!E518,0)</f>
        <v>20738005</v>
      </c>
      <c r="F102" s="201">
        <f t="shared" si="25"/>
        <v>-10568393</v>
      </c>
      <c r="G102" s="188">
        <f t="shared" si="26"/>
        <v>-0.50961473873692287</v>
      </c>
      <c r="H102" s="23"/>
      <c r="J102" s="229"/>
    </row>
    <row r="103" spans="1:10">
      <c r="A103" s="39"/>
      <c r="B103" s="40">
        <v>2</v>
      </c>
      <c r="C103" s="16" t="s">
        <v>102</v>
      </c>
      <c r="D103" s="217">
        <f t="shared" ref="D103:E103" si="27">SUM(D104:D105)</f>
        <v>2542528</v>
      </c>
      <c r="E103" s="217">
        <f t="shared" si="27"/>
        <v>4226621</v>
      </c>
      <c r="F103" s="218">
        <f t="shared" si="25"/>
        <v>-1684093</v>
      </c>
      <c r="G103" s="187">
        <f t="shared" si="26"/>
        <v>-0.39844902109746771</v>
      </c>
      <c r="H103" s="24"/>
      <c r="J103" s="229"/>
    </row>
    <row r="104" spans="1:10">
      <c r="A104" s="39"/>
      <c r="B104" s="40"/>
      <c r="C104" s="20" t="s">
        <v>103</v>
      </c>
      <c r="D104" s="204">
        <f>+ROUND(+'CE Min'!D543,0)</f>
        <v>0</v>
      </c>
      <c r="E104" s="204">
        <f>+ROUND(+'CE Min'!E543,0)</f>
        <v>14247</v>
      </c>
      <c r="F104" s="219">
        <f t="shared" si="25"/>
        <v>-14247</v>
      </c>
      <c r="G104" s="189">
        <f t="shared" si="26"/>
        <v>-1</v>
      </c>
      <c r="H104" s="23"/>
      <c r="J104" s="229"/>
    </row>
    <row r="105" spans="1:10">
      <c r="A105" s="39"/>
      <c r="B105" s="40"/>
      <c r="C105" s="20" t="s">
        <v>104</v>
      </c>
      <c r="D105" s="204">
        <f>+ROUND('CE Min'!D544,0)</f>
        <v>2542528</v>
      </c>
      <c r="E105" s="204">
        <f>+ROUND('CE Min'!E544,0)</f>
        <v>4212374</v>
      </c>
      <c r="F105" s="219">
        <f t="shared" si="25"/>
        <v>-1669846</v>
      </c>
      <c r="G105" s="189">
        <f t="shared" si="26"/>
        <v>-0.39641446842089523</v>
      </c>
      <c r="H105" s="23"/>
      <c r="J105" s="229"/>
    </row>
    <row r="106" spans="1:10">
      <c r="A106" s="252" t="s">
        <v>105</v>
      </c>
      <c r="B106" s="253"/>
      <c r="C106" s="253" t="s">
        <v>106</v>
      </c>
      <c r="D106" s="220">
        <f t="shared" ref="D106:E106" si="28">D100-D103</f>
        <v>7627084</v>
      </c>
      <c r="E106" s="220">
        <f t="shared" si="28"/>
        <v>16511384</v>
      </c>
      <c r="F106" s="221">
        <f t="shared" si="25"/>
        <v>-8884300</v>
      </c>
      <c r="G106" s="178">
        <f t="shared" si="26"/>
        <v>-0.53807118773326335</v>
      </c>
      <c r="H106" s="24"/>
      <c r="J106" s="193"/>
    </row>
    <row r="107" spans="1:10" ht="13.5" thickBot="1">
      <c r="A107" s="41"/>
      <c r="B107" s="42"/>
      <c r="C107" s="43"/>
      <c r="D107" s="222"/>
      <c r="E107" s="222"/>
      <c r="F107" s="223"/>
      <c r="G107" s="190"/>
      <c r="H107" s="21"/>
      <c r="J107" s="193"/>
    </row>
    <row r="108" spans="1:10" ht="13.5" thickBot="1">
      <c r="A108" s="254" t="s">
        <v>107</v>
      </c>
      <c r="B108" s="255"/>
      <c r="C108" s="255"/>
      <c r="D108" s="224">
        <f t="shared" ref="D108:E108" si="29">D87+D92+D97+D106</f>
        <v>22935360</v>
      </c>
      <c r="E108" s="224">
        <f t="shared" si="29"/>
        <v>22675801</v>
      </c>
      <c r="F108" s="225">
        <f>+D108-E108</f>
        <v>259559</v>
      </c>
      <c r="G108" s="179">
        <f>+F108/E108</f>
        <v>1.1446519573884071E-2</v>
      </c>
      <c r="H108" s="24"/>
      <c r="J108" s="193"/>
    </row>
    <row r="109" spans="1:10">
      <c r="A109" s="19"/>
      <c r="B109" s="26"/>
      <c r="C109" s="44"/>
      <c r="D109" s="226"/>
      <c r="E109" s="226"/>
      <c r="F109" s="219"/>
      <c r="G109" s="189"/>
      <c r="H109" s="21"/>
      <c r="J109" s="229"/>
    </row>
    <row r="110" spans="1:10">
      <c r="A110" s="39" t="s">
        <v>108</v>
      </c>
      <c r="B110" s="16" t="s">
        <v>109</v>
      </c>
      <c r="C110" s="28"/>
      <c r="D110" s="217"/>
      <c r="E110" s="217"/>
      <c r="F110" s="218"/>
      <c r="G110" s="187"/>
      <c r="H110" s="21"/>
      <c r="J110" s="193"/>
    </row>
    <row r="111" spans="1:10">
      <c r="A111" s="39"/>
      <c r="B111" s="40" t="s">
        <v>86</v>
      </c>
      <c r="C111" s="37" t="s">
        <v>110</v>
      </c>
      <c r="D111" s="217">
        <f t="shared" ref="D111:E111" si="30">SUM(D112:D115)</f>
        <v>22414149</v>
      </c>
      <c r="E111" s="217">
        <f t="shared" si="30"/>
        <v>22084389</v>
      </c>
      <c r="F111" s="218">
        <f t="shared" ref="F111:F118" si="31">+D111-E111</f>
        <v>329760</v>
      </c>
      <c r="G111" s="187">
        <f t="shared" ref="G111:G118" si="32">+F111/E111</f>
        <v>1.4931814504806993E-2</v>
      </c>
      <c r="H111" s="24"/>
      <c r="J111" s="193"/>
    </row>
    <row r="112" spans="1:10">
      <c r="A112" s="19"/>
      <c r="B112" s="22"/>
      <c r="C112" s="20" t="s">
        <v>111</v>
      </c>
      <c r="D112" s="204">
        <f>+ROUND(+'CE Min'!D578,0)</f>
        <v>21768753</v>
      </c>
      <c r="E112" s="204">
        <f>+ROUND(+'CE Min'!E578,0)</f>
        <v>21454486</v>
      </c>
      <c r="F112" s="201">
        <f t="shared" si="31"/>
        <v>314267</v>
      </c>
      <c r="G112" s="188">
        <f t="shared" si="32"/>
        <v>1.4648078728150373E-2</v>
      </c>
      <c r="H112" s="23"/>
      <c r="J112" s="229"/>
    </row>
    <row r="113" spans="1:10">
      <c r="A113" s="19"/>
      <c r="B113" s="22"/>
      <c r="C113" s="20" t="s">
        <v>112</v>
      </c>
      <c r="D113" s="204">
        <f>+ROUND(+'CE Min'!D579,0)</f>
        <v>187317</v>
      </c>
      <c r="E113" s="204">
        <f>+ROUND(+'CE Min'!E579,0)</f>
        <v>227086</v>
      </c>
      <c r="F113" s="201">
        <f t="shared" si="31"/>
        <v>-39769</v>
      </c>
      <c r="G113" s="188">
        <f t="shared" si="32"/>
        <v>-0.17512748474146358</v>
      </c>
      <c r="H113" s="23"/>
      <c r="J113" s="229"/>
    </row>
    <row r="114" spans="1:10">
      <c r="A114" s="19"/>
      <c r="B114" s="22"/>
      <c r="C114" s="20" t="s">
        <v>113</v>
      </c>
      <c r="D114" s="204">
        <f>+ROUND(+'CE Min'!D580,0)</f>
        <v>458079</v>
      </c>
      <c r="E114" s="204">
        <f>+ROUND(+'CE Min'!E580,0)</f>
        <v>402817</v>
      </c>
      <c r="F114" s="201">
        <f t="shared" si="31"/>
        <v>55262</v>
      </c>
      <c r="G114" s="188">
        <f t="shared" si="32"/>
        <v>0.13718884754119115</v>
      </c>
      <c r="H114" s="23"/>
      <c r="J114" s="229"/>
    </row>
    <row r="115" spans="1:10">
      <c r="A115" s="19"/>
      <c r="B115" s="22"/>
      <c r="C115" s="20" t="s">
        <v>114</v>
      </c>
      <c r="D115" s="204">
        <f>+ROUND(+'CE Min'!D581,0)</f>
        <v>0</v>
      </c>
      <c r="E115" s="204">
        <f>+ROUND(+'CE Min'!E581,0)</f>
        <v>0</v>
      </c>
      <c r="F115" s="201">
        <f t="shared" si="31"/>
        <v>0</v>
      </c>
      <c r="G115" s="188" t="e">
        <f t="shared" si="32"/>
        <v>#DIV/0!</v>
      </c>
      <c r="H115" s="23"/>
      <c r="J115" s="229"/>
    </row>
    <row r="116" spans="1:10">
      <c r="A116" s="39"/>
      <c r="B116" s="40" t="s">
        <v>88</v>
      </c>
      <c r="C116" s="16" t="s">
        <v>115</v>
      </c>
      <c r="D116" s="212">
        <f>+ROUND(+'CE Min'!D582,0)</f>
        <v>521211</v>
      </c>
      <c r="E116" s="212">
        <f>+ROUND(+'CE Min'!E582,0)</f>
        <v>591412</v>
      </c>
      <c r="F116" s="218">
        <f t="shared" si="31"/>
        <v>-70201</v>
      </c>
      <c r="G116" s="187">
        <f t="shared" si="32"/>
        <v>-0.11870066890763123</v>
      </c>
      <c r="H116" s="24"/>
      <c r="J116" s="193"/>
    </row>
    <row r="117" spans="1:10">
      <c r="A117" s="39"/>
      <c r="B117" s="40" t="s">
        <v>116</v>
      </c>
      <c r="C117" s="45" t="s">
        <v>117</v>
      </c>
      <c r="D117" s="212">
        <f>+ROUND(+'CE Min'!D585,0)</f>
        <v>0</v>
      </c>
      <c r="E117" s="212">
        <f>+ROUND(+'CE Min'!E585,0)</f>
        <v>0</v>
      </c>
      <c r="F117" s="227">
        <f t="shared" si="31"/>
        <v>0</v>
      </c>
      <c r="G117" s="191" t="e">
        <f t="shared" si="32"/>
        <v>#DIV/0!</v>
      </c>
      <c r="H117" s="21"/>
      <c r="J117" s="193"/>
    </row>
    <row r="118" spans="1:10">
      <c r="A118" s="252" t="s">
        <v>118</v>
      </c>
      <c r="B118" s="253"/>
      <c r="C118" s="253"/>
      <c r="D118" s="220">
        <f t="shared" ref="D118:E118" si="33">D111+D116+D117</f>
        <v>22935360</v>
      </c>
      <c r="E118" s="220">
        <f t="shared" si="33"/>
        <v>22675801</v>
      </c>
      <c r="F118" s="221">
        <f t="shared" si="31"/>
        <v>259559</v>
      </c>
      <c r="G118" s="178">
        <f t="shared" si="32"/>
        <v>1.1446519573884071E-2</v>
      </c>
      <c r="H118" s="24"/>
      <c r="J118" s="193"/>
    </row>
    <row r="119" spans="1:10">
      <c r="A119" s="19"/>
      <c r="B119" s="26"/>
      <c r="C119" s="17"/>
      <c r="D119" s="219"/>
      <c r="E119" s="219"/>
      <c r="F119" s="219"/>
      <c r="G119" s="189"/>
      <c r="H119" s="21"/>
    </row>
    <row r="120" spans="1:10" ht="13.5" thickBot="1">
      <c r="A120" s="46" t="s">
        <v>119</v>
      </c>
      <c r="B120" s="47"/>
      <c r="C120" s="48"/>
      <c r="D120" s="228">
        <f t="shared" ref="D120:E120" si="34">D108-D118</f>
        <v>0</v>
      </c>
      <c r="E120" s="228">
        <f t="shared" si="34"/>
        <v>0</v>
      </c>
      <c r="F120" s="228">
        <f>+D120-E120</f>
        <v>0</v>
      </c>
      <c r="G120" s="192" t="e">
        <f>+F120/E120</f>
        <v>#DIV/0!</v>
      </c>
      <c r="H120" s="24"/>
    </row>
    <row r="122" spans="1:10">
      <c r="A122" s="49"/>
      <c r="B122" s="49"/>
      <c r="C122" s="49"/>
      <c r="D122" s="50"/>
      <c r="E122" s="50"/>
      <c r="F122" s="50"/>
      <c r="G122" s="335"/>
      <c r="H122" s="51"/>
    </row>
    <row r="125" spans="1:10">
      <c r="C125" s="52"/>
      <c r="D125" s="50"/>
      <c r="E125" s="50"/>
      <c r="G125" s="336"/>
      <c r="H125" s="53"/>
    </row>
    <row r="130" spans="7:8">
      <c r="G130" s="337"/>
      <c r="H130" s="3"/>
    </row>
  </sheetData>
  <mergeCells count="4">
    <mergeCell ref="A4:C4"/>
    <mergeCell ref="F4:G4"/>
    <mergeCell ref="D4:D5"/>
    <mergeCell ref="E4:E5"/>
  </mergeCells>
  <printOptions horizontalCentered="1"/>
  <pageMargins left="0" right="0" top="0.19685039370078741" bottom="0.19685039370078741" header="0.31496062992125984" footer="0.31496062992125984"/>
  <pageSetup paperSize="9" scale="75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262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887" t="s">
        <v>1935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</row>
    <row r="2" spans="1:12" ht="13.5" thickBot="1"/>
    <row r="3" spans="1:12" ht="16.899999999999999" customHeight="1" thickTop="1">
      <c r="A3" s="891" t="s">
        <v>1838</v>
      </c>
      <c r="B3" s="315"/>
      <c r="C3" s="893" t="s">
        <v>1839</v>
      </c>
      <c r="D3" s="888" t="s">
        <v>1830</v>
      </c>
      <c r="E3" s="888" t="s">
        <v>1831</v>
      </c>
      <c r="F3" s="889" t="s">
        <v>1832</v>
      </c>
      <c r="G3" s="889"/>
      <c r="H3" s="890" t="s">
        <v>1826</v>
      </c>
      <c r="I3" s="888" t="s">
        <v>1827</v>
      </c>
      <c r="J3" s="888" t="s">
        <v>1828</v>
      </c>
      <c r="K3" s="888" t="s">
        <v>1824</v>
      </c>
      <c r="L3" s="888" t="s">
        <v>1825</v>
      </c>
    </row>
    <row r="4" spans="1:12" ht="93" customHeight="1">
      <c r="A4" s="892"/>
      <c r="B4" s="316"/>
      <c r="C4" s="894"/>
      <c r="D4" s="888"/>
      <c r="E4" s="888"/>
      <c r="F4" s="888" t="s">
        <v>1833</v>
      </c>
      <c r="G4" s="888" t="s">
        <v>1834</v>
      </c>
      <c r="H4" s="890"/>
      <c r="I4" s="888"/>
      <c r="J4" s="888"/>
      <c r="K4" s="888"/>
      <c r="L4" s="888"/>
    </row>
    <row r="5" spans="1:12" ht="15.75">
      <c r="A5" s="268" t="s">
        <v>1840</v>
      </c>
      <c r="B5" s="317"/>
      <c r="C5" s="895"/>
      <c r="D5" s="888"/>
      <c r="E5" s="888"/>
      <c r="F5" s="888"/>
      <c r="G5" s="888"/>
      <c r="H5" s="890"/>
      <c r="I5" s="888"/>
      <c r="J5" s="888"/>
      <c r="K5" s="888"/>
      <c r="L5" s="888"/>
    </row>
    <row r="6" spans="1:12" ht="25.5">
      <c r="A6" s="269" t="s">
        <v>1841</v>
      </c>
      <c r="B6" s="318" t="s">
        <v>1842</v>
      </c>
      <c r="C6" s="297" t="s">
        <v>1843</v>
      </c>
      <c r="D6" s="303" t="e">
        <f>+'CE Min'!#REF!</f>
        <v>#REF!</v>
      </c>
      <c r="E6" s="303" t="e">
        <f>+'CE Min'!#REF!</f>
        <v>#REF!</v>
      </c>
      <c r="F6" s="303" t="e">
        <f>+'CE Min'!#REF!</f>
        <v>#REF!</v>
      </c>
      <c r="G6" s="303" t="e">
        <f>+'CE Min'!#REF!</f>
        <v>#REF!</v>
      </c>
      <c r="H6" s="303" t="e">
        <f>+'CE Min'!#REF!</f>
        <v>#REF!</v>
      </c>
      <c r="I6" s="303" t="e">
        <f>+'CE Min'!#REF!</f>
        <v>#REF!</v>
      </c>
      <c r="J6" s="303" t="e">
        <f>+'CE Min'!#REF!</f>
        <v>#REF!</v>
      </c>
      <c r="K6" s="303" t="e">
        <f>+'CE Min'!#REF!</f>
        <v>#REF!</v>
      </c>
      <c r="L6" s="303" t="e">
        <f>+'CE Min'!#REF!</f>
        <v>#REF!</v>
      </c>
    </row>
    <row r="7" spans="1:12" ht="25.5">
      <c r="A7" s="270" t="s">
        <v>1844</v>
      </c>
      <c r="B7" s="319">
        <f>+B6+1</f>
        <v>2</v>
      </c>
      <c r="C7" s="298" t="s">
        <v>183</v>
      </c>
      <c r="D7" s="303" t="e">
        <f>+'CE Min'!#REF!</f>
        <v>#REF!</v>
      </c>
      <c r="E7" s="303" t="e">
        <f>+'CE Min'!#REF!</f>
        <v>#REF!</v>
      </c>
      <c r="F7" s="303" t="e">
        <f>+'CE Min'!#REF!</f>
        <v>#REF!</v>
      </c>
      <c r="G7" s="303" t="e">
        <f>+'CE Min'!#REF!</f>
        <v>#REF!</v>
      </c>
      <c r="H7" s="303" t="e">
        <f>+'CE Min'!#REF!</f>
        <v>#REF!</v>
      </c>
      <c r="I7" s="303" t="e">
        <f>+'CE Min'!#REF!</f>
        <v>#REF!</v>
      </c>
      <c r="J7" s="303" t="e">
        <f>+'CE Min'!#REF!</f>
        <v>#REF!</v>
      </c>
      <c r="K7" s="303" t="e">
        <f>+'CE Min'!#REF!</f>
        <v>#REF!</v>
      </c>
      <c r="L7" s="303" t="e">
        <f>+'CE Min'!#REF!</f>
        <v>#REF!</v>
      </c>
    </row>
    <row r="8" spans="1:12">
      <c r="A8" s="270" t="s">
        <v>1845</v>
      </c>
      <c r="B8" s="319">
        <f t="shared" ref="B8:B18" si="0">+B7+1</f>
        <v>3</v>
      </c>
      <c r="C8" s="298" t="s">
        <v>144</v>
      </c>
      <c r="D8" s="303" t="e">
        <f>+'CE Min'!#REF!</f>
        <v>#REF!</v>
      </c>
      <c r="E8" s="303" t="e">
        <f>+'CE Min'!#REF!</f>
        <v>#REF!</v>
      </c>
      <c r="F8" s="303" t="e">
        <f>+'CE Min'!#REF!</f>
        <v>#REF!</v>
      </c>
      <c r="G8" s="303" t="e">
        <f>+'CE Min'!#REF!</f>
        <v>#REF!</v>
      </c>
      <c r="H8" s="303" t="e">
        <f>+'CE Min'!#REF!</f>
        <v>#REF!</v>
      </c>
      <c r="I8" s="303" t="e">
        <f>+'CE Min'!#REF!</f>
        <v>#REF!</v>
      </c>
      <c r="J8" s="303" t="e">
        <f>+'CE Min'!#REF!</f>
        <v>#REF!</v>
      </c>
      <c r="K8" s="303" t="e">
        <f>+'CE Min'!#REF!</f>
        <v>#REF!</v>
      </c>
      <c r="L8" s="303" t="e">
        <f>+'CE Min'!#REF!</f>
        <v>#REF!</v>
      </c>
    </row>
    <row r="9" spans="1:12">
      <c r="A9" s="270" t="s">
        <v>1846</v>
      </c>
      <c r="B9" s="319">
        <f t="shared" si="0"/>
        <v>4</v>
      </c>
      <c r="C9" s="298" t="s">
        <v>145</v>
      </c>
      <c r="D9" s="303" t="e">
        <f>+'CE Min'!#REF!</f>
        <v>#REF!</v>
      </c>
      <c r="E9" s="303" t="e">
        <f>+'CE Min'!#REF!</f>
        <v>#REF!</v>
      </c>
      <c r="F9" s="303" t="e">
        <f>+'CE Min'!#REF!</f>
        <v>#REF!</v>
      </c>
      <c r="G9" s="303" t="e">
        <f>+'CE Min'!#REF!</f>
        <v>#REF!</v>
      </c>
      <c r="H9" s="303" t="e">
        <f>+'CE Min'!#REF!</f>
        <v>#REF!</v>
      </c>
      <c r="I9" s="303" t="e">
        <f>+'CE Min'!#REF!</f>
        <v>#REF!</v>
      </c>
      <c r="J9" s="303" t="e">
        <f>+'CE Min'!#REF!</f>
        <v>#REF!</v>
      </c>
      <c r="K9" s="303" t="e">
        <f>+'CE Min'!#REF!</f>
        <v>#REF!</v>
      </c>
      <c r="L9" s="303" t="e">
        <f>+'CE Min'!#REF!</f>
        <v>#REF!</v>
      </c>
    </row>
    <row r="10" spans="1:12" ht="25.5">
      <c r="A10" s="271" t="s">
        <v>1847</v>
      </c>
      <c r="B10" s="319">
        <f t="shared" si="0"/>
        <v>5</v>
      </c>
      <c r="C10" s="298" t="s">
        <v>186</v>
      </c>
      <c r="D10" s="303" t="e">
        <f>+'CE Min'!#REF!</f>
        <v>#REF!</v>
      </c>
      <c r="E10" s="303" t="e">
        <f>+'CE Min'!#REF!</f>
        <v>#REF!</v>
      </c>
      <c r="F10" s="303" t="e">
        <f>+'CE Min'!#REF!</f>
        <v>#REF!</v>
      </c>
      <c r="G10" s="303" t="e">
        <f>+'CE Min'!#REF!</f>
        <v>#REF!</v>
      </c>
      <c r="H10" s="303" t="e">
        <f>+'CE Min'!#REF!</f>
        <v>#REF!</v>
      </c>
      <c r="I10" s="303" t="e">
        <f>+'CE Min'!#REF!</f>
        <v>#REF!</v>
      </c>
      <c r="J10" s="303" t="e">
        <f>+'CE Min'!#REF!</f>
        <v>#REF!</v>
      </c>
      <c r="K10" s="303" t="e">
        <f>+'CE Min'!#REF!</f>
        <v>#REF!</v>
      </c>
      <c r="L10" s="303" t="e">
        <f>+'CE Min'!#REF!</f>
        <v>#REF!</v>
      </c>
    </row>
    <row r="11" spans="1:12" ht="25.5">
      <c r="A11" s="271" t="s">
        <v>1848</v>
      </c>
      <c r="B11" s="319">
        <f t="shared" si="0"/>
        <v>6</v>
      </c>
      <c r="C11" s="298" t="s">
        <v>1849</v>
      </c>
      <c r="D11" s="303" t="e">
        <f>+'CE Min'!#REF!-'ce art. 44'!D8-'ce art. 44'!D9+'CE Min'!#REF!+'CE Min'!#REF!</f>
        <v>#REF!</v>
      </c>
      <c r="E11" s="303" t="e">
        <f>+'CE Min'!#REF!-'ce art. 44'!E8-'ce art. 44'!E9+'CE Min'!#REF!+'CE Min'!#REF!</f>
        <v>#REF!</v>
      </c>
      <c r="F11" s="303" t="e">
        <f>+'CE Min'!#REF!-'ce art. 44'!F8-'ce art. 44'!F9+'CE Min'!#REF!+'CE Min'!#REF!</f>
        <v>#REF!</v>
      </c>
      <c r="G11" s="303" t="e">
        <f>+'CE Min'!#REF!-'ce art. 44'!G8-'ce art. 44'!G9+'CE Min'!#REF!+'CE Min'!#REF!</f>
        <v>#REF!</v>
      </c>
      <c r="H11" s="303" t="e">
        <f>+'CE Min'!#REF!-'ce art. 44'!H8-'ce art. 44'!H9+'CE Min'!#REF!+'CE Min'!#REF!</f>
        <v>#REF!</v>
      </c>
      <c r="I11" s="303" t="e">
        <f>+'CE Min'!#REF!-'ce art. 44'!I8-'ce art. 44'!I9+'CE Min'!#REF!+'CE Min'!#REF!</f>
        <v>#REF!</v>
      </c>
      <c r="J11" s="303" t="e">
        <f>+'CE Min'!#REF!-'ce art. 44'!J8-'ce art. 44'!J9+'CE Min'!#REF!+'CE Min'!#REF!</f>
        <v>#REF!</v>
      </c>
      <c r="K11" s="303" t="e">
        <f>+'CE Min'!#REF!-'ce art. 44'!K8-'ce art. 44'!K9+'CE Min'!#REF!+'CE Min'!#REF!</f>
        <v>#REF!</v>
      </c>
      <c r="L11" s="303" t="e">
        <f>+'CE Min'!#REF!-'ce art. 44'!L8-'ce art. 44'!L9+'CE Min'!#REF!+'CE Min'!#REF!</f>
        <v>#REF!</v>
      </c>
    </row>
    <row r="12" spans="1:12">
      <c r="A12" s="271" t="s">
        <v>1850</v>
      </c>
      <c r="B12" s="319">
        <f t="shared" si="0"/>
        <v>7</v>
      </c>
      <c r="C12" s="298" t="s">
        <v>364</v>
      </c>
      <c r="D12" s="303" t="e">
        <f>+'CE Min'!#REF!</f>
        <v>#REF!</v>
      </c>
      <c r="E12" s="303" t="e">
        <f>+'CE Min'!#REF!</f>
        <v>#REF!</v>
      </c>
      <c r="F12" s="303" t="e">
        <f>+'CE Min'!#REF!</f>
        <v>#REF!</v>
      </c>
      <c r="G12" s="303" t="e">
        <f>+'CE Min'!#REF!</f>
        <v>#REF!</v>
      </c>
      <c r="H12" s="303" t="e">
        <f>+'CE Min'!#REF!</f>
        <v>#REF!</v>
      </c>
      <c r="I12" s="303" t="e">
        <f>+'CE Min'!#REF!</f>
        <v>#REF!</v>
      </c>
      <c r="J12" s="303" t="e">
        <f>+'CE Min'!#REF!</f>
        <v>#REF!</v>
      </c>
      <c r="K12" s="303" t="e">
        <f>+'CE Min'!#REF!</f>
        <v>#REF!</v>
      </c>
      <c r="L12" s="303" t="e">
        <f>+'CE Min'!#REF!</f>
        <v>#REF!</v>
      </c>
    </row>
    <row r="13" spans="1:12">
      <c r="A13" s="271" t="s">
        <v>1851</v>
      </c>
      <c r="B13" s="319">
        <f t="shared" si="0"/>
        <v>8</v>
      </c>
      <c r="C13" s="299" t="s">
        <v>341</v>
      </c>
      <c r="D13" s="303" t="e">
        <f>+'CE Min'!#REF!</f>
        <v>#REF!</v>
      </c>
      <c r="E13" s="303" t="e">
        <f>+'CE Min'!#REF!</f>
        <v>#REF!</v>
      </c>
      <c r="F13" s="303" t="e">
        <f>+'CE Min'!#REF!</f>
        <v>#REF!</v>
      </c>
      <c r="G13" s="303" t="e">
        <f>+'CE Min'!#REF!</f>
        <v>#REF!</v>
      </c>
      <c r="H13" s="303" t="e">
        <f>+'CE Min'!#REF!</f>
        <v>#REF!</v>
      </c>
      <c r="I13" s="303" t="e">
        <f>+'CE Min'!#REF!</f>
        <v>#REF!</v>
      </c>
      <c r="J13" s="303" t="e">
        <f>+'CE Min'!#REF!</f>
        <v>#REF!</v>
      </c>
      <c r="K13" s="303" t="e">
        <f>+'CE Min'!#REF!</f>
        <v>#REF!</v>
      </c>
      <c r="L13" s="303" t="e">
        <f>+'CE Min'!#REF!</f>
        <v>#REF!</v>
      </c>
    </row>
    <row r="14" spans="1:12" ht="66.599999999999994" customHeight="1">
      <c r="A14" s="271" t="s">
        <v>1852</v>
      </c>
      <c r="B14" s="319">
        <f t="shared" si="0"/>
        <v>9</v>
      </c>
      <c r="C14" s="300" t="s">
        <v>1853</v>
      </c>
      <c r="D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303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272" t="s">
        <v>1854</v>
      </c>
      <c r="B15" s="319">
        <f t="shared" si="0"/>
        <v>10</v>
      </c>
      <c r="C15" s="298" t="s">
        <v>185</v>
      </c>
      <c r="D15" s="303" t="e">
        <f>+'CE Min'!#REF!</f>
        <v>#REF!</v>
      </c>
      <c r="E15" s="303" t="e">
        <f>+'CE Min'!#REF!</f>
        <v>#REF!</v>
      </c>
      <c r="F15" s="303" t="e">
        <f>+'CE Min'!#REF!</f>
        <v>#REF!</v>
      </c>
      <c r="G15" s="303" t="e">
        <f>+'CE Min'!#REF!</f>
        <v>#REF!</v>
      </c>
      <c r="H15" s="303" t="e">
        <f>+'CE Min'!#REF!</f>
        <v>#REF!</v>
      </c>
      <c r="I15" s="303" t="e">
        <f>+'CE Min'!#REF!</f>
        <v>#REF!</v>
      </c>
      <c r="J15" s="303" t="e">
        <f>+'CE Min'!#REF!</f>
        <v>#REF!</v>
      </c>
      <c r="K15" s="303" t="e">
        <f>+'CE Min'!#REF!</f>
        <v>#REF!</v>
      </c>
      <c r="L15" s="303" t="e">
        <f>+'CE Min'!#REF!</f>
        <v>#REF!</v>
      </c>
    </row>
    <row r="16" spans="1:12">
      <c r="A16" s="271" t="s">
        <v>1855</v>
      </c>
      <c r="B16" s="319">
        <f t="shared" si="0"/>
        <v>11</v>
      </c>
      <c r="C16" s="298" t="s">
        <v>1856</v>
      </c>
      <c r="D16" s="303" t="e">
        <f>+'CE Min'!#REF!+'CE Min'!#REF!</f>
        <v>#REF!</v>
      </c>
      <c r="E16" s="303" t="e">
        <f>+'CE Min'!#REF!+'CE Min'!#REF!</f>
        <v>#REF!</v>
      </c>
      <c r="F16" s="303" t="e">
        <f>+'CE Min'!#REF!+'CE Min'!#REF!</f>
        <v>#REF!</v>
      </c>
      <c r="G16" s="303" t="e">
        <f>+'CE Min'!#REF!+'CE Min'!#REF!</f>
        <v>#REF!</v>
      </c>
      <c r="H16" s="303" t="e">
        <f>+'CE Min'!#REF!+'CE Min'!#REF!</f>
        <v>#REF!</v>
      </c>
      <c r="I16" s="303" t="e">
        <f>+'CE Min'!#REF!+'CE Min'!#REF!</f>
        <v>#REF!</v>
      </c>
      <c r="J16" s="303" t="e">
        <f>+'CE Min'!#REF!+'CE Min'!#REF!</f>
        <v>#REF!</v>
      </c>
      <c r="K16" s="303" t="e">
        <f>+'CE Min'!#REF!+'CE Min'!#REF!</f>
        <v>#REF!</v>
      </c>
      <c r="L16" s="303" t="e">
        <f>+'CE Min'!#REF!+'CE Min'!#REF!</f>
        <v>#REF!</v>
      </c>
    </row>
    <row r="17" spans="1:12">
      <c r="A17" s="273" t="s">
        <v>1857</v>
      </c>
      <c r="B17" s="319">
        <f>+B16+1</f>
        <v>12</v>
      </c>
      <c r="C17" s="300" t="s">
        <v>198</v>
      </c>
      <c r="D17" s="303" t="e">
        <f>+'CE Min'!#REF!</f>
        <v>#REF!</v>
      </c>
      <c r="E17" s="303" t="e">
        <f>+'CE Min'!#REF!</f>
        <v>#REF!</v>
      </c>
      <c r="F17" s="303" t="e">
        <f>+'CE Min'!#REF!</f>
        <v>#REF!</v>
      </c>
      <c r="G17" s="303" t="e">
        <f>+'CE Min'!#REF!</f>
        <v>#REF!</v>
      </c>
      <c r="H17" s="303" t="e">
        <f>+'CE Min'!#REF!</f>
        <v>#REF!</v>
      </c>
      <c r="I17" s="303" t="e">
        <f>+'CE Min'!#REF!</f>
        <v>#REF!</v>
      </c>
      <c r="J17" s="303" t="e">
        <f>+'CE Min'!#REF!</f>
        <v>#REF!</v>
      </c>
      <c r="K17" s="303" t="e">
        <f>+'CE Min'!#REF!</f>
        <v>#REF!</v>
      </c>
      <c r="L17" s="303" t="e">
        <f>+'CE Min'!#REF!</f>
        <v>#REF!</v>
      </c>
    </row>
    <row r="18" spans="1:12" ht="65.650000000000006" customHeight="1">
      <c r="A18" s="274" t="s">
        <v>1858</v>
      </c>
      <c r="B18" s="320">
        <f t="shared" si="0"/>
        <v>13</v>
      </c>
      <c r="C18" s="301" t="s">
        <v>1859</v>
      </c>
      <c r="D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303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275" t="s">
        <v>1860</v>
      </c>
      <c r="B19" s="321" t="s">
        <v>1861</v>
      </c>
      <c r="C19" s="302"/>
      <c r="D19" s="303" t="e">
        <f>D6+D7+D8+D9+D10+D11+D12+D13+D14+D15+D16+D17+D18</f>
        <v>#REF!</v>
      </c>
      <c r="E19" s="303" t="e">
        <f t="shared" ref="E19:L19" si="1">E6+E7+E8+E9+E10+E11+E12+E13+E14+E15+E16+E17+E18</f>
        <v>#REF!</v>
      </c>
      <c r="F19" s="303" t="e">
        <f t="shared" si="1"/>
        <v>#REF!</v>
      </c>
      <c r="G19" s="303" t="e">
        <f t="shared" si="1"/>
        <v>#REF!</v>
      </c>
      <c r="H19" s="303" t="e">
        <f t="shared" si="1"/>
        <v>#REF!</v>
      </c>
      <c r="I19" s="303" t="e">
        <f t="shared" si="1"/>
        <v>#REF!</v>
      </c>
      <c r="J19" s="303" t="e">
        <f t="shared" si="1"/>
        <v>#REF!</v>
      </c>
      <c r="K19" s="303" t="e">
        <f t="shared" si="1"/>
        <v>#REF!</v>
      </c>
      <c r="L19" s="303" t="e">
        <f t="shared" si="1"/>
        <v>#REF!</v>
      </c>
    </row>
    <row r="20" spans="1:12" ht="13.5" thickTop="1">
      <c r="A20" s="276"/>
      <c r="B20" s="322"/>
      <c r="C20" s="277"/>
    </row>
    <row r="21" spans="1:12" ht="13.5" thickBot="1">
      <c r="A21" s="278"/>
      <c r="B21" s="323"/>
      <c r="C21" s="279"/>
    </row>
    <row r="22" spans="1:12" ht="23.65" customHeight="1" thickTop="1">
      <c r="A22" s="891" t="s">
        <v>1862</v>
      </c>
      <c r="B22" s="315"/>
      <c r="C22" s="896" t="s">
        <v>1839</v>
      </c>
      <c r="D22" s="888" t="s">
        <v>1830</v>
      </c>
      <c r="E22" s="888" t="s">
        <v>1831</v>
      </c>
      <c r="F22" s="889" t="s">
        <v>1832</v>
      </c>
      <c r="G22" s="889"/>
      <c r="H22" s="890" t="s">
        <v>1826</v>
      </c>
      <c r="I22" s="888" t="s">
        <v>1827</v>
      </c>
      <c r="J22" s="888" t="s">
        <v>1828</v>
      </c>
      <c r="K22" s="888" t="s">
        <v>1824</v>
      </c>
      <c r="L22" s="888" t="s">
        <v>1825</v>
      </c>
    </row>
    <row r="23" spans="1:12" ht="28.9" customHeight="1">
      <c r="A23" s="892"/>
      <c r="B23" s="316"/>
      <c r="C23" s="897"/>
      <c r="D23" s="888"/>
      <c r="E23" s="888"/>
      <c r="F23" s="888" t="s">
        <v>1833</v>
      </c>
      <c r="G23" s="888" t="s">
        <v>1834</v>
      </c>
      <c r="H23" s="890"/>
      <c r="I23" s="888"/>
      <c r="J23" s="888"/>
      <c r="K23" s="888"/>
      <c r="L23" s="888"/>
    </row>
    <row r="24" spans="1:12" ht="28.15" customHeight="1">
      <c r="A24" s="268" t="s">
        <v>1840</v>
      </c>
      <c r="B24" s="324"/>
      <c r="C24" s="898"/>
      <c r="D24" s="888"/>
      <c r="E24" s="888"/>
      <c r="F24" s="888"/>
      <c r="G24" s="888"/>
      <c r="H24" s="890"/>
      <c r="I24" s="888"/>
      <c r="J24" s="888"/>
      <c r="K24" s="888"/>
      <c r="L24" s="888"/>
    </row>
    <row r="25" spans="1:12" ht="22.5">
      <c r="A25" s="280" t="s">
        <v>1863</v>
      </c>
      <c r="B25" s="325" t="s">
        <v>1864</v>
      </c>
      <c r="C25" s="304"/>
      <c r="D25" s="303" t="e">
        <f>+D26+D27+D28+D29+D30</f>
        <v>#REF!</v>
      </c>
      <c r="E25" s="303" t="e">
        <f t="shared" ref="E25:L25" si="2">+E26+E27+E28+E29+E30</f>
        <v>#REF!</v>
      </c>
      <c r="F25" s="303" t="e">
        <f t="shared" si="2"/>
        <v>#REF!</v>
      </c>
      <c r="G25" s="303" t="e">
        <f t="shared" si="2"/>
        <v>#REF!</v>
      </c>
      <c r="H25" s="303" t="e">
        <f t="shared" si="2"/>
        <v>#REF!</v>
      </c>
      <c r="I25" s="303" t="e">
        <f t="shared" si="2"/>
        <v>#REF!</v>
      </c>
      <c r="J25" s="303" t="e">
        <f t="shared" si="2"/>
        <v>#REF!</v>
      </c>
      <c r="K25" s="303" t="e">
        <f t="shared" si="2"/>
        <v>#REF!</v>
      </c>
      <c r="L25" s="303" t="e">
        <f t="shared" si="2"/>
        <v>#REF!</v>
      </c>
    </row>
    <row r="26" spans="1:12">
      <c r="A26" s="281" t="s">
        <v>1865</v>
      </c>
      <c r="B26" s="282" t="s">
        <v>1866</v>
      </c>
      <c r="C26" s="305" t="s">
        <v>905</v>
      </c>
      <c r="D26" s="303" t="e">
        <f>+'CE Min'!#REF!</f>
        <v>#REF!</v>
      </c>
      <c r="E26" s="303" t="e">
        <f>+'CE Min'!#REF!</f>
        <v>#REF!</v>
      </c>
      <c r="F26" s="303" t="e">
        <f>+'CE Min'!#REF!</f>
        <v>#REF!</v>
      </c>
      <c r="G26" s="303" t="e">
        <f>+'CE Min'!#REF!</f>
        <v>#REF!</v>
      </c>
      <c r="H26" s="303" t="e">
        <f>+'CE Min'!#REF!</f>
        <v>#REF!</v>
      </c>
      <c r="I26" s="303" t="e">
        <f>+'CE Min'!#REF!</f>
        <v>#REF!</v>
      </c>
      <c r="J26" s="303" t="e">
        <f>+'CE Min'!#REF!</f>
        <v>#REF!</v>
      </c>
      <c r="K26" s="303" t="e">
        <f>+'CE Min'!#REF!</f>
        <v>#REF!</v>
      </c>
      <c r="L26" s="303" t="e">
        <f>+'CE Min'!#REF!</f>
        <v>#REF!</v>
      </c>
    </row>
    <row r="27" spans="1:12">
      <c r="A27" s="281" t="s">
        <v>1867</v>
      </c>
      <c r="B27" s="282" t="s">
        <v>1868</v>
      </c>
      <c r="C27" s="305" t="s">
        <v>921</v>
      </c>
      <c r="D27" s="303" t="e">
        <f>+'CE Min'!#REF!</f>
        <v>#REF!</v>
      </c>
      <c r="E27" s="303" t="e">
        <f>+'CE Min'!#REF!</f>
        <v>#REF!</v>
      </c>
      <c r="F27" s="303" t="e">
        <f>+'CE Min'!#REF!</f>
        <v>#REF!</v>
      </c>
      <c r="G27" s="303" t="e">
        <f>+'CE Min'!#REF!</f>
        <v>#REF!</v>
      </c>
      <c r="H27" s="303" t="e">
        <f>+'CE Min'!#REF!</f>
        <v>#REF!</v>
      </c>
      <c r="I27" s="303" t="e">
        <f>+'CE Min'!#REF!</f>
        <v>#REF!</v>
      </c>
      <c r="J27" s="303" t="e">
        <f>+'CE Min'!#REF!</f>
        <v>#REF!</v>
      </c>
      <c r="K27" s="303" t="e">
        <f>+'CE Min'!#REF!</f>
        <v>#REF!</v>
      </c>
      <c r="L27" s="303" t="e">
        <f>+'CE Min'!#REF!</f>
        <v>#REF!</v>
      </c>
    </row>
    <row r="28" spans="1:12">
      <c r="A28" s="281" t="s">
        <v>1869</v>
      </c>
      <c r="B28" s="282" t="s">
        <v>1870</v>
      </c>
      <c r="C28" s="305" t="s">
        <v>932</v>
      </c>
      <c r="D28" s="303" t="e">
        <f>+'CE Min'!#REF!</f>
        <v>#REF!</v>
      </c>
      <c r="E28" s="303" t="e">
        <f>+'CE Min'!#REF!</f>
        <v>#REF!</v>
      </c>
      <c r="F28" s="303" t="e">
        <f>+'CE Min'!#REF!</f>
        <v>#REF!</v>
      </c>
      <c r="G28" s="303" t="e">
        <f>+'CE Min'!#REF!</f>
        <v>#REF!</v>
      </c>
      <c r="H28" s="303" t="e">
        <f>+'CE Min'!#REF!</f>
        <v>#REF!</v>
      </c>
      <c r="I28" s="303" t="e">
        <f>+'CE Min'!#REF!</f>
        <v>#REF!</v>
      </c>
      <c r="J28" s="303" t="e">
        <f>+'CE Min'!#REF!</f>
        <v>#REF!</v>
      </c>
      <c r="K28" s="303" t="e">
        <f>+'CE Min'!#REF!</f>
        <v>#REF!</v>
      </c>
      <c r="L28" s="303" t="e">
        <f>+'CE Min'!#REF!</f>
        <v>#REF!</v>
      </c>
    </row>
    <row r="29" spans="1:12">
      <c r="A29" s="281" t="s">
        <v>1871</v>
      </c>
      <c r="B29" s="282" t="s">
        <v>1872</v>
      </c>
      <c r="C29" s="305" t="s">
        <v>943</v>
      </c>
      <c r="D29" s="303" t="e">
        <f>+'CE Min'!#REF!</f>
        <v>#REF!</v>
      </c>
      <c r="E29" s="303" t="e">
        <f>+'CE Min'!#REF!</f>
        <v>#REF!</v>
      </c>
      <c r="F29" s="303" t="e">
        <f>+'CE Min'!#REF!</f>
        <v>#REF!</v>
      </c>
      <c r="G29" s="303" t="e">
        <f>+'CE Min'!#REF!</f>
        <v>#REF!</v>
      </c>
      <c r="H29" s="303" t="e">
        <f>+'CE Min'!#REF!</f>
        <v>#REF!</v>
      </c>
      <c r="I29" s="303" t="e">
        <f>+'CE Min'!#REF!</f>
        <v>#REF!</v>
      </c>
      <c r="J29" s="303" t="e">
        <f>+'CE Min'!#REF!</f>
        <v>#REF!</v>
      </c>
      <c r="K29" s="303" t="e">
        <f>+'CE Min'!#REF!</f>
        <v>#REF!</v>
      </c>
      <c r="L29" s="303" t="e">
        <f>+'CE Min'!#REF!</f>
        <v>#REF!</v>
      </c>
    </row>
    <row r="30" spans="1:12">
      <c r="A30" s="283" t="s">
        <v>1873</v>
      </c>
      <c r="B30" s="282" t="s">
        <v>1874</v>
      </c>
      <c r="C30" s="305" t="s">
        <v>1875</v>
      </c>
      <c r="D30" s="303" t="e">
        <f>+'CE Min'!#REF!+'CE Min'!#REF!</f>
        <v>#REF!</v>
      </c>
      <c r="E30" s="303" t="e">
        <f>+'CE Min'!#REF!+'CE Min'!#REF!</f>
        <v>#REF!</v>
      </c>
      <c r="F30" s="303" t="e">
        <f>+'CE Min'!#REF!+'CE Min'!#REF!</f>
        <v>#REF!</v>
      </c>
      <c r="G30" s="303" t="e">
        <f>+'CE Min'!#REF!+'CE Min'!#REF!</f>
        <v>#REF!</v>
      </c>
      <c r="H30" s="303" t="e">
        <f>+'CE Min'!#REF!+'CE Min'!#REF!</f>
        <v>#REF!</v>
      </c>
      <c r="I30" s="303" t="e">
        <f>+'CE Min'!#REF!+'CE Min'!#REF!</f>
        <v>#REF!</v>
      </c>
      <c r="J30" s="303" t="e">
        <f>+'CE Min'!#REF!+'CE Min'!#REF!</f>
        <v>#REF!</v>
      </c>
      <c r="K30" s="303" t="e">
        <f>+'CE Min'!#REF!+'CE Min'!#REF!</f>
        <v>#REF!</v>
      </c>
      <c r="L30" s="303" t="e">
        <f>+'CE Min'!#REF!+'CE Min'!#REF!</f>
        <v>#REF!</v>
      </c>
    </row>
    <row r="31" spans="1:12">
      <c r="A31" s="284" t="s">
        <v>1876</v>
      </c>
      <c r="B31" s="326">
        <v>16</v>
      </c>
      <c r="C31" s="306" t="s">
        <v>1202</v>
      </c>
      <c r="D31" s="303" t="e">
        <f>+'CE Min'!#REF!</f>
        <v>#REF!</v>
      </c>
      <c r="E31" s="303" t="e">
        <f>+'CE Min'!#REF!</f>
        <v>#REF!</v>
      </c>
      <c r="F31" s="303" t="e">
        <f>+'CE Min'!#REF!</f>
        <v>#REF!</v>
      </c>
      <c r="G31" s="303" t="e">
        <f>+'CE Min'!#REF!</f>
        <v>#REF!</v>
      </c>
      <c r="H31" s="303" t="e">
        <f>+'CE Min'!#REF!</f>
        <v>#REF!</v>
      </c>
      <c r="I31" s="303" t="e">
        <f>+'CE Min'!#REF!</f>
        <v>#REF!</v>
      </c>
      <c r="J31" s="303" t="e">
        <f>+'CE Min'!#REF!</f>
        <v>#REF!</v>
      </c>
      <c r="K31" s="303" t="e">
        <f>+'CE Min'!#REF!</f>
        <v>#REF!</v>
      </c>
      <c r="L31" s="303" t="e">
        <f>+'CE Min'!#REF!</f>
        <v>#REF!</v>
      </c>
    </row>
    <row r="32" spans="1:12">
      <c r="A32" s="284" t="s">
        <v>1877</v>
      </c>
      <c r="B32" s="326" t="s">
        <v>1878</v>
      </c>
      <c r="C32" s="307"/>
      <c r="D32" s="303" t="e">
        <f>+D33+D34</f>
        <v>#REF!</v>
      </c>
      <c r="E32" s="303" t="e">
        <f t="shared" ref="E32:L32" si="3">+E33+E34</f>
        <v>#REF!</v>
      </c>
      <c r="F32" s="303" t="e">
        <f t="shared" si="3"/>
        <v>#REF!</v>
      </c>
      <c r="G32" s="303" t="e">
        <f t="shared" si="3"/>
        <v>#REF!</v>
      </c>
      <c r="H32" s="303" t="e">
        <f t="shared" si="3"/>
        <v>#REF!</v>
      </c>
      <c r="I32" s="303" t="e">
        <f t="shared" si="3"/>
        <v>#REF!</v>
      </c>
      <c r="J32" s="303" t="e">
        <f t="shared" si="3"/>
        <v>#REF!</v>
      </c>
      <c r="K32" s="303" t="e">
        <f t="shared" si="3"/>
        <v>#REF!</v>
      </c>
      <c r="L32" s="303" t="e">
        <f t="shared" si="3"/>
        <v>#REF!</v>
      </c>
    </row>
    <row r="33" spans="1:12" ht="30" customHeight="1">
      <c r="A33" s="285" t="s">
        <v>1879</v>
      </c>
      <c r="B33" s="286" t="s">
        <v>1880</v>
      </c>
      <c r="C33" s="305" t="s">
        <v>1881</v>
      </c>
      <c r="D33" s="303" t="e">
        <f>+'CE Min'!#REF!-'CE Min'!#REF!-'CE Min'!#REF!-'CE Min'!#REF!-'CE Min'!#REF!</f>
        <v>#REF!</v>
      </c>
      <c r="E33" s="303" t="e">
        <f>+'CE Min'!#REF!-'CE Min'!#REF!-'CE Min'!#REF!-'CE Min'!#REF!-'CE Min'!#REF!</f>
        <v>#REF!</v>
      </c>
      <c r="F33" s="303" t="e">
        <f>+'CE Min'!#REF!-'CE Min'!#REF!-'CE Min'!#REF!-'CE Min'!#REF!-'CE Min'!#REF!</f>
        <v>#REF!</v>
      </c>
      <c r="G33" s="303" t="e">
        <f>+'CE Min'!#REF!-'CE Min'!#REF!-'CE Min'!#REF!-'CE Min'!#REF!-'CE Min'!#REF!</f>
        <v>#REF!</v>
      </c>
      <c r="H33" s="303" t="e">
        <f>+'CE Min'!#REF!-'CE Min'!#REF!-'CE Min'!#REF!-'CE Min'!#REF!-'CE Min'!#REF!</f>
        <v>#REF!</v>
      </c>
      <c r="I33" s="303" t="e">
        <f>+'CE Min'!#REF!-'CE Min'!#REF!-'CE Min'!#REF!-'CE Min'!#REF!-'CE Min'!#REF!</f>
        <v>#REF!</v>
      </c>
      <c r="J33" s="303" t="e">
        <f>+'CE Min'!#REF!-'CE Min'!#REF!-'CE Min'!#REF!-'CE Min'!#REF!-'CE Min'!#REF!</f>
        <v>#REF!</v>
      </c>
      <c r="K33" s="303" t="e">
        <f>+'CE Min'!#REF!-'CE Min'!#REF!-'CE Min'!#REF!-'CE Min'!#REF!-'CE Min'!#REF!</f>
        <v>#REF!</v>
      </c>
      <c r="L33" s="303" t="e">
        <f>+'CE Min'!#REF!-'CE Min'!#REF!-'CE Min'!#REF!-'CE Min'!#REF!-'CE Min'!#REF!</f>
        <v>#REF!</v>
      </c>
    </row>
    <row r="34" spans="1:12">
      <c r="A34" s="285" t="s">
        <v>1882</v>
      </c>
      <c r="B34" s="286" t="s">
        <v>1883</v>
      </c>
      <c r="C34" s="306" t="s">
        <v>509</v>
      </c>
      <c r="D34" s="303" t="e">
        <f>+'CE Min'!#REF!</f>
        <v>#REF!</v>
      </c>
      <c r="E34" s="303" t="e">
        <f>+'CE Min'!#REF!</f>
        <v>#REF!</v>
      </c>
      <c r="F34" s="303" t="e">
        <f>+'CE Min'!#REF!</f>
        <v>#REF!</v>
      </c>
      <c r="G34" s="303" t="e">
        <f>+'CE Min'!#REF!</f>
        <v>#REF!</v>
      </c>
      <c r="H34" s="303" t="e">
        <f>+'CE Min'!#REF!</f>
        <v>#REF!</v>
      </c>
      <c r="I34" s="303" t="e">
        <f>+'CE Min'!#REF!</f>
        <v>#REF!</v>
      </c>
      <c r="J34" s="303" t="e">
        <f>+'CE Min'!#REF!</f>
        <v>#REF!</v>
      </c>
      <c r="K34" s="303" t="e">
        <f>+'CE Min'!#REF!</f>
        <v>#REF!</v>
      </c>
      <c r="L34" s="303" t="e">
        <f>+'CE Min'!#REF!</f>
        <v>#REF!</v>
      </c>
    </row>
    <row r="35" spans="1:12">
      <c r="A35" s="284" t="s">
        <v>1884</v>
      </c>
      <c r="B35" s="326" t="s">
        <v>1885</v>
      </c>
      <c r="C35" s="307"/>
      <c r="D35" s="303" t="e">
        <f>+D36+D37</f>
        <v>#REF!</v>
      </c>
      <c r="E35" s="303" t="e">
        <f t="shared" ref="E35:L35" si="4">+E36+E37</f>
        <v>#REF!</v>
      </c>
      <c r="F35" s="303" t="e">
        <f t="shared" si="4"/>
        <v>#REF!</v>
      </c>
      <c r="G35" s="303" t="e">
        <f t="shared" si="4"/>
        <v>#REF!</v>
      </c>
      <c r="H35" s="303" t="e">
        <f t="shared" si="4"/>
        <v>#REF!</v>
      </c>
      <c r="I35" s="303" t="e">
        <f t="shared" si="4"/>
        <v>#REF!</v>
      </c>
      <c r="J35" s="303" t="e">
        <f t="shared" si="4"/>
        <v>#REF!</v>
      </c>
      <c r="K35" s="303" t="e">
        <f t="shared" si="4"/>
        <v>#REF!</v>
      </c>
      <c r="L35" s="303" t="e">
        <f t="shared" si="4"/>
        <v>#REF!</v>
      </c>
    </row>
    <row r="36" spans="1:12">
      <c r="A36" s="285" t="s">
        <v>1886</v>
      </c>
      <c r="B36" s="286" t="s">
        <v>1887</v>
      </c>
      <c r="C36" s="306" t="s">
        <v>1888</v>
      </c>
      <c r="D36" s="303" t="e">
        <f>+'CE Min'!#REF!+'CE Min'!#REF!-'CE Min'!#REF!+'CE Min'!#REF!</f>
        <v>#REF!</v>
      </c>
      <c r="E36" s="303" t="e">
        <f>+'CE Min'!#REF!+'CE Min'!#REF!-'CE Min'!#REF!+'CE Min'!#REF!</f>
        <v>#REF!</v>
      </c>
      <c r="F36" s="303" t="e">
        <f>+'CE Min'!#REF!+'CE Min'!#REF!-'CE Min'!#REF!+'CE Min'!#REF!</f>
        <v>#REF!</v>
      </c>
      <c r="G36" s="303" t="e">
        <f>+'CE Min'!#REF!+'CE Min'!#REF!-'CE Min'!#REF!+'CE Min'!#REF!</f>
        <v>#REF!</v>
      </c>
      <c r="H36" s="303" t="e">
        <f>+'CE Min'!#REF!+'CE Min'!#REF!-'CE Min'!#REF!+'CE Min'!#REF!</f>
        <v>#REF!</v>
      </c>
      <c r="I36" s="303" t="e">
        <f>+'CE Min'!#REF!+'CE Min'!#REF!-'CE Min'!#REF!+'CE Min'!#REF!</f>
        <v>#REF!</v>
      </c>
      <c r="J36" s="303" t="e">
        <f>+'CE Min'!#REF!+'CE Min'!#REF!-'CE Min'!#REF!+'CE Min'!#REF!</f>
        <v>#REF!</v>
      </c>
      <c r="K36" s="303" t="e">
        <f>+'CE Min'!#REF!+'CE Min'!#REF!-'CE Min'!#REF!+'CE Min'!#REF!</f>
        <v>#REF!</v>
      </c>
      <c r="L36" s="303" t="e">
        <f>+'CE Min'!#REF!+'CE Min'!#REF!-'CE Min'!#REF!+'CE Min'!#REF!</f>
        <v>#REF!</v>
      </c>
    </row>
    <row r="37" spans="1:12" ht="33.6" customHeight="1">
      <c r="A37" s="285" t="s">
        <v>1889</v>
      </c>
      <c r="B37" s="286" t="s">
        <v>1890</v>
      </c>
      <c r="C37" s="305" t="s">
        <v>1891</v>
      </c>
      <c r="D37" s="303" t="e">
        <f>+'CE Min'!#REF!+'CE Min'!#REF!+'CE Min'!#REF!+'CE Min'!#REF!+'CE Min'!#REF!-'CE Min'!#REF!+'CE Min'!#REF!</f>
        <v>#REF!</v>
      </c>
      <c r="E37" s="303" t="e">
        <f>+'CE Min'!#REF!+'CE Min'!#REF!+'CE Min'!#REF!+'CE Min'!#REF!+'CE Min'!#REF!-'CE Min'!#REF!+'CE Min'!#REF!</f>
        <v>#REF!</v>
      </c>
      <c r="F37" s="303" t="e">
        <f>+'CE Min'!#REF!+'CE Min'!#REF!+'CE Min'!#REF!+'CE Min'!#REF!+'CE Min'!#REF!-'CE Min'!#REF!+'CE Min'!#REF!</f>
        <v>#REF!</v>
      </c>
      <c r="G37" s="303" t="e">
        <f>+'CE Min'!#REF!+'CE Min'!#REF!+'CE Min'!#REF!+'CE Min'!#REF!+'CE Min'!#REF!-'CE Min'!#REF!+'CE Min'!#REF!</f>
        <v>#REF!</v>
      </c>
      <c r="H37" s="303" t="e">
        <f>+'CE Min'!#REF!+'CE Min'!#REF!+'CE Min'!#REF!+'CE Min'!#REF!+'CE Min'!#REF!-'CE Min'!#REF!+'CE Min'!#REF!</f>
        <v>#REF!</v>
      </c>
      <c r="I37" s="303" t="e">
        <f>+'CE Min'!#REF!+'CE Min'!#REF!+'CE Min'!#REF!+'CE Min'!#REF!+'CE Min'!#REF!-'CE Min'!#REF!+'CE Min'!#REF!</f>
        <v>#REF!</v>
      </c>
      <c r="J37" s="303" t="e">
        <f>+'CE Min'!#REF!+'CE Min'!#REF!+'CE Min'!#REF!+'CE Min'!#REF!+'CE Min'!#REF!-'CE Min'!#REF!+'CE Min'!#REF!</f>
        <v>#REF!</v>
      </c>
      <c r="K37" s="303" t="e">
        <f>+'CE Min'!#REF!+'CE Min'!#REF!+'CE Min'!#REF!+'CE Min'!#REF!+'CE Min'!#REF!-'CE Min'!#REF!+'CE Min'!#REF!</f>
        <v>#REF!</v>
      </c>
      <c r="L37" s="303" t="e">
        <f>+'CE Min'!#REF!+'CE Min'!#REF!+'CE Min'!#REF!+'CE Min'!#REF!+'CE Min'!#REF!-'CE Min'!#REF!+'CE Min'!#REF!</f>
        <v>#REF!</v>
      </c>
    </row>
    <row r="38" spans="1:12" ht="22.5">
      <c r="A38" s="287" t="s">
        <v>1892</v>
      </c>
      <c r="B38" s="327" t="s">
        <v>1893</v>
      </c>
      <c r="C38" s="307"/>
      <c r="D38" s="303" t="e">
        <f>+D39+D40+D41+D42+D43+D44+D45</f>
        <v>#REF!</v>
      </c>
      <c r="E38" s="303" t="e">
        <f t="shared" ref="E38:L38" si="5">+E39+E40+E41+E42+E43+E44+E45</f>
        <v>#REF!</v>
      </c>
      <c r="F38" s="303" t="e">
        <f t="shared" si="5"/>
        <v>#REF!</v>
      </c>
      <c r="G38" s="303" t="e">
        <f t="shared" si="5"/>
        <v>#REF!</v>
      </c>
      <c r="H38" s="303" t="e">
        <f t="shared" si="5"/>
        <v>#REF!</v>
      </c>
      <c r="I38" s="303" t="e">
        <f t="shared" si="5"/>
        <v>#REF!</v>
      </c>
      <c r="J38" s="303" t="e">
        <f t="shared" si="5"/>
        <v>#REF!</v>
      </c>
      <c r="K38" s="303" t="e">
        <f t="shared" si="5"/>
        <v>#REF!</v>
      </c>
      <c r="L38" s="303" t="e">
        <f t="shared" si="5"/>
        <v>#REF!</v>
      </c>
    </row>
    <row r="39" spans="1:12">
      <c r="A39" s="288" t="s">
        <v>1894</v>
      </c>
      <c r="B39" s="286" t="s">
        <v>1895</v>
      </c>
      <c r="C39" s="306" t="s">
        <v>529</v>
      </c>
      <c r="D39" s="303" t="e">
        <f>+'CE Min'!#REF!</f>
        <v>#REF!</v>
      </c>
      <c r="E39" s="303" t="e">
        <f>+'CE Min'!#REF!</f>
        <v>#REF!</v>
      </c>
      <c r="F39" s="303" t="e">
        <f>+'CE Min'!#REF!</f>
        <v>#REF!</v>
      </c>
      <c r="G39" s="303" t="e">
        <f>+'CE Min'!#REF!</f>
        <v>#REF!</v>
      </c>
      <c r="H39" s="303" t="e">
        <f>+'CE Min'!#REF!</f>
        <v>#REF!</v>
      </c>
      <c r="I39" s="303" t="e">
        <f>+'CE Min'!#REF!</f>
        <v>#REF!</v>
      </c>
      <c r="J39" s="303" t="e">
        <f>+'CE Min'!#REF!</f>
        <v>#REF!</v>
      </c>
      <c r="K39" s="303" t="e">
        <f>+'CE Min'!#REF!</f>
        <v>#REF!</v>
      </c>
      <c r="L39" s="303" t="e">
        <f>+'CE Min'!#REF!</f>
        <v>#REF!</v>
      </c>
    </row>
    <row r="40" spans="1:12">
      <c r="A40" s="288" t="s">
        <v>1896</v>
      </c>
      <c r="B40" s="286" t="s">
        <v>1897</v>
      </c>
      <c r="C40" s="306" t="s">
        <v>1898</v>
      </c>
      <c r="D40" s="303" t="e">
        <f>+'CE Min'!#REF!</f>
        <v>#REF!</v>
      </c>
      <c r="E40" s="303" t="e">
        <f>+'CE Min'!#REF!</f>
        <v>#REF!</v>
      </c>
      <c r="F40" s="303" t="e">
        <f>+'CE Min'!#REF!</f>
        <v>#REF!</v>
      </c>
      <c r="G40" s="303" t="e">
        <f>+'CE Min'!#REF!</f>
        <v>#REF!</v>
      </c>
      <c r="H40" s="303" t="e">
        <f>+'CE Min'!#REF!</f>
        <v>#REF!</v>
      </c>
      <c r="I40" s="303" t="e">
        <f>+'CE Min'!#REF!</f>
        <v>#REF!</v>
      </c>
      <c r="J40" s="303" t="e">
        <f>+'CE Min'!#REF!</f>
        <v>#REF!</v>
      </c>
      <c r="K40" s="303" t="e">
        <f>+'CE Min'!#REF!</f>
        <v>#REF!</v>
      </c>
      <c r="L40" s="303" t="e">
        <f>+'CE Min'!#REF!</f>
        <v>#REF!</v>
      </c>
    </row>
    <row r="41" spans="1:12">
      <c r="A41" s="289" t="s">
        <v>1899</v>
      </c>
      <c r="B41" s="286" t="s">
        <v>1900</v>
      </c>
      <c r="C41" s="306" t="s">
        <v>1901</v>
      </c>
      <c r="D41" s="303" t="e">
        <f>+'CE Min'!#REF!</f>
        <v>#REF!</v>
      </c>
      <c r="E41" s="303" t="e">
        <f>+'CE Min'!#REF!</f>
        <v>#REF!</v>
      </c>
      <c r="F41" s="303" t="e">
        <f>+'CE Min'!#REF!</f>
        <v>#REF!</v>
      </c>
      <c r="G41" s="303" t="e">
        <f>+'CE Min'!#REF!</f>
        <v>#REF!</v>
      </c>
      <c r="H41" s="303" t="e">
        <f>+'CE Min'!#REF!</f>
        <v>#REF!</v>
      </c>
      <c r="I41" s="303" t="e">
        <f>+'CE Min'!#REF!</f>
        <v>#REF!</v>
      </c>
      <c r="J41" s="303" t="e">
        <f>+'CE Min'!#REF!</f>
        <v>#REF!</v>
      </c>
      <c r="K41" s="303" t="e">
        <f>+'CE Min'!#REF!</f>
        <v>#REF!</v>
      </c>
      <c r="L41" s="303" t="e">
        <f>+'CE Min'!#REF!</f>
        <v>#REF!</v>
      </c>
    </row>
    <row r="42" spans="1:12">
      <c r="A42" s="288" t="s">
        <v>1902</v>
      </c>
      <c r="B42" s="286" t="s">
        <v>1903</v>
      </c>
      <c r="C42" s="306" t="s">
        <v>1904</v>
      </c>
      <c r="D42" s="303" t="e">
        <f>+'CE Min'!#REF!+'CE Min'!#REF!</f>
        <v>#REF!</v>
      </c>
      <c r="E42" s="303" t="e">
        <f>+'CE Min'!#REF!+'CE Min'!#REF!</f>
        <v>#REF!</v>
      </c>
      <c r="F42" s="303" t="e">
        <f>+'CE Min'!#REF!+'CE Min'!#REF!</f>
        <v>#REF!</v>
      </c>
      <c r="G42" s="303" t="e">
        <f>+'CE Min'!#REF!+'CE Min'!#REF!</f>
        <v>#REF!</v>
      </c>
      <c r="H42" s="303" t="e">
        <f>+'CE Min'!#REF!+'CE Min'!#REF!</f>
        <v>#REF!</v>
      </c>
      <c r="I42" s="303" t="e">
        <f>+'CE Min'!#REF!+'CE Min'!#REF!</f>
        <v>#REF!</v>
      </c>
      <c r="J42" s="303" t="e">
        <f>+'CE Min'!#REF!+'CE Min'!#REF!</f>
        <v>#REF!</v>
      </c>
      <c r="K42" s="303" t="e">
        <f>+'CE Min'!#REF!+'CE Min'!#REF!</f>
        <v>#REF!</v>
      </c>
      <c r="L42" s="303" t="e">
        <f>+'CE Min'!#REF!+'CE Min'!#REF!</f>
        <v>#REF!</v>
      </c>
    </row>
    <row r="43" spans="1:12">
      <c r="A43" s="288" t="s">
        <v>1905</v>
      </c>
      <c r="B43" s="286" t="s">
        <v>1906</v>
      </c>
      <c r="C43" s="306" t="s">
        <v>1907</v>
      </c>
      <c r="D43" s="303" t="e">
        <f>+'CE Min'!#REF!+'CE Min'!#REF!</f>
        <v>#REF!</v>
      </c>
      <c r="E43" s="303" t="e">
        <f>+'CE Min'!#REF!+'CE Min'!#REF!</f>
        <v>#REF!</v>
      </c>
      <c r="F43" s="303" t="e">
        <f>+'CE Min'!#REF!+'CE Min'!#REF!</f>
        <v>#REF!</v>
      </c>
      <c r="G43" s="303" t="e">
        <f>+'CE Min'!#REF!+'CE Min'!#REF!</f>
        <v>#REF!</v>
      </c>
      <c r="H43" s="303" t="e">
        <f>+'CE Min'!#REF!+'CE Min'!#REF!</f>
        <v>#REF!</v>
      </c>
      <c r="I43" s="303" t="e">
        <f>+'CE Min'!#REF!+'CE Min'!#REF!</f>
        <v>#REF!</v>
      </c>
      <c r="J43" s="303" t="e">
        <f>+'CE Min'!#REF!+'CE Min'!#REF!</f>
        <v>#REF!</v>
      </c>
      <c r="K43" s="303" t="e">
        <f>+'CE Min'!#REF!+'CE Min'!#REF!</f>
        <v>#REF!</v>
      </c>
      <c r="L43" s="303" t="e">
        <f>+'CE Min'!#REF!+'CE Min'!#REF!</f>
        <v>#REF!</v>
      </c>
    </row>
    <row r="44" spans="1:12">
      <c r="A44" s="288" t="s">
        <v>1908</v>
      </c>
      <c r="B44" s="286" t="s">
        <v>1909</v>
      </c>
      <c r="C44" s="306" t="s">
        <v>1910</v>
      </c>
      <c r="D44" s="303" t="e">
        <f>+'CE Min'!#REF!+'CE Min'!#REF!</f>
        <v>#REF!</v>
      </c>
      <c r="E44" s="303" t="e">
        <f>+'CE Min'!#REF!+'CE Min'!#REF!</f>
        <v>#REF!</v>
      </c>
      <c r="F44" s="303" t="e">
        <f>+'CE Min'!#REF!+'CE Min'!#REF!</f>
        <v>#REF!</v>
      </c>
      <c r="G44" s="303" t="e">
        <f>+'CE Min'!#REF!+'CE Min'!#REF!</f>
        <v>#REF!</v>
      </c>
      <c r="H44" s="303" t="e">
        <f>+'CE Min'!#REF!+'CE Min'!#REF!</f>
        <v>#REF!</v>
      </c>
      <c r="I44" s="303" t="e">
        <f>+'CE Min'!#REF!+'CE Min'!#REF!</f>
        <v>#REF!</v>
      </c>
      <c r="J44" s="303" t="e">
        <f>+'CE Min'!#REF!+'CE Min'!#REF!</f>
        <v>#REF!</v>
      </c>
      <c r="K44" s="303" t="e">
        <f>+'CE Min'!#REF!+'CE Min'!#REF!</f>
        <v>#REF!</v>
      </c>
      <c r="L44" s="303" t="e">
        <f>+'CE Min'!#REF!+'CE Min'!#REF!</f>
        <v>#REF!</v>
      </c>
    </row>
    <row r="45" spans="1:12" ht="82.9" customHeight="1">
      <c r="A45" s="288" t="s">
        <v>1911</v>
      </c>
      <c r="B45" s="286" t="s">
        <v>1912</v>
      </c>
      <c r="C45" s="305" t="s">
        <v>1913</v>
      </c>
      <c r="D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303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290" t="s">
        <v>1914</v>
      </c>
      <c r="B46" s="326">
        <v>20</v>
      </c>
      <c r="C46" s="305" t="s">
        <v>1915</v>
      </c>
      <c r="D46" s="303" t="e">
        <f>+'CE Min'!#REF!+'CE Min'!#REF!+'CE Min'!#REF!+'CE Min'!#REF!+'CE Min'!#REF!+'CE Min'!#REF!+'CE Min'!#REF!+'CE Min'!#REF!+'CE Min'!#REF!+'CE Min'!#REF!+'CE Min'!#REF!+'CE Min'!#REF!+'CE Min'!#REF!</f>
        <v>#REF!</v>
      </c>
      <c r="E46" s="303" t="e">
        <f>+'CE Min'!#REF!+'CE Min'!#REF!+'CE Min'!#REF!+'CE Min'!#REF!+'CE Min'!#REF!+'CE Min'!#REF!+'CE Min'!#REF!+'CE Min'!#REF!+'CE Min'!#REF!+'CE Min'!#REF!+'CE Min'!#REF!+'CE Min'!#REF!+'CE Min'!#REF!</f>
        <v>#REF!</v>
      </c>
      <c r="F46" s="303" t="e">
        <f>+'CE Min'!#REF!+'CE Min'!#REF!+'CE Min'!#REF!+'CE Min'!#REF!+'CE Min'!#REF!+'CE Min'!#REF!+'CE Min'!#REF!+'CE Min'!#REF!+'CE Min'!#REF!+'CE Min'!#REF!+'CE Min'!#REF!+'CE Min'!#REF!+'CE Min'!#REF!</f>
        <v>#REF!</v>
      </c>
      <c r="G46" s="303" t="e">
        <f>+'CE Min'!#REF!+'CE Min'!#REF!+'CE Min'!#REF!+'CE Min'!#REF!+'CE Min'!#REF!+'CE Min'!#REF!+'CE Min'!#REF!+'CE Min'!#REF!+'CE Min'!#REF!+'CE Min'!#REF!+'CE Min'!#REF!+'CE Min'!#REF!+'CE Min'!#REF!</f>
        <v>#REF!</v>
      </c>
      <c r="H46" s="303" t="e">
        <f>+'CE Min'!#REF!+'CE Min'!#REF!+'CE Min'!#REF!+'CE Min'!#REF!+'CE Min'!#REF!+'CE Min'!#REF!+'CE Min'!#REF!+'CE Min'!#REF!+'CE Min'!#REF!+'CE Min'!#REF!+'CE Min'!#REF!+'CE Min'!#REF!+'CE Min'!#REF!</f>
        <v>#REF!</v>
      </c>
      <c r="I46" s="303" t="e">
        <f>+'CE Min'!#REF!+'CE Min'!#REF!+'CE Min'!#REF!+'CE Min'!#REF!+'CE Min'!#REF!+'CE Min'!#REF!+'CE Min'!#REF!+'CE Min'!#REF!+'CE Min'!#REF!+'CE Min'!#REF!+'CE Min'!#REF!+'CE Min'!#REF!+'CE Min'!#REF!</f>
        <v>#REF!</v>
      </c>
      <c r="J46" s="303" t="e">
        <f>+'CE Min'!#REF!+'CE Min'!#REF!+'CE Min'!#REF!+'CE Min'!#REF!+'CE Min'!#REF!+'CE Min'!#REF!+'CE Min'!#REF!+'CE Min'!#REF!+'CE Min'!#REF!+'CE Min'!#REF!+'CE Min'!#REF!+'CE Min'!#REF!+'CE Min'!#REF!</f>
        <v>#REF!</v>
      </c>
      <c r="K46" s="303" t="e">
        <f>+'CE Min'!#REF!+'CE Min'!#REF!+'CE Min'!#REF!+'CE Min'!#REF!+'CE Min'!#REF!+'CE Min'!#REF!+'CE Min'!#REF!+'CE Min'!#REF!+'CE Min'!#REF!+'CE Min'!#REF!+'CE Min'!#REF!+'CE Min'!#REF!+'CE Min'!#REF!</f>
        <v>#REF!</v>
      </c>
      <c r="L46" s="303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287" t="s">
        <v>1916</v>
      </c>
      <c r="B47" s="326">
        <v>21</v>
      </c>
      <c r="C47" s="306" t="s">
        <v>1078</v>
      </c>
      <c r="D47" s="303" t="e">
        <f>+'CE Min'!#REF!</f>
        <v>#REF!</v>
      </c>
      <c r="E47" s="303" t="e">
        <f>+'CE Min'!#REF!</f>
        <v>#REF!</v>
      </c>
      <c r="F47" s="303" t="e">
        <f>+'CE Min'!#REF!</f>
        <v>#REF!</v>
      </c>
      <c r="G47" s="303" t="e">
        <f>+'CE Min'!#REF!</f>
        <v>#REF!</v>
      </c>
      <c r="H47" s="303" t="e">
        <f>+'CE Min'!#REF!</f>
        <v>#REF!</v>
      </c>
      <c r="I47" s="303" t="e">
        <f>+'CE Min'!#REF!</f>
        <v>#REF!</v>
      </c>
      <c r="J47" s="303" t="e">
        <f>+'CE Min'!#REF!</f>
        <v>#REF!</v>
      </c>
      <c r="K47" s="303" t="e">
        <f>+'CE Min'!#REF!</f>
        <v>#REF!</v>
      </c>
      <c r="L47" s="303" t="e">
        <f>+'CE Min'!#REF!</f>
        <v>#REF!</v>
      </c>
    </row>
    <row r="48" spans="1:12">
      <c r="A48" s="287" t="s">
        <v>1917</v>
      </c>
      <c r="B48" s="326">
        <v>22</v>
      </c>
      <c r="C48" s="308" t="s">
        <v>1918</v>
      </c>
      <c r="D48" s="303" t="e">
        <f>+'CE Min'!#REF!+'CE Min'!#REF!</f>
        <v>#REF!</v>
      </c>
      <c r="E48" s="303" t="e">
        <f>+'CE Min'!#REF!+'CE Min'!#REF!</f>
        <v>#REF!</v>
      </c>
      <c r="F48" s="303" t="e">
        <f>+'CE Min'!#REF!+'CE Min'!#REF!</f>
        <v>#REF!</v>
      </c>
      <c r="G48" s="303" t="e">
        <f>+'CE Min'!#REF!+'CE Min'!#REF!</f>
        <v>#REF!</v>
      </c>
      <c r="H48" s="303" t="e">
        <f>+'CE Min'!#REF!+'CE Min'!#REF!</f>
        <v>#REF!</v>
      </c>
      <c r="I48" s="303" t="e">
        <f>+'CE Min'!#REF!+'CE Min'!#REF!</f>
        <v>#REF!</v>
      </c>
      <c r="J48" s="303" t="e">
        <f>+'CE Min'!#REF!+'CE Min'!#REF!</f>
        <v>#REF!</v>
      </c>
      <c r="K48" s="303" t="e">
        <f>+'CE Min'!#REF!+'CE Min'!#REF!</f>
        <v>#REF!</v>
      </c>
      <c r="L48" s="303" t="e">
        <f>+'CE Min'!#REF!+'CE Min'!#REF!</f>
        <v>#REF!</v>
      </c>
    </row>
    <row r="49" spans="1:12">
      <c r="A49" s="287" t="s">
        <v>1919</v>
      </c>
      <c r="B49" s="326">
        <v>23</v>
      </c>
      <c r="C49" s="308" t="s">
        <v>1920</v>
      </c>
      <c r="D49" s="303" t="e">
        <f>+'CE Min'!#REF!+'CE Min'!#REF!+'CE Min'!#REF!</f>
        <v>#REF!</v>
      </c>
      <c r="E49" s="303" t="e">
        <f>+'CE Min'!#REF!+'CE Min'!#REF!+'CE Min'!#REF!</f>
        <v>#REF!</v>
      </c>
      <c r="F49" s="303" t="e">
        <f>+'CE Min'!#REF!+'CE Min'!#REF!+'CE Min'!#REF!</f>
        <v>#REF!</v>
      </c>
      <c r="G49" s="303" t="e">
        <f>+'CE Min'!#REF!+'CE Min'!#REF!+'CE Min'!#REF!</f>
        <v>#REF!</v>
      </c>
      <c r="H49" s="303" t="e">
        <f>+'CE Min'!#REF!+'CE Min'!#REF!+'CE Min'!#REF!</f>
        <v>#REF!</v>
      </c>
      <c r="I49" s="303" t="e">
        <f>+'CE Min'!#REF!+'CE Min'!#REF!+'CE Min'!#REF!</f>
        <v>#REF!</v>
      </c>
      <c r="J49" s="303" t="e">
        <f>+'CE Min'!#REF!+'CE Min'!#REF!+'CE Min'!#REF!</f>
        <v>#REF!</v>
      </c>
      <c r="K49" s="303" t="e">
        <f>+'CE Min'!#REF!+'CE Min'!#REF!+'CE Min'!#REF!</f>
        <v>#REF!</v>
      </c>
      <c r="L49" s="303" t="e">
        <f>+'CE Min'!#REF!+'CE Min'!#REF!+'CE Min'!#REF!</f>
        <v>#REF!</v>
      </c>
    </row>
    <row r="50" spans="1:12">
      <c r="A50" s="291" t="s">
        <v>1921</v>
      </c>
      <c r="B50" s="326">
        <v>24</v>
      </c>
      <c r="C50" s="309" t="s">
        <v>1653</v>
      </c>
      <c r="D50" s="303" t="e">
        <f>+'CE Min'!#REF!</f>
        <v>#REF!</v>
      </c>
      <c r="E50" s="303" t="e">
        <f>+'CE Min'!#REF!</f>
        <v>#REF!</v>
      </c>
      <c r="F50" s="303" t="e">
        <f>+'CE Min'!#REF!</f>
        <v>#REF!</v>
      </c>
      <c r="G50" s="303" t="e">
        <f>+'CE Min'!#REF!</f>
        <v>#REF!</v>
      </c>
      <c r="H50" s="303" t="e">
        <f>+'CE Min'!#REF!</f>
        <v>#REF!</v>
      </c>
      <c r="I50" s="303" t="e">
        <f>+'CE Min'!#REF!</f>
        <v>#REF!</v>
      </c>
      <c r="J50" s="303" t="e">
        <f>+'CE Min'!#REF!</f>
        <v>#REF!</v>
      </c>
      <c r="K50" s="303" t="e">
        <f>+'CE Min'!#REF!</f>
        <v>#REF!</v>
      </c>
      <c r="L50" s="303" t="e">
        <f>+'CE Min'!#REF!</f>
        <v>#REF!</v>
      </c>
    </row>
    <row r="51" spans="1:12" ht="83.65" customHeight="1">
      <c r="A51" s="292" t="s">
        <v>1922</v>
      </c>
      <c r="B51" s="326">
        <v>25</v>
      </c>
      <c r="C51" s="310" t="s">
        <v>1923</v>
      </c>
      <c r="D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303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292" t="s">
        <v>1924</v>
      </c>
      <c r="B52" s="326">
        <v>26</v>
      </c>
      <c r="C52" s="310" t="s">
        <v>1925</v>
      </c>
      <c r="D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303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287" t="s">
        <v>1926</v>
      </c>
      <c r="B53" s="326">
        <v>27</v>
      </c>
      <c r="C53" s="311" t="s">
        <v>1927</v>
      </c>
      <c r="D53" s="303" t="e">
        <f>-'CE Min'!#REF!+'CE Min'!#REF!+'CE Min'!#REF!</f>
        <v>#REF!</v>
      </c>
      <c r="E53" s="303" t="e">
        <f>-'CE Min'!#REF!+'CE Min'!#REF!+'CE Min'!#REF!</f>
        <v>#REF!</v>
      </c>
      <c r="F53" s="303" t="e">
        <f>-'CE Min'!#REF!+'CE Min'!#REF!+'CE Min'!#REF!</f>
        <v>#REF!</v>
      </c>
      <c r="G53" s="303" t="e">
        <f>-'CE Min'!#REF!+'CE Min'!#REF!+'CE Min'!#REF!</f>
        <v>#REF!</v>
      </c>
      <c r="H53" s="303" t="e">
        <f>-'CE Min'!#REF!+'CE Min'!#REF!+'CE Min'!#REF!</f>
        <v>#REF!</v>
      </c>
      <c r="I53" s="303" t="e">
        <f>-'CE Min'!#REF!+'CE Min'!#REF!+'CE Min'!#REF!</f>
        <v>#REF!</v>
      </c>
      <c r="J53" s="303" t="e">
        <f>-'CE Min'!#REF!+'CE Min'!#REF!+'CE Min'!#REF!</f>
        <v>#REF!</v>
      </c>
      <c r="K53" s="303" t="e">
        <f>-'CE Min'!#REF!+'CE Min'!#REF!+'CE Min'!#REF!</f>
        <v>#REF!</v>
      </c>
      <c r="L53" s="303" t="e">
        <f>-'CE Min'!#REF!+'CE Min'!#REF!+'CE Min'!#REF!</f>
        <v>#REF!</v>
      </c>
    </row>
    <row r="54" spans="1:12" ht="34.15" customHeight="1">
      <c r="A54" s="287" t="s">
        <v>1928</v>
      </c>
      <c r="B54" s="326">
        <v>28</v>
      </c>
      <c r="C54" s="312" t="s">
        <v>1929</v>
      </c>
      <c r="D54" s="303" t="e">
        <f>-'CE Min'!#REF!+'CE Min'!#REF!+'CE Min'!#REF!+'CE Min'!#REF!</f>
        <v>#REF!</v>
      </c>
      <c r="E54" s="303" t="e">
        <f>-'CE Min'!#REF!+'CE Min'!#REF!+'CE Min'!#REF!+'CE Min'!#REF!</f>
        <v>#REF!</v>
      </c>
      <c r="F54" s="303" t="e">
        <f>-'CE Min'!#REF!+'CE Min'!#REF!+'CE Min'!#REF!+'CE Min'!#REF!</f>
        <v>#REF!</v>
      </c>
      <c r="G54" s="303" t="e">
        <f>-'CE Min'!#REF!+'CE Min'!#REF!+'CE Min'!#REF!+'CE Min'!#REF!</f>
        <v>#REF!</v>
      </c>
      <c r="H54" s="303" t="e">
        <f>-'CE Min'!#REF!+'CE Min'!#REF!+'CE Min'!#REF!+'CE Min'!#REF!</f>
        <v>#REF!</v>
      </c>
      <c r="I54" s="303" t="e">
        <f>-'CE Min'!#REF!+'CE Min'!#REF!+'CE Min'!#REF!+'CE Min'!#REF!</f>
        <v>#REF!</v>
      </c>
      <c r="J54" s="303" t="e">
        <f>-'CE Min'!#REF!+'CE Min'!#REF!+'CE Min'!#REF!+'CE Min'!#REF!</f>
        <v>#REF!</v>
      </c>
      <c r="K54" s="303" t="e">
        <f>-'CE Min'!#REF!+'CE Min'!#REF!+'CE Min'!#REF!+'CE Min'!#REF!</f>
        <v>#REF!</v>
      </c>
      <c r="L54" s="303" t="e">
        <f>-'CE Min'!#REF!+'CE Min'!#REF!+'CE Min'!#REF!+'CE Min'!#REF!</f>
        <v>#REF!</v>
      </c>
    </row>
    <row r="55" spans="1:12" ht="66.599999999999994" customHeight="1">
      <c r="A55" s="293" t="s">
        <v>1930</v>
      </c>
      <c r="B55" s="328">
        <v>29</v>
      </c>
      <c r="C55" s="313" t="s">
        <v>1931</v>
      </c>
      <c r="D55" s="303" t="e">
        <f>-'CE Min'!#REF!-'CE Min'!#REF!-'CE Min'!#REF!-'CE Min'!#REF!-'CE Min'!#REF!+'CE Min'!#REF!+'CE Min'!#REF!+'CE Min'!#REF!+'CE Min'!#REF!+'CE Min'!#REF!</f>
        <v>#REF!</v>
      </c>
      <c r="E55" s="303" t="e">
        <f>-'CE Min'!#REF!-'CE Min'!#REF!-'CE Min'!#REF!-'CE Min'!#REF!-'CE Min'!#REF!+'CE Min'!#REF!+'CE Min'!#REF!+'CE Min'!#REF!+'CE Min'!#REF!+'CE Min'!#REF!</f>
        <v>#REF!</v>
      </c>
      <c r="F55" s="303" t="e">
        <f>-'CE Min'!#REF!-'CE Min'!#REF!-'CE Min'!#REF!-'CE Min'!#REF!-'CE Min'!#REF!+'CE Min'!#REF!+'CE Min'!#REF!+'CE Min'!#REF!+'CE Min'!#REF!+'CE Min'!#REF!</f>
        <v>#REF!</v>
      </c>
      <c r="G55" s="303" t="e">
        <f>-'CE Min'!#REF!-'CE Min'!#REF!-'CE Min'!#REF!-'CE Min'!#REF!-'CE Min'!#REF!+'CE Min'!#REF!+'CE Min'!#REF!+'CE Min'!#REF!+'CE Min'!#REF!+'CE Min'!#REF!</f>
        <v>#REF!</v>
      </c>
      <c r="H55" s="303" t="e">
        <f>-'CE Min'!#REF!-'CE Min'!#REF!-'CE Min'!#REF!-'CE Min'!#REF!-'CE Min'!#REF!+'CE Min'!#REF!+'CE Min'!#REF!+'CE Min'!#REF!+'CE Min'!#REF!+'CE Min'!#REF!</f>
        <v>#REF!</v>
      </c>
      <c r="I55" s="303" t="e">
        <f>-'CE Min'!#REF!-'CE Min'!#REF!-'CE Min'!#REF!-'CE Min'!#REF!-'CE Min'!#REF!+'CE Min'!#REF!+'CE Min'!#REF!+'CE Min'!#REF!+'CE Min'!#REF!+'CE Min'!#REF!</f>
        <v>#REF!</v>
      </c>
      <c r="J55" s="303" t="e">
        <f>-'CE Min'!#REF!-'CE Min'!#REF!-'CE Min'!#REF!-'CE Min'!#REF!-'CE Min'!#REF!+'CE Min'!#REF!+'CE Min'!#REF!+'CE Min'!#REF!+'CE Min'!#REF!+'CE Min'!#REF!</f>
        <v>#REF!</v>
      </c>
      <c r="K55" s="303" t="e">
        <f>-'CE Min'!#REF!-'CE Min'!#REF!-'CE Min'!#REF!-'CE Min'!#REF!-'CE Min'!#REF!+'CE Min'!#REF!+'CE Min'!#REF!+'CE Min'!#REF!+'CE Min'!#REF!+'CE Min'!#REF!</f>
        <v>#REF!</v>
      </c>
      <c r="L55" s="303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294" t="s">
        <v>1932</v>
      </c>
      <c r="B56" s="329" t="s">
        <v>1933</v>
      </c>
      <c r="C56" s="314"/>
      <c r="D56" s="314" t="e">
        <f>+D25+D31+D32+D35+D38+D46+D47+D48+D49+D50+D51+D52+D53+D54+D55</f>
        <v>#REF!</v>
      </c>
      <c r="E56" s="314" t="e">
        <f t="shared" ref="E56:L56" si="6">+E25+E31+E32+E35+E38+E46+E47+E48+E49+E50+E51+E52+E53+E54+E55</f>
        <v>#REF!</v>
      </c>
      <c r="F56" s="314" t="e">
        <f t="shared" si="6"/>
        <v>#REF!</v>
      </c>
      <c r="G56" s="314" t="e">
        <f t="shared" si="6"/>
        <v>#REF!</v>
      </c>
      <c r="H56" s="314" t="e">
        <f t="shared" si="6"/>
        <v>#REF!</v>
      </c>
      <c r="I56" s="314" t="e">
        <f t="shared" si="6"/>
        <v>#REF!</v>
      </c>
      <c r="J56" s="314" t="e">
        <f t="shared" si="6"/>
        <v>#REF!</v>
      </c>
      <c r="K56" s="314" t="e">
        <f t="shared" si="6"/>
        <v>#REF!</v>
      </c>
      <c r="L56" s="314" t="e">
        <f t="shared" si="6"/>
        <v>#REF!</v>
      </c>
    </row>
    <row r="57" spans="1:12" ht="14.25" thickTop="1" thickBot="1">
      <c r="A57" s="267"/>
      <c r="B57" s="330"/>
      <c r="C57" s="267"/>
    </row>
    <row r="58" spans="1:12" ht="19.5" thickTop="1" thickBot="1">
      <c r="A58" s="295" t="s">
        <v>1815</v>
      </c>
      <c r="B58" s="331" t="s">
        <v>1934</v>
      </c>
      <c r="C58" s="296"/>
      <c r="D58" s="296" t="e">
        <f>+D19-D56</f>
        <v>#REF!</v>
      </c>
      <c r="E58" s="296" t="e">
        <f t="shared" ref="E58:L58" si="7">+E19-E56</f>
        <v>#REF!</v>
      </c>
      <c r="F58" s="296" t="e">
        <f t="shared" si="7"/>
        <v>#REF!</v>
      </c>
      <c r="G58" s="296" t="e">
        <f t="shared" si="7"/>
        <v>#REF!</v>
      </c>
      <c r="H58" s="296" t="e">
        <f t="shared" si="7"/>
        <v>#REF!</v>
      </c>
      <c r="I58" s="296" t="e">
        <f t="shared" si="7"/>
        <v>#REF!</v>
      </c>
      <c r="J58" s="296" t="e">
        <f t="shared" si="7"/>
        <v>#REF!</v>
      </c>
      <c r="K58" s="296" t="e">
        <f t="shared" si="7"/>
        <v>#REF!</v>
      </c>
      <c r="L58" s="296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50"/>
  <sheetViews>
    <sheetView zoomScaleNormal="100" workbookViewId="0"/>
  </sheetViews>
  <sheetFormatPr defaultColWidth="16.7109375" defaultRowHeight="12.75"/>
  <cols>
    <col min="1" max="1" width="8.5703125" customWidth="1"/>
    <col min="3" max="3" width="52" customWidth="1"/>
    <col min="4" max="4" width="22.7109375" customWidth="1"/>
    <col min="5" max="5" width="23.7109375" customWidth="1"/>
    <col min="6" max="6" width="5" customWidth="1"/>
    <col min="7" max="7" width="4.7109375" customWidth="1"/>
    <col min="8" max="8" width="5.140625" customWidth="1"/>
    <col min="9" max="9" width="21.85546875" bestFit="1" customWidth="1"/>
    <col min="10" max="10" width="7" customWidth="1"/>
    <col min="11" max="11" width="7.28515625" customWidth="1"/>
    <col min="12" max="12" width="13.28515625" customWidth="1"/>
    <col min="13" max="20" width="2.7109375" customWidth="1"/>
    <col min="21" max="21" width="1.28515625" customWidth="1"/>
  </cols>
  <sheetData>
    <row r="1" spans="1:22" s="61" customFormat="1" ht="15" customHeight="1">
      <c r="A1" s="58" t="s">
        <v>1218</v>
      </c>
      <c r="B1" s="59"/>
      <c r="C1" s="60"/>
      <c r="D1" s="60"/>
      <c r="E1" s="60"/>
      <c r="R1" s="62"/>
      <c r="S1" s="63" t="s">
        <v>1219</v>
      </c>
      <c r="T1" s="64"/>
    </row>
    <row r="2" spans="1:22" s="61" customFormat="1" ht="15.95" customHeight="1" thickBot="1">
      <c r="A2" s="59"/>
      <c r="B2" s="59"/>
      <c r="C2" s="60"/>
      <c r="D2" s="60"/>
      <c r="E2" s="60"/>
      <c r="R2" s="65"/>
      <c r="S2" s="66"/>
      <c r="T2" s="67"/>
    </row>
    <row r="3" spans="1:22" s="61" customFormat="1" ht="15">
      <c r="A3" s="68" t="s">
        <v>1220</v>
      </c>
      <c r="B3" s="59"/>
      <c r="C3" s="60"/>
      <c r="D3" s="60"/>
      <c r="E3" s="60"/>
    </row>
    <row r="4" spans="1:22" s="61" customFormat="1" ht="15">
      <c r="A4" s="68" t="s">
        <v>1221</v>
      </c>
      <c r="B4" s="59"/>
      <c r="C4" s="60"/>
      <c r="D4" s="60"/>
      <c r="E4" s="60"/>
    </row>
    <row r="5" spans="1:22" s="61" customFormat="1" ht="15">
      <c r="A5" s="59"/>
      <c r="B5" s="59"/>
      <c r="C5" s="60"/>
      <c r="D5" s="60"/>
      <c r="E5" s="60"/>
    </row>
    <row r="6" spans="1:22" s="61" customFormat="1" ht="52.5" customHeight="1">
      <c r="A6" s="69" t="s">
        <v>1222</v>
      </c>
      <c r="B6" s="59"/>
      <c r="C6" s="70"/>
      <c r="D6" s="70"/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3"/>
    </row>
    <row r="7" spans="1:22" s="61" customFormat="1" ht="14.25" customHeight="1" thickBot="1">
      <c r="A7" s="74"/>
      <c r="B7" s="75"/>
      <c r="C7" s="75"/>
      <c r="D7" s="75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3"/>
    </row>
    <row r="8" spans="1:22" s="61" customFormat="1" ht="18.75" thickBot="1">
      <c r="A8" s="77" t="s">
        <v>1223</v>
      </c>
      <c r="B8" s="78"/>
      <c r="C8" s="342"/>
      <c r="D8" s="342"/>
      <c r="E8" s="342"/>
      <c r="F8" s="243"/>
      <c r="G8" s="243"/>
      <c r="H8" s="243"/>
      <c r="I8" s="79"/>
      <c r="J8" s="76"/>
      <c r="K8" s="343" t="s">
        <v>1954</v>
      </c>
      <c r="L8" s="813"/>
      <c r="M8" s="813"/>
      <c r="N8" s="813"/>
      <c r="O8" s="813"/>
      <c r="P8" s="813"/>
      <c r="Q8" s="813"/>
      <c r="R8" s="813"/>
      <c r="S8" s="813"/>
      <c r="T8" s="813"/>
      <c r="U8" s="814"/>
      <c r="V8" s="73"/>
    </row>
    <row r="9" spans="1:22" s="61" customFormat="1" ht="18">
      <c r="A9" s="80"/>
      <c r="B9" s="81"/>
      <c r="C9" s="344"/>
      <c r="D9" s="344"/>
      <c r="E9" s="344"/>
      <c r="F9" s="82"/>
      <c r="G9" s="82"/>
      <c r="H9" s="82"/>
      <c r="I9" s="83"/>
      <c r="J9" s="76"/>
      <c r="K9" s="345"/>
      <c r="L9" s="82"/>
      <c r="M9" s="82"/>
      <c r="N9" s="82"/>
      <c r="O9" s="82"/>
      <c r="P9" s="82"/>
      <c r="Q9" s="82"/>
      <c r="R9" s="82"/>
      <c r="S9" s="82"/>
      <c r="T9" s="82"/>
      <c r="U9" s="83"/>
      <c r="V9" s="73"/>
    </row>
    <row r="10" spans="1:22" s="61" customFormat="1" ht="18">
      <c r="A10" s="84" t="s">
        <v>1224</v>
      </c>
      <c r="B10" s="352">
        <v>60</v>
      </c>
      <c r="C10" s="353" t="s">
        <v>1960</v>
      </c>
      <c r="D10" s="359"/>
      <c r="E10" s="359"/>
      <c r="F10" s="85">
        <v>2</v>
      </c>
      <c r="G10" s="85">
        <v>0</v>
      </c>
      <c r="H10" s="85">
        <v>7</v>
      </c>
      <c r="I10" s="86"/>
      <c r="J10" s="76"/>
      <c r="K10" s="346" t="s">
        <v>1956</v>
      </c>
      <c r="L10" s="87"/>
      <c r="M10" s="74"/>
      <c r="N10" s="85">
        <v>2</v>
      </c>
      <c r="O10" s="85">
        <v>0</v>
      </c>
      <c r="P10" s="85">
        <v>2</v>
      </c>
      <c r="Q10" s="85">
        <v>3</v>
      </c>
      <c r="R10" s="74"/>
      <c r="S10" s="74"/>
      <c r="T10" s="74"/>
      <c r="U10" s="86"/>
      <c r="V10" s="73"/>
    </row>
    <row r="11" spans="1:22" s="61" customFormat="1" ht="18">
      <c r="A11" s="84"/>
      <c r="B11" s="88"/>
      <c r="C11" s="347"/>
      <c r="D11" s="347"/>
      <c r="E11" s="347"/>
      <c r="F11" s="74"/>
      <c r="G11" s="74"/>
      <c r="H11" s="74"/>
      <c r="I11" s="86"/>
      <c r="J11" s="76"/>
      <c r="K11" s="348"/>
      <c r="L11" s="74"/>
      <c r="M11" s="74"/>
      <c r="N11" s="74"/>
      <c r="O11" s="74"/>
      <c r="P11" s="74"/>
      <c r="Q11" s="74"/>
      <c r="R11" s="74"/>
      <c r="S11" s="74"/>
      <c r="T11" s="74"/>
      <c r="U11" s="86"/>
      <c r="V11" s="73"/>
    </row>
    <row r="12" spans="1:22" s="61" customFormat="1" ht="18">
      <c r="A12" s="84"/>
      <c r="B12" s="88"/>
      <c r="C12" s="347"/>
      <c r="D12" s="347"/>
      <c r="E12" s="347"/>
      <c r="F12" s="74"/>
      <c r="G12" s="74"/>
      <c r="H12" s="74"/>
      <c r="I12" s="86"/>
      <c r="J12" s="76"/>
      <c r="K12" s="346" t="s">
        <v>1957</v>
      </c>
      <c r="L12" s="87"/>
      <c r="M12" s="74">
        <v>1</v>
      </c>
      <c r="N12" s="85"/>
      <c r="O12" s="74">
        <v>2</v>
      </c>
      <c r="P12" s="85"/>
      <c r="Q12" s="74">
        <v>3</v>
      </c>
      <c r="R12" s="85"/>
      <c r="S12" s="74">
        <v>4</v>
      </c>
      <c r="T12" s="85"/>
      <c r="U12" s="86"/>
      <c r="V12" s="73"/>
    </row>
    <row r="13" spans="1:22" s="61" customFormat="1" ht="18">
      <c r="A13" s="84"/>
      <c r="B13" s="88"/>
      <c r="C13" s="347"/>
      <c r="D13" s="347"/>
      <c r="E13" s="347"/>
      <c r="F13" s="74"/>
      <c r="G13" s="74"/>
      <c r="H13" s="74"/>
      <c r="I13" s="86"/>
      <c r="J13" s="76"/>
      <c r="K13" s="348"/>
      <c r="L13" s="74"/>
      <c r="M13" s="74"/>
      <c r="N13" s="74"/>
      <c r="O13" s="74"/>
      <c r="P13" s="74"/>
      <c r="Q13" s="74"/>
      <c r="R13" s="74"/>
      <c r="S13" s="74"/>
      <c r="T13" s="74"/>
      <c r="U13" s="86"/>
      <c r="V13" s="73"/>
    </row>
    <row r="14" spans="1:22" s="61" customFormat="1" ht="18">
      <c r="A14" s="84"/>
      <c r="B14" s="88"/>
      <c r="C14" s="347"/>
      <c r="D14" s="347"/>
      <c r="E14" s="347"/>
      <c r="F14" s="74"/>
      <c r="G14" s="74"/>
      <c r="H14" s="74"/>
      <c r="I14" s="86"/>
      <c r="J14" s="76"/>
      <c r="K14" s="346" t="s">
        <v>1958</v>
      </c>
      <c r="L14" s="87"/>
      <c r="M14" s="85"/>
      <c r="O14" s="74"/>
      <c r="P14" s="74"/>
      <c r="Q14" s="74"/>
      <c r="R14" s="89" t="s">
        <v>1225</v>
      </c>
      <c r="S14" s="87"/>
      <c r="T14" s="85" t="s">
        <v>5459</v>
      </c>
      <c r="U14" s="815"/>
      <c r="V14" s="73"/>
    </row>
    <row r="15" spans="1:22" s="61" customFormat="1" ht="18.75" thickBot="1">
      <c r="A15" s="90"/>
      <c r="B15" s="91"/>
      <c r="C15" s="349"/>
      <c r="D15" s="349"/>
      <c r="E15" s="349"/>
      <c r="F15" s="92"/>
      <c r="G15" s="92"/>
      <c r="H15" s="92"/>
      <c r="I15" s="93"/>
      <c r="J15" s="76"/>
      <c r="K15" s="350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73"/>
    </row>
    <row r="16" spans="1:22" s="61" customFormat="1" ht="15.75" thickBot="1">
      <c r="B16" s="88"/>
      <c r="C16" s="88"/>
      <c r="D16" s="88"/>
      <c r="E16" s="88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3"/>
    </row>
    <row r="17" spans="1:22" s="61" customFormat="1" ht="15.95" customHeight="1" thickBot="1">
      <c r="A17" s="825" t="s">
        <v>1226</v>
      </c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7"/>
    </row>
    <row r="18" spans="1:22" s="61" customFormat="1" ht="15">
      <c r="A18" s="94"/>
      <c r="B18" s="95"/>
      <c r="C18" s="95"/>
      <c r="D18" s="95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351"/>
    </row>
    <row r="19" spans="1:22" s="61" customFormat="1" ht="15">
      <c r="A19" s="97"/>
      <c r="B19" s="88"/>
      <c r="C19" s="88"/>
      <c r="D19" s="88"/>
      <c r="E19" s="88"/>
      <c r="F19" s="89"/>
      <c r="G19" s="89" t="s">
        <v>1959</v>
      </c>
      <c r="H19" s="85"/>
      <c r="I19" s="74"/>
      <c r="J19" s="89" t="s">
        <v>1227</v>
      </c>
      <c r="K19" s="85"/>
      <c r="L19" s="98"/>
      <c r="M19" s="74"/>
      <c r="N19" s="74"/>
      <c r="O19" s="74"/>
      <c r="P19" s="74"/>
      <c r="Q19" s="74"/>
      <c r="R19" s="74"/>
      <c r="S19" s="74"/>
      <c r="T19" s="74"/>
      <c r="U19" s="86"/>
    </row>
    <row r="20" spans="1:22" s="61" customFormat="1" ht="15.75" thickBot="1">
      <c r="A20" s="99"/>
      <c r="B20" s="91"/>
      <c r="C20" s="91"/>
      <c r="D20" s="91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</row>
    <row r="21" spans="1:22" s="61" customFormat="1" ht="15">
      <c r="A21" s="136"/>
      <c r="B21" s="88"/>
      <c r="C21" s="88"/>
      <c r="D21" s="88"/>
      <c r="E21" s="88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2" ht="18.75" thickBot="1">
      <c r="A22" s="100"/>
      <c r="B22" s="101"/>
      <c r="C22" s="101"/>
      <c r="D22" s="828" t="s">
        <v>3624</v>
      </c>
      <c r="E22" s="828"/>
      <c r="F22" s="100"/>
      <c r="G22" s="100"/>
      <c r="H22" s="100"/>
      <c r="I22" s="100"/>
      <c r="J22" s="100"/>
      <c r="K22" s="100"/>
      <c r="L22" s="100"/>
      <c r="U22" s="102"/>
    </row>
    <row r="23" spans="1:22" s="265" customFormat="1" ht="51.75" customHeight="1" thickBot="1">
      <c r="A23" s="230" t="s">
        <v>1228</v>
      </c>
      <c r="B23" s="103" t="s">
        <v>1229</v>
      </c>
      <c r="C23" s="332" t="s">
        <v>1230</v>
      </c>
      <c r="D23" s="406" t="s">
        <v>3623</v>
      </c>
      <c r="E23" s="263" t="s">
        <v>5162</v>
      </c>
      <c r="F23" s="105"/>
      <c r="G23" s="264"/>
      <c r="H23" s="104"/>
      <c r="I23" s="468" t="s">
        <v>5458</v>
      </c>
      <c r="J23" s="104"/>
      <c r="K23" s="104"/>
      <c r="L23" s="104"/>
      <c r="M23"/>
      <c r="N23"/>
      <c r="O23"/>
      <c r="P23"/>
      <c r="Q23"/>
      <c r="R23"/>
      <c r="S23"/>
      <c r="T23"/>
      <c r="U23"/>
      <c r="V23" s="266"/>
    </row>
    <row r="24" spans="1:22" ht="18.75">
      <c r="A24" s="231"/>
      <c r="B24" s="140"/>
      <c r="C24" s="141" t="s">
        <v>1829</v>
      </c>
      <c r="D24" s="142"/>
      <c r="E24" s="142"/>
      <c r="F24" s="72"/>
      <c r="G24" s="245"/>
      <c r="I24" s="142"/>
    </row>
    <row r="25" spans="1:22" ht="18.75">
      <c r="A25" s="232"/>
      <c r="B25" s="143" t="s">
        <v>1231</v>
      </c>
      <c r="C25" s="144" t="s">
        <v>1232</v>
      </c>
      <c r="D25" s="145">
        <f t="shared" ref="D25:E25" si="0">(D26+D35+D50+D55)</f>
        <v>855123758.29999995</v>
      </c>
      <c r="E25" s="145">
        <f t="shared" si="0"/>
        <v>840535790.28999996</v>
      </c>
      <c r="F25" s="72" t="s">
        <v>1835</v>
      </c>
      <c r="G25" s="245"/>
      <c r="I25" s="145">
        <v>421241188.80000001</v>
      </c>
      <c r="J25" s="106"/>
    </row>
    <row r="26" spans="1:22" ht="25.5">
      <c r="A26" s="233"/>
      <c r="B26" s="138" t="s">
        <v>1233</v>
      </c>
      <c r="C26" s="139" t="s">
        <v>1234</v>
      </c>
      <c r="D26" s="137">
        <f t="shared" ref="D26:E26" si="1">+D27+D34</f>
        <v>827608326.17999995</v>
      </c>
      <c r="E26" s="137">
        <f t="shared" si="1"/>
        <v>808657198.92999995</v>
      </c>
      <c r="F26" s="72" t="s">
        <v>1835</v>
      </c>
      <c r="G26" s="245"/>
      <c r="H26" s="110"/>
      <c r="I26" s="137">
        <v>417447695.56999999</v>
      </c>
      <c r="J26" s="106"/>
      <c r="L26" s="110"/>
    </row>
    <row r="27" spans="1:22" ht="25.5">
      <c r="A27" s="232"/>
      <c r="B27" s="149" t="s">
        <v>122</v>
      </c>
      <c r="C27" s="150" t="s">
        <v>1235</v>
      </c>
      <c r="D27" s="151">
        <f t="shared" ref="D27:E27" si="2">+D28+D29+D30+D33</f>
        <v>826629299.87</v>
      </c>
      <c r="E27" s="151">
        <f t="shared" si="2"/>
        <v>794767976.25999999</v>
      </c>
      <c r="F27" s="72" t="s">
        <v>1835</v>
      </c>
      <c r="G27" s="245"/>
      <c r="H27" s="110"/>
      <c r="I27" s="151">
        <v>417447695.56999999</v>
      </c>
      <c r="J27" s="106"/>
      <c r="L27" s="110"/>
    </row>
    <row r="28" spans="1:22" ht="18.75">
      <c r="A28" s="232"/>
      <c r="B28" s="115" t="s">
        <v>123</v>
      </c>
      <c r="C28" s="116" t="s">
        <v>1236</v>
      </c>
      <c r="D28" s="109">
        <f>ROUND('Alimentazione CE Ricavi'!E7,2)</f>
        <v>725357016.79999995</v>
      </c>
      <c r="E28" s="109">
        <f>ROUND('Alimentazione CE Ricavi'!F7,2)</f>
        <v>675273405</v>
      </c>
      <c r="F28" s="72"/>
      <c r="G28" s="245"/>
      <c r="H28" s="110"/>
      <c r="I28" s="109">
        <v>351747438.51999998</v>
      </c>
      <c r="J28" s="106"/>
      <c r="L28" s="110"/>
    </row>
    <row r="29" spans="1:22" ht="18.75">
      <c r="A29" s="232"/>
      <c r="B29" s="115" t="s">
        <v>125</v>
      </c>
      <c r="C29" s="116" t="s">
        <v>1237</v>
      </c>
      <c r="D29" s="109">
        <f>ROUND('Alimentazione CE Ricavi'!E9,2)</f>
        <v>42042950.07</v>
      </c>
      <c r="E29" s="109">
        <f>ROUND('Alimentazione CE Ricavi'!F9,2)</f>
        <v>60265238.259999998</v>
      </c>
      <c r="F29" s="72"/>
      <c r="G29" s="245"/>
      <c r="H29" s="110"/>
      <c r="I29" s="109">
        <v>25270924.050000001</v>
      </c>
      <c r="J29" s="106"/>
      <c r="L29" s="110"/>
    </row>
    <row r="30" spans="1:22" ht="18.75">
      <c r="A30" s="232"/>
      <c r="B30" s="152" t="s">
        <v>126</v>
      </c>
      <c r="C30" s="153" t="s">
        <v>1238</v>
      </c>
      <c r="D30" s="154">
        <f t="shared" ref="D30:E30" si="3">+D31+D32</f>
        <v>59229333</v>
      </c>
      <c r="E30" s="154">
        <f t="shared" si="3"/>
        <v>59229333</v>
      </c>
      <c r="F30" s="72" t="s">
        <v>1835</v>
      </c>
      <c r="G30" s="245"/>
      <c r="H30" s="110"/>
      <c r="I30" s="154">
        <v>40429333</v>
      </c>
      <c r="J30" s="106"/>
      <c r="L30" s="110"/>
    </row>
    <row r="31" spans="1:22" ht="18.75">
      <c r="A31" s="232"/>
      <c r="B31" s="117" t="s">
        <v>128</v>
      </c>
      <c r="C31" s="118" t="s">
        <v>1239</v>
      </c>
      <c r="D31" s="109">
        <f>ROUND('Alimentazione CE Ricavi'!E12,)</f>
        <v>16390504</v>
      </c>
      <c r="E31" s="109">
        <f>ROUND('Alimentazione CE Ricavi'!F12,)</f>
        <v>16390504</v>
      </c>
      <c r="F31" s="72"/>
      <c r="G31" s="245"/>
      <c r="H31" s="110"/>
      <c r="I31" s="109">
        <v>16390504</v>
      </c>
      <c r="J31" s="106"/>
      <c r="L31" s="110"/>
    </row>
    <row r="32" spans="1:22" ht="18.75">
      <c r="A32" s="232"/>
      <c r="B32" s="117" t="s">
        <v>130</v>
      </c>
      <c r="C32" s="118" t="s">
        <v>1240</v>
      </c>
      <c r="D32" s="109">
        <f>+ROUND('Alimentazione CE Ricavi'!E14,2)</f>
        <v>42838829</v>
      </c>
      <c r="E32" s="109">
        <f>+ROUND('Alimentazione CE Ricavi'!F14,2)</f>
        <v>42838829</v>
      </c>
      <c r="F32" s="72"/>
      <c r="G32" s="245"/>
      <c r="H32" s="110"/>
      <c r="I32" s="109">
        <v>24038829</v>
      </c>
      <c r="J32" s="106"/>
      <c r="L32" s="110"/>
    </row>
    <row r="33" spans="1:12" ht="25.5">
      <c r="A33" s="232"/>
      <c r="B33" s="115" t="s">
        <v>132</v>
      </c>
      <c r="C33" s="116" t="s">
        <v>1241</v>
      </c>
      <c r="D33" s="109">
        <f>ROUND('Alimentazione CE Ricavi'!E16,2)</f>
        <v>0</v>
      </c>
      <c r="E33" s="109">
        <f>ROUND('Alimentazione CE Ricavi'!F16,2)</f>
        <v>0</v>
      </c>
      <c r="F33" s="72"/>
      <c r="G33" s="245"/>
      <c r="H33" s="110"/>
      <c r="I33" s="109">
        <v>0</v>
      </c>
      <c r="J33" s="106"/>
      <c r="L33" s="110"/>
    </row>
    <row r="34" spans="1:12" ht="25.5">
      <c r="A34" s="232"/>
      <c r="B34" s="149" t="s">
        <v>133</v>
      </c>
      <c r="C34" s="150" t="s">
        <v>1242</v>
      </c>
      <c r="D34" s="151">
        <f>ROUND('Alimentazione CE Ricavi'!E18,2)</f>
        <v>979026.31</v>
      </c>
      <c r="E34" s="151">
        <f>ROUND('Alimentazione CE Ricavi'!F18,2)</f>
        <v>13889222.67</v>
      </c>
      <c r="F34" s="72"/>
      <c r="G34" s="245"/>
      <c r="H34" s="110"/>
      <c r="I34" s="151">
        <v>0</v>
      </c>
      <c r="J34" s="106"/>
      <c r="L34" s="110"/>
    </row>
    <row r="35" spans="1:12" ht="18.75">
      <c r="A35" s="232"/>
      <c r="B35" s="138" t="s">
        <v>135</v>
      </c>
      <c r="C35" s="139" t="s">
        <v>1243</v>
      </c>
      <c r="D35" s="137">
        <f t="shared" ref="D35:E35" si="4">+D36+D41+D44</f>
        <v>27348886.129999999</v>
      </c>
      <c r="E35" s="137">
        <f t="shared" si="4"/>
        <v>31495043.460000001</v>
      </c>
      <c r="F35" s="72" t="s">
        <v>1835</v>
      </c>
      <c r="G35" s="245"/>
      <c r="H35" s="110"/>
      <c r="I35" s="137">
        <v>3793493.23</v>
      </c>
      <c r="J35" s="106"/>
      <c r="L35" s="110"/>
    </row>
    <row r="36" spans="1:12" ht="18.75">
      <c r="A36" s="232"/>
      <c r="B36" s="149" t="s">
        <v>136</v>
      </c>
      <c r="C36" s="150" t="s">
        <v>1244</v>
      </c>
      <c r="D36" s="151">
        <f t="shared" ref="D36:E36" si="5">+D37+D38+D39+D40</f>
        <v>20085302.449999999</v>
      </c>
      <c r="E36" s="151">
        <f t="shared" si="5"/>
        <v>24798876.870000001</v>
      </c>
      <c r="F36" s="72" t="s">
        <v>1835</v>
      </c>
      <c r="G36" s="245"/>
      <c r="H36" s="110"/>
      <c r="I36" s="151">
        <v>3793493.23</v>
      </c>
      <c r="J36" s="106"/>
      <c r="L36" s="110"/>
    </row>
    <row r="37" spans="1:12" ht="25.5">
      <c r="A37" s="232"/>
      <c r="B37" s="115" t="s">
        <v>137</v>
      </c>
      <c r="C37" s="116" t="s">
        <v>1245</v>
      </c>
      <c r="D37" s="109">
        <f>ROUND(('Alimentazione CE Ricavi'!E22+'Alimentazione CE Ricavi'!E23+'Alimentazione CE Ricavi'!E24+'Alimentazione CE Ricavi'!E25+'Alimentazione CE Ricavi'!E26+'Alimentazione CE Ricavi'!E27),2)</f>
        <v>19718168.620000001</v>
      </c>
      <c r="E37" s="109">
        <f>ROUND(('Alimentazione CE Ricavi'!F22+'Alimentazione CE Ricavi'!F23+'Alimentazione CE Ricavi'!F24+'Alimentazione CE Ricavi'!F25+'Alimentazione CE Ricavi'!F26+'Alimentazione CE Ricavi'!F27),2)</f>
        <v>23197531.420000002</v>
      </c>
      <c r="F37" s="72"/>
      <c r="G37" s="245"/>
      <c r="H37" s="110"/>
      <c r="I37" s="109">
        <v>3793493.23</v>
      </c>
      <c r="J37" s="106"/>
      <c r="L37" s="110"/>
    </row>
    <row r="38" spans="1:12" ht="38.25">
      <c r="A38" s="232"/>
      <c r="B38" s="115" t="s">
        <v>144</v>
      </c>
      <c r="C38" s="116" t="s">
        <v>1836</v>
      </c>
      <c r="D38" s="109">
        <f>ROUND('Alimentazione CE Ricavi'!E29,2)</f>
        <v>0</v>
      </c>
      <c r="E38" s="109">
        <f>ROUND('Alimentazione CE Ricavi'!F29,2)</f>
        <v>0</v>
      </c>
      <c r="F38" s="72"/>
      <c r="G38" s="245"/>
      <c r="H38" s="110"/>
      <c r="I38" s="109">
        <v>0</v>
      </c>
      <c r="J38" s="106"/>
      <c r="L38" s="110"/>
    </row>
    <row r="39" spans="1:12" ht="38.25">
      <c r="A39" s="232"/>
      <c r="B39" s="115" t="s">
        <v>145</v>
      </c>
      <c r="C39" s="116" t="s">
        <v>1837</v>
      </c>
      <c r="D39" s="109">
        <f>ROUND('Alimentazione CE Ricavi'!E31,2)</f>
        <v>0</v>
      </c>
      <c r="E39" s="109">
        <f>ROUND('Alimentazione CE Ricavi'!F31,2)</f>
        <v>0</v>
      </c>
      <c r="F39" s="72"/>
      <c r="G39" s="245"/>
      <c r="H39" s="110"/>
      <c r="I39" s="109"/>
      <c r="J39" s="106"/>
      <c r="L39" s="110"/>
    </row>
    <row r="40" spans="1:12" ht="25.5">
      <c r="A40" s="232"/>
      <c r="B40" s="115" t="s">
        <v>147</v>
      </c>
      <c r="C40" s="116" t="s">
        <v>1246</v>
      </c>
      <c r="D40" s="109">
        <f>ROUND('Alimentazione CE Ricavi'!E33,2)</f>
        <v>367133.83</v>
      </c>
      <c r="E40" s="109">
        <f>ROUND('Alimentazione CE Ricavi'!F33,2)</f>
        <v>1601345.45</v>
      </c>
      <c r="F40" s="72"/>
      <c r="G40" s="245"/>
      <c r="H40" s="110"/>
      <c r="I40" s="109">
        <v>0</v>
      </c>
      <c r="J40" s="106"/>
      <c r="L40" s="110"/>
    </row>
    <row r="41" spans="1:12" ht="25.5">
      <c r="A41" s="232"/>
      <c r="B41" s="149" t="s">
        <v>148</v>
      </c>
      <c r="C41" s="150" t="s">
        <v>1247</v>
      </c>
      <c r="D41" s="151">
        <f>+D42+D43</f>
        <v>148041.68</v>
      </c>
      <c r="E41" s="151">
        <f t="shared" ref="E41" si="6">+E42+E43</f>
        <v>0</v>
      </c>
      <c r="F41" s="72" t="s">
        <v>1835</v>
      </c>
      <c r="G41" s="245"/>
      <c r="H41" s="110"/>
      <c r="I41" s="151">
        <v>0</v>
      </c>
      <c r="J41" s="106"/>
      <c r="L41" s="110"/>
    </row>
    <row r="42" spans="1:12" ht="25.5">
      <c r="A42" s="232" t="s">
        <v>1248</v>
      </c>
      <c r="B42" s="115" t="s">
        <v>150</v>
      </c>
      <c r="C42" s="116" t="s">
        <v>1249</v>
      </c>
      <c r="D42" s="109">
        <f>ROUND('Alimentazione CE Ricavi'!E36,2)</f>
        <v>148041.68</v>
      </c>
      <c r="E42" s="109">
        <f>ROUND('Alimentazione CE Ricavi'!F36,2)</f>
        <v>0</v>
      </c>
      <c r="F42" s="72"/>
      <c r="G42" s="245"/>
      <c r="H42" s="110"/>
      <c r="I42" s="109">
        <v>0</v>
      </c>
      <c r="J42" s="106"/>
      <c r="L42" s="110"/>
    </row>
    <row r="43" spans="1:12" ht="25.5">
      <c r="A43" s="232" t="s">
        <v>1248</v>
      </c>
      <c r="B43" s="115" t="s">
        <v>152</v>
      </c>
      <c r="C43" s="116" t="s">
        <v>1250</v>
      </c>
      <c r="D43" s="109">
        <f>ROUND('Alimentazione CE Ricavi'!E38,2)</f>
        <v>0</v>
      </c>
      <c r="E43" s="109">
        <f>ROUND('Alimentazione CE Ricavi'!F38,2)</f>
        <v>0</v>
      </c>
      <c r="F43" s="72"/>
      <c r="G43" s="245"/>
      <c r="H43" s="110"/>
      <c r="I43" s="109">
        <v>0</v>
      </c>
      <c r="J43" s="106"/>
      <c r="L43" s="110"/>
    </row>
    <row r="44" spans="1:12" ht="25.5">
      <c r="A44" s="234"/>
      <c r="B44" s="149" t="s">
        <v>153</v>
      </c>
      <c r="C44" s="150" t="s">
        <v>1251</v>
      </c>
      <c r="D44" s="151">
        <f t="shared" ref="D44:E44" si="7">+D45+D46+D47+D48+D49</f>
        <v>7115541.9999999991</v>
      </c>
      <c r="E44" s="151">
        <f t="shared" si="7"/>
        <v>6696166.5899999999</v>
      </c>
      <c r="F44" s="72" t="s">
        <v>1835</v>
      </c>
      <c r="G44" s="245"/>
      <c r="H44" s="110"/>
      <c r="I44" s="151">
        <v>0</v>
      </c>
      <c r="J44" s="106"/>
      <c r="L44" s="110"/>
    </row>
    <row r="45" spans="1:12" ht="18.75">
      <c r="A45" s="234"/>
      <c r="B45" s="115" t="s">
        <v>155</v>
      </c>
      <c r="C45" s="116" t="s">
        <v>1252</v>
      </c>
      <c r="D45" s="109">
        <f>ROUND('Alimentazione CE Ricavi'!E41,2)</f>
        <v>5251363.3499999996</v>
      </c>
      <c r="E45" s="109">
        <f>ROUND('Alimentazione CE Ricavi'!F41,2)</f>
        <v>2246930.89</v>
      </c>
      <c r="F45" s="356"/>
      <c r="G45" s="245"/>
      <c r="H45" s="110"/>
      <c r="I45" s="109">
        <v>0</v>
      </c>
      <c r="J45" s="106"/>
      <c r="L45" s="110"/>
    </row>
    <row r="46" spans="1:12" ht="25.5">
      <c r="A46" s="234"/>
      <c r="B46" s="115" t="s">
        <v>156</v>
      </c>
      <c r="C46" s="116" t="s">
        <v>1253</v>
      </c>
      <c r="D46" s="109">
        <f>ROUND(('Alimentazione CE Ricavi'!E43+'Alimentazione CE Ricavi'!E44+'Alimentazione CE Ricavi'!E45+'Alimentazione CE Ricavi'!E46+'Alimentazione CE Ricavi'!E47+'Alimentazione CE Ricavi'!E48),2)</f>
        <v>1736282.96</v>
      </c>
      <c r="E46" s="109">
        <f>ROUND(('Alimentazione CE Ricavi'!F43+'Alimentazione CE Ricavi'!F44+'Alimentazione CE Ricavi'!F45+'Alimentazione CE Ricavi'!F46+'Alimentazione CE Ricavi'!F47+'Alimentazione CE Ricavi'!F48),2)</f>
        <v>3624202.05</v>
      </c>
      <c r="F46" s="356"/>
      <c r="G46" s="245"/>
      <c r="H46" s="110"/>
      <c r="I46" s="109">
        <v>0</v>
      </c>
      <c r="J46" s="106"/>
      <c r="L46" s="110"/>
    </row>
    <row r="47" spans="1:12" ht="25.5">
      <c r="A47" s="234"/>
      <c r="B47" s="115" t="s">
        <v>164</v>
      </c>
      <c r="C47" s="116" t="s">
        <v>1254</v>
      </c>
      <c r="D47" s="109">
        <f>ROUND('Alimentazione CE Ricavi'!E50,2)</f>
        <v>72085.67</v>
      </c>
      <c r="E47" s="109">
        <f>ROUND('Alimentazione CE Ricavi'!F50,2)</f>
        <v>118467.91</v>
      </c>
      <c r="F47" s="356"/>
      <c r="G47" s="245"/>
      <c r="H47" s="110"/>
      <c r="I47" s="109">
        <v>0</v>
      </c>
      <c r="J47" s="106"/>
      <c r="L47" s="110"/>
    </row>
    <row r="48" spans="1:12" ht="25.5">
      <c r="A48" s="234"/>
      <c r="B48" s="115" t="s">
        <v>166</v>
      </c>
      <c r="C48" s="116" t="s">
        <v>1255</v>
      </c>
      <c r="D48" s="109">
        <f>ROUND('Alimentazione CE Ricavi'!E52,2)</f>
        <v>55810.02</v>
      </c>
      <c r="E48" s="109">
        <f>ROUND('Alimentazione CE Ricavi'!F52,2)</f>
        <v>706565.74</v>
      </c>
      <c r="F48" s="356"/>
      <c r="G48" s="245"/>
      <c r="H48" s="110"/>
      <c r="I48" s="109">
        <v>0</v>
      </c>
      <c r="J48" s="106"/>
      <c r="L48" s="110"/>
    </row>
    <row r="49" spans="1:12" ht="51">
      <c r="A49" s="234"/>
      <c r="B49" s="115" t="s">
        <v>168</v>
      </c>
      <c r="C49" s="116" t="s">
        <v>1256</v>
      </c>
      <c r="D49" s="109">
        <f>ROUND('Alimentazione CE Ricavi'!E54,2)</f>
        <v>0</v>
      </c>
      <c r="E49" s="109">
        <f>ROUND('Alimentazione CE Ricavi'!F54,2)</f>
        <v>0</v>
      </c>
      <c r="F49" s="356"/>
      <c r="G49" s="245"/>
      <c r="H49" s="110"/>
      <c r="I49" s="109">
        <v>0</v>
      </c>
      <c r="J49" s="106"/>
      <c r="L49" s="110"/>
    </row>
    <row r="50" spans="1:12" ht="18.75">
      <c r="A50" s="232"/>
      <c r="B50" s="138" t="s">
        <v>169</v>
      </c>
      <c r="C50" s="139" t="s">
        <v>1257</v>
      </c>
      <c r="D50" s="137">
        <f t="shared" ref="D50:E50" si="8">+D51+D52+D53+D54</f>
        <v>0</v>
      </c>
      <c r="E50" s="137">
        <f t="shared" si="8"/>
        <v>22300</v>
      </c>
      <c r="F50" s="72" t="s">
        <v>1835</v>
      </c>
      <c r="G50" s="245"/>
      <c r="H50" s="110"/>
      <c r="I50" s="137">
        <v>0</v>
      </c>
      <c r="J50" s="106"/>
      <c r="L50" s="110"/>
    </row>
    <row r="51" spans="1:12" ht="25.5">
      <c r="A51" s="232"/>
      <c r="B51" s="113" t="s">
        <v>171</v>
      </c>
      <c r="C51" s="114" t="s">
        <v>1258</v>
      </c>
      <c r="D51" s="109">
        <f>ROUND('Alimentazione CE Ricavi'!E57,2)</f>
        <v>0</v>
      </c>
      <c r="E51" s="109">
        <f>ROUND('Alimentazione CE Ricavi'!F57,2)</f>
        <v>0</v>
      </c>
      <c r="F51" s="72"/>
      <c r="G51" s="245"/>
      <c r="H51" s="110"/>
      <c r="I51" s="109">
        <v>0</v>
      </c>
      <c r="J51" s="106"/>
      <c r="L51" s="110"/>
    </row>
    <row r="52" spans="1:12" ht="25.5">
      <c r="A52" s="232"/>
      <c r="B52" s="113" t="s">
        <v>173</v>
      </c>
      <c r="C52" s="114" t="s">
        <v>1259</v>
      </c>
      <c r="D52" s="109">
        <f>ROUND('Alimentazione CE Ricavi'!E59,2)</f>
        <v>0</v>
      </c>
      <c r="E52" s="109">
        <f>ROUND('Alimentazione CE Ricavi'!F59,2)</f>
        <v>0</v>
      </c>
      <c r="F52" s="72"/>
      <c r="G52" s="245"/>
      <c r="H52" s="110"/>
      <c r="I52" s="109">
        <v>0</v>
      </c>
      <c r="J52" s="106"/>
      <c r="L52" s="110"/>
    </row>
    <row r="53" spans="1:12" ht="25.5">
      <c r="A53" s="232"/>
      <c r="B53" s="113" t="s">
        <v>174</v>
      </c>
      <c r="C53" s="114" t="s">
        <v>1260</v>
      </c>
      <c r="D53" s="109">
        <f>ROUND(('Alimentazione CE Ricavi'!E61+'Alimentazione CE Ricavi'!E62),2)</f>
        <v>0</v>
      </c>
      <c r="E53" s="109">
        <f>ROUND(('Alimentazione CE Ricavi'!F61+'Alimentazione CE Ricavi'!F62),2)</f>
        <v>0</v>
      </c>
      <c r="F53" s="72"/>
      <c r="G53" s="245"/>
      <c r="H53" s="110"/>
      <c r="I53" s="109"/>
      <c r="J53" s="106"/>
      <c r="L53" s="110"/>
    </row>
    <row r="54" spans="1:12" ht="18.75">
      <c r="A54" s="232"/>
      <c r="B54" s="113" t="s">
        <v>178</v>
      </c>
      <c r="C54" s="114" t="s">
        <v>1261</v>
      </c>
      <c r="D54" s="109">
        <f>ROUND('Alimentazione CE Ricavi'!E64,2)</f>
        <v>0</v>
      </c>
      <c r="E54" s="109">
        <f>ROUND('Alimentazione CE Ricavi'!F64,2)</f>
        <v>22300</v>
      </c>
      <c r="F54" s="72"/>
      <c r="G54" s="245"/>
      <c r="H54" s="110"/>
      <c r="I54" s="109"/>
      <c r="J54" s="106"/>
      <c r="L54" s="110"/>
    </row>
    <row r="55" spans="1:12" ht="18.75">
      <c r="A55" s="232"/>
      <c r="B55" s="138" t="s">
        <v>180</v>
      </c>
      <c r="C55" s="139" t="s">
        <v>1262</v>
      </c>
      <c r="D55" s="137">
        <f>ROUND('Alimentazione CE Ricavi'!E66,2)</f>
        <v>166545.99</v>
      </c>
      <c r="E55" s="137">
        <f>ROUND('Alimentazione CE Ricavi'!F66,2)</f>
        <v>361247.9</v>
      </c>
      <c r="F55" s="72"/>
      <c r="G55" s="245"/>
      <c r="H55" s="110"/>
      <c r="I55" s="137">
        <v>0</v>
      </c>
      <c r="J55" s="106"/>
      <c r="L55" s="110"/>
    </row>
    <row r="56" spans="1:12" ht="25.5">
      <c r="A56" s="232"/>
      <c r="B56" s="143" t="s">
        <v>181</v>
      </c>
      <c r="C56" s="144" t="s">
        <v>1263</v>
      </c>
      <c r="D56" s="145">
        <f t="shared" ref="D56:E56" si="9">+D57+D58</f>
        <v>-187160.04</v>
      </c>
      <c r="E56" s="145">
        <f t="shared" si="9"/>
        <v>-88736.7</v>
      </c>
      <c r="F56" s="72" t="s">
        <v>1835</v>
      </c>
      <c r="G56" s="245"/>
      <c r="H56" s="110"/>
      <c r="I56" s="145">
        <v>0</v>
      </c>
      <c r="J56" s="106"/>
      <c r="L56" s="110"/>
    </row>
    <row r="57" spans="1:12" ht="38.25">
      <c r="A57" s="232"/>
      <c r="B57" s="111" t="s">
        <v>183</v>
      </c>
      <c r="C57" s="112" t="s">
        <v>1264</v>
      </c>
      <c r="D57" s="109">
        <f>ROUND('Alimentazione CE Ricavi'!E69,2)</f>
        <v>0</v>
      </c>
      <c r="E57" s="109">
        <f>ROUND('Alimentazione CE Ricavi'!F69,2)</f>
        <v>0</v>
      </c>
      <c r="F57" s="72"/>
      <c r="G57" s="245"/>
      <c r="H57" s="110"/>
      <c r="I57" s="109">
        <v>0</v>
      </c>
      <c r="J57" s="106"/>
      <c r="L57" s="110"/>
    </row>
    <row r="58" spans="1:12" ht="25.5">
      <c r="A58" s="232"/>
      <c r="B58" s="111" t="s">
        <v>185</v>
      </c>
      <c r="C58" s="112" t="s">
        <v>1265</v>
      </c>
      <c r="D58" s="109">
        <f>ROUND('Alimentazione CE Ricavi'!E71,2)</f>
        <v>-187160.04</v>
      </c>
      <c r="E58" s="109">
        <f>ROUND('Alimentazione CE Ricavi'!F71,2)</f>
        <v>-88736.7</v>
      </c>
      <c r="F58" s="72"/>
      <c r="G58" s="245"/>
      <c r="H58" s="110"/>
      <c r="I58" s="109">
        <v>0</v>
      </c>
      <c r="J58" s="106"/>
      <c r="L58" s="110"/>
    </row>
    <row r="59" spans="1:12" ht="25.5">
      <c r="A59" s="234"/>
      <c r="B59" s="143" t="s">
        <v>186</v>
      </c>
      <c r="C59" s="144" t="s">
        <v>1266</v>
      </c>
      <c r="D59" s="145">
        <f t="shared" ref="D59:E59" si="10">+D60+D61+D62+D63+D64</f>
        <v>42649691.729999997</v>
      </c>
      <c r="E59" s="145">
        <f t="shared" si="10"/>
        <v>14017661.57</v>
      </c>
      <c r="F59" s="72" t="s">
        <v>1835</v>
      </c>
      <c r="G59" s="245"/>
      <c r="H59" s="110"/>
      <c r="I59" s="145">
        <v>349087.87</v>
      </c>
      <c r="J59" s="106"/>
      <c r="L59" s="110"/>
    </row>
    <row r="60" spans="1:12" ht="38.25">
      <c r="A60" s="234"/>
      <c r="B60" s="111" t="s">
        <v>188</v>
      </c>
      <c r="C60" s="112" t="s">
        <v>1267</v>
      </c>
      <c r="D60" s="109">
        <f>ROUND('Alimentazione CE Ricavi'!E74,2)</f>
        <v>684374.2</v>
      </c>
      <c r="E60" s="109">
        <f>ROUND('Alimentazione CE Ricavi'!F74,2)</f>
        <v>1186535.9099999999</v>
      </c>
      <c r="F60" s="356"/>
      <c r="G60" s="245"/>
      <c r="H60" s="110"/>
      <c r="I60" s="109">
        <v>0</v>
      </c>
      <c r="J60" s="106"/>
      <c r="L60" s="110"/>
    </row>
    <row r="61" spans="1:12" ht="38.25">
      <c r="A61" s="234"/>
      <c r="B61" s="111" t="s">
        <v>190</v>
      </c>
      <c r="C61" s="112" t="s">
        <v>1268</v>
      </c>
      <c r="D61" s="109">
        <f>ROUND('Alimentazione CE Ricavi'!E76,2)</f>
        <v>0</v>
      </c>
      <c r="E61" s="109">
        <f>ROUND('Alimentazione CE Ricavi'!F76,2)</f>
        <v>0</v>
      </c>
      <c r="F61" s="356"/>
      <c r="G61" s="245"/>
      <c r="H61" s="110"/>
      <c r="I61" s="109"/>
      <c r="J61" s="106"/>
      <c r="L61" s="110"/>
    </row>
    <row r="62" spans="1:12" ht="38.25">
      <c r="A62" s="234"/>
      <c r="B62" s="111" t="s">
        <v>192</v>
      </c>
      <c r="C62" s="112" t="s">
        <v>1269</v>
      </c>
      <c r="D62" s="109">
        <f>ROUND('Alimentazione CE Ricavi'!E78,2)</f>
        <v>9258083.9000000004</v>
      </c>
      <c r="E62" s="109">
        <f>ROUND('Alimentazione CE Ricavi'!F78,2)</f>
        <v>7692895.9100000001</v>
      </c>
      <c r="F62" s="356"/>
      <c r="G62" s="245"/>
      <c r="H62" s="110"/>
      <c r="I62" s="109">
        <v>0</v>
      </c>
      <c r="J62" s="106"/>
      <c r="L62" s="110"/>
    </row>
    <row r="63" spans="1:12" ht="25.5">
      <c r="A63" s="234"/>
      <c r="B63" s="111" t="s">
        <v>194</v>
      </c>
      <c r="C63" s="112" t="s">
        <v>1270</v>
      </c>
      <c r="D63" s="109">
        <f>ROUND('Alimentazione CE Ricavi'!E80,2)</f>
        <v>0</v>
      </c>
      <c r="E63" s="109">
        <f>ROUND('Alimentazione CE Ricavi'!F80,2)</f>
        <v>0</v>
      </c>
      <c r="F63" s="356"/>
      <c r="G63" s="245"/>
      <c r="H63" s="110"/>
      <c r="I63" s="109"/>
      <c r="J63" s="106"/>
      <c r="L63" s="110"/>
    </row>
    <row r="64" spans="1:12" ht="25.5">
      <c r="A64" s="234"/>
      <c r="B64" s="111" t="s">
        <v>196</v>
      </c>
      <c r="C64" s="112" t="s">
        <v>1271</v>
      </c>
      <c r="D64" s="109">
        <f>ROUND('Alimentazione CE Ricavi'!E82,2)</f>
        <v>32707233.629999999</v>
      </c>
      <c r="E64" s="109">
        <f>ROUND('Alimentazione CE Ricavi'!F82,2)</f>
        <v>5138229.75</v>
      </c>
      <c r="F64" s="356"/>
      <c r="G64" s="245"/>
      <c r="H64" s="110"/>
      <c r="I64" s="109">
        <v>349087.87</v>
      </c>
      <c r="J64" s="106"/>
      <c r="L64" s="110"/>
    </row>
    <row r="65" spans="1:12" ht="25.5">
      <c r="A65" s="232"/>
      <c r="B65" s="143" t="s">
        <v>1272</v>
      </c>
      <c r="C65" s="144" t="s">
        <v>1273</v>
      </c>
      <c r="D65" s="145">
        <f t="shared" ref="D65:E65" si="11">+D66+D105+D111+D112</f>
        <v>42286439.989999995</v>
      </c>
      <c r="E65" s="145">
        <f t="shared" si="11"/>
        <v>38453547.470000006</v>
      </c>
      <c r="F65" s="72" t="s">
        <v>1835</v>
      </c>
      <c r="G65" s="245"/>
      <c r="H65" s="110"/>
      <c r="I65" s="145">
        <v>29263425.422999993</v>
      </c>
      <c r="J65" s="106"/>
      <c r="L65" s="110"/>
    </row>
    <row r="66" spans="1:12" ht="38.25">
      <c r="A66" s="232"/>
      <c r="B66" s="138" t="s">
        <v>197</v>
      </c>
      <c r="C66" s="139" t="s">
        <v>1274</v>
      </c>
      <c r="D66" s="137">
        <f t="shared" ref="D66:E66" si="12">+D67+D83+D84</f>
        <v>27238371.239999998</v>
      </c>
      <c r="E66" s="137">
        <f t="shared" si="12"/>
        <v>24629766.140000004</v>
      </c>
      <c r="F66" s="72" t="s">
        <v>1835</v>
      </c>
      <c r="G66" s="245"/>
      <c r="H66" s="110"/>
      <c r="I66" s="137">
        <v>22730204.379999995</v>
      </c>
      <c r="J66" s="106"/>
      <c r="L66" s="110"/>
    </row>
    <row r="67" spans="1:12" ht="38.25">
      <c r="A67" s="232" t="s">
        <v>1248</v>
      </c>
      <c r="B67" s="149" t="s">
        <v>198</v>
      </c>
      <c r="C67" s="150" t="s">
        <v>1275</v>
      </c>
      <c r="D67" s="151">
        <f t="shared" ref="D67:E67" si="13">SUM(D68:D82)</f>
        <v>20125976.23</v>
      </c>
      <c r="E67" s="151">
        <f t="shared" si="13"/>
        <v>19056341.710000001</v>
      </c>
      <c r="F67" s="72" t="s">
        <v>1835</v>
      </c>
      <c r="G67" s="245"/>
      <c r="H67" s="110"/>
      <c r="I67" s="151">
        <v>19008646.179999996</v>
      </c>
      <c r="J67" s="106"/>
      <c r="L67" s="110"/>
    </row>
    <row r="68" spans="1:12" ht="18.75">
      <c r="A68" s="232" t="s">
        <v>1248</v>
      </c>
      <c r="B68" s="115" t="s">
        <v>200</v>
      </c>
      <c r="C68" s="116" t="s">
        <v>1276</v>
      </c>
      <c r="D68" s="109">
        <f>ROUND(('Alimentazione CE Ricavi'!E87+'Alimentazione CE Ricavi'!E88),2)</f>
        <v>14198480.98</v>
      </c>
      <c r="E68" s="109">
        <f>ROUND(('Alimentazione CE Ricavi'!F87+'Alimentazione CE Ricavi'!F88),2)</f>
        <v>13514566.310000001</v>
      </c>
      <c r="F68" s="72"/>
      <c r="G68" s="245"/>
      <c r="H68" s="110"/>
      <c r="I68" s="109">
        <v>14198480.98</v>
      </c>
      <c r="J68" s="106"/>
      <c r="L68" s="110"/>
    </row>
    <row r="69" spans="1:12" ht="18.75">
      <c r="A69" s="234" t="s">
        <v>1248</v>
      </c>
      <c r="B69" s="115" t="s">
        <v>202</v>
      </c>
      <c r="C69" s="116" t="s">
        <v>1277</v>
      </c>
      <c r="D69" s="109">
        <f>ROUND(('Alimentazione CE Ricavi'!E90+'Alimentazione CE Ricavi'!E91),2)</f>
        <v>4762731.87</v>
      </c>
      <c r="E69" s="109">
        <f>ROUND(('Alimentazione CE Ricavi'!F90+'Alimentazione CE Ricavi'!F91),2)</f>
        <v>4464630.6100000003</v>
      </c>
      <c r="F69" s="356"/>
      <c r="G69" s="245"/>
      <c r="H69" s="110"/>
      <c r="I69" s="109">
        <v>3676453.4</v>
      </c>
      <c r="J69" s="106"/>
      <c r="L69" s="110"/>
    </row>
    <row r="70" spans="1:12" ht="25.5">
      <c r="A70" s="234" t="s">
        <v>1248</v>
      </c>
      <c r="B70" s="115" t="s">
        <v>204</v>
      </c>
      <c r="C70" s="116" t="s">
        <v>1278</v>
      </c>
      <c r="D70" s="109">
        <f>ROUND('Alimentazione CE Ricavi'!E93,2)</f>
        <v>0</v>
      </c>
      <c r="E70" s="109">
        <f>ROUND('Alimentazione CE Ricavi'!F93,2)</f>
        <v>0</v>
      </c>
      <c r="F70" s="356"/>
      <c r="G70" s="245"/>
      <c r="H70" s="110"/>
      <c r="I70" s="109">
        <v>0</v>
      </c>
      <c r="J70" s="106"/>
      <c r="L70" s="110"/>
    </row>
    <row r="71" spans="1:12" ht="25.5">
      <c r="A71" s="234" t="s">
        <v>1248</v>
      </c>
      <c r="B71" s="115" t="s">
        <v>205</v>
      </c>
      <c r="C71" s="116" t="s">
        <v>1279</v>
      </c>
      <c r="D71" s="109">
        <f>ROUND('Alimentazione CE Ricavi'!E95,2)</f>
        <v>0</v>
      </c>
      <c r="E71" s="109">
        <f>ROUND('Alimentazione CE Ricavi'!F95,2)</f>
        <v>0</v>
      </c>
      <c r="F71" s="356"/>
      <c r="G71" s="245"/>
      <c r="H71" s="110"/>
      <c r="I71" s="109"/>
      <c r="J71" s="106"/>
      <c r="L71" s="110"/>
    </row>
    <row r="72" spans="1:12" ht="18.75">
      <c r="A72" s="234" t="s">
        <v>1248</v>
      </c>
      <c r="B72" s="115" t="s">
        <v>206</v>
      </c>
      <c r="C72" s="116" t="s">
        <v>1280</v>
      </c>
      <c r="D72" s="109">
        <f>ROUND('Alimentazione CE Ricavi'!E97,2)</f>
        <v>1076058.56</v>
      </c>
      <c r="E72" s="109">
        <f>ROUND('Alimentazione CE Ricavi'!F97,2)</f>
        <v>999374.88</v>
      </c>
      <c r="F72" s="356"/>
      <c r="G72" s="245"/>
      <c r="H72" s="110"/>
      <c r="I72" s="109">
        <v>1076058.56</v>
      </c>
      <c r="J72" s="106"/>
      <c r="L72" s="110"/>
    </row>
    <row r="73" spans="1:12" ht="25.5">
      <c r="A73" s="234" t="s">
        <v>1248</v>
      </c>
      <c r="B73" s="115" t="s">
        <v>207</v>
      </c>
      <c r="C73" s="116" t="s">
        <v>1281</v>
      </c>
      <c r="D73" s="109">
        <f>ROUND('Alimentazione CE Ricavi'!E99,2)</f>
        <v>0</v>
      </c>
      <c r="E73" s="109">
        <f>ROUND('Alimentazione CE Ricavi'!F99,2)</f>
        <v>0</v>
      </c>
      <c r="F73" s="356"/>
      <c r="G73" s="245"/>
      <c r="H73" s="110"/>
      <c r="I73" s="109">
        <v>0</v>
      </c>
      <c r="J73" s="106"/>
      <c r="L73" s="110"/>
    </row>
    <row r="74" spans="1:12" ht="18.75">
      <c r="A74" s="234" t="s">
        <v>1248</v>
      </c>
      <c r="B74" s="115" t="s">
        <v>208</v>
      </c>
      <c r="C74" s="116" t="s">
        <v>1282</v>
      </c>
      <c r="D74" s="109">
        <f>ROUND('Alimentazione CE Ricavi'!E101,2)</f>
        <v>5923.14</v>
      </c>
      <c r="E74" s="109">
        <f>ROUND('Alimentazione CE Ricavi'!F101,2)</f>
        <v>0</v>
      </c>
      <c r="F74" s="356"/>
      <c r="G74" s="245"/>
      <c r="H74" s="110"/>
      <c r="I74" s="109">
        <v>0</v>
      </c>
      <c r="J74" s="106"/>
      <c r="L74" s="110"/>
    </row>
    <row r="75" spans="1:12" ht="18.75">
      <c r="A75" s="234" t="s">
        <v>1248</v>
      </c>
      <c r="B75" s="115" t="s">
        <v>209</v>
      </c>
      <c r="C75" s="116" t="s">
        <v>1283</v>
      </c>
      <c r="D75" s="109">
        <f>ROUND('Alimentazione CE Ricavi'!E103,2)</f>
        <v>0</v>
      </c>
      <c r="E75" s="109">
        <f>ROUND('Alimentazione CE Ricavi'!F103,2)</f>
        <v>0</v>
      </c>
      <c r="F75" s="356"/>
      <c r="G75" s="245"/>
      <c r="H75" s="110"/>
      <c r="I75" s="109">
        <v>0</v>
      </c>
      <c r="J75" s="106"/>
      <c r="L75" s="110"/>
    </row>
    <row r="76" spans="1:12" ht="18.75">
      <c r="A76" s="234" t="s">
        <v>1248</v>
      </c>
      <c r="B76" s="115" t="s">
        <v>210</v>
      </c>
      <c r="C76" s="116" t="s">
        <v>1284</v>
      </c>
      <c r="D76" s="109">
        <f>ROUND('Alimentazione CE Ricavi'!E105,2)</f>
        <v>0</v>
      </c>
      <c r="E76" s="109">
        <f>ROUND('Alimentazione CE Ricavi'!F105,2)</f>
        <v>0</v>
      </c>
      <c r="F76" s="356"/>
      <c r="G76" s="245"/>
      <c r="H76" s="110"/>
      <c r="I76" s="109">
        <v>0</v>
      </c>
      <c r="J76" s="106"/>
      <c r="L76" s="110"/>
    </row>
    <row r="77" spans="1:12" ht="18.75">
      <c r="A77" s="234" t="s">
        <v>1248</v>
      </c>
      <c r="B77" s="115" t="s">
        <v>211</v>
      </c>
      <c r="C77" s="116" t="s">
        <v>1285</v>
      </c>
      <c r="D77" s="109">
        <f>ROUND('Alimentazione CE Ricavi'!E107,2)</f>
        <v>0</v>
      </c>
      <c r="E77" s="109">
        <f>ROUND('Alimentazione CE Ricavi'!F107,2)</f>
        <v>0</v>
      </c>
      <c r="F77" s="356"/>
      <c r="G77" s="245"/>
      <c r="H77" s="110"/>
      <c r="I77" s="109">
        <v>0</v>
      </c>
      <c r="J77" s="106"/>
      <c r="L77" s="110"/>
    </row>
    <row r="78" spans="1:12" ht="18.75">
      <c r="A78" s="234" t="s">
        <v>1248</v>
      </c>
      <c r="B78" s="115" t="s">
        <v>212</v>
      </c>
      <c r="C78" s="116" t="s">
        <v>1286</v>
      </c>
      <c r="D78" s="109">
        <f>ROUND('Alimentazione CE Ricavi'!E109,2)</f>
        <v>0</v>
      </c>
      <c r="E78" s="109">
        <f>ROUND('Alimentazione CE Ricavi'!F109,2)</f>
        <v>0</v>
      </c>
      <c r="F78" s="357"/>
      <c r="G78" s="245"/>
      <c r="H78" s="110"/>
      <c r="I78" s="109">
        <v>0</v>
      </c>
      <c r="J78" s="106"/>
      <c r="L78" s="110"/>
    </row>
    <row r="79" spans="1:12" ht="25.5">
      <c r="A79" s="232" t="s">
        <v>1248</v>
      </c>
      <c r="B79" s="115" t="s">
        <v>213</v>
      </c>
      <c r="C79" s="116" t="s">
        <v>1287</v>
      </c>
      <c r="D79" s="109">
        <f>ROUND('Alimentazione CE Ricavi'!E111,2)</f>
        <v>0</v>
      </c>
      <c r="E79" s="109">
        <f>ROUND('Alimentazione CE Ricavi'!F111,2)</f>
        <v>0</v>
      </c>
      <c r="F79" s="357"/>
      <c r="G79" s="245"/>
      <c r="H79" s="110"/>
      <c r="I79" s="109">
        <v>0</v>
      </c>
      <c r="J79" s="106"/>
      <c r="L79" s="110"/>
    </row>
    <row r="80" spans="1:12" ht="25.5">
      <c r="A80" s="232" t="s">
        <v>1248</v>
      </c>
      <c r="B80" s="115" t="s">
        <v>214</v>
      </c>
      <c r="C80" s="116" t="s">
        <v>1288</v>
      </c>
      <c r="D80" s="109">
        <f>ROUND('Alimentazione CE Ricavi'!E113,2)</f>
        <v>0</v>
      </c>
      <c r="E80" s="109">
        <f>ROUND('Alimentazione CE Ricavi'!F113,2)</f>
        <v>0</v>
      </c>
      <c r="F80" s="357"/>
      <c r="G80" s="245"/>
      <c r="H80" s="110"/>
      <c r="I80" s="109">
        <v>0</v>
      </c>
      <c r="J80" s="106"/>
      <c r="L80" s="110"/>
    </row>
    <row r="81" spans="1:12" ht="25.5">
      <c r="A81" s="232" t="s">
        <v>1248</v>
      </c>
      <c r="B81" s="115" t="s">
        <v>215</v>
      </c>
      <c r="C81" s="116" t="s">
        <v>1289</v>
      </c>
      <c r="D81" s="109">
        <f>ROUND('Alimentazione CE Ricavi'!E115,2)</f>
        <v>0</v>
      </c>
      <c r="E81" s="109">
        <f>ROUND('Alimentazione CE Ricavi'!F115,2)</f>
        <v>0</v>
      </c>
      <c r="F81" s="357"/>
      <c r="G81" s="245"/>
      <c r="H81" s="110"/>
      <c r="I81" s="109">
        <v>0</v>
      </c>
      <c r="J81" s="106"/>
      <c r="L81" s="110"/>
    </row>
    <row r="82" spans="1:12" ht="25.5">
      <c r="A82" s="232" t="s">
        <v>1248</v>
      </c>
      <c r="B82" s="115" t="s">
        <v>216</v>
      </c>
      <c r="C82" s="116" t="s">
        <v>1290</v>
      </c>
      <c r="D82" s="109">
        <f>ROUND(('Alimentazione CE Ricavi'!E117+'Alimentazione CE Ricavi'!E118),2)</f>
        <v>82781.679999999993</v>
      </c>
      <c r="E82" s="109">
        <f>ROUND(('Alimentazione CE Ricavi'!F117+'Alimentazione CE Ricavi'!F118),2)</f>
        <v>77769.91</v>
      </c>
      <c r="F82" s="357"/>
      <c r="G82" s="245"/>
      <c r="H82" s="110"/>
      <c r="I82" s="109">
        <v>57653.24</v>
      </c>
      <c r="J82" s="106"/>
      <c r="L82" s="110"/>
    </row>
    <row r="83" spans="1:12" ht="25.5">
      <c r="A83" s="232"/>
      <c r="B83" s="113" t="s">
        <v>218</v>
      </c>
      <c r="C83" s="114" t="s">
        <v>1291</v>
      </c>
      <c r="D83" s="109">
        <f>ROUND('Alimentazione CE Ricavi'!E120,2)</f>
        <v>41362.720000000001</v>
      </c>
      <c r="E83" s="109">
        <f>ROUND('Alimentazione CE Ricavi'!F120,2)</f>
        <v>33863.599999999999</v>
      </c>
      <c r="F83" s="72"/>
      <c r="G83" s="245"/>
      <c r="H83" s="110"/>
      <c r="I83" s="109">
        <v>0</v>
      </c>
      <c r="J83" s="106"/>
      <c r="L83" s="110"/>
    </row>
    <row r="84" spans="1:12" ht="25.5">
      <c r="A84" s="232"/>
      <c r="B84" s="149" t="s">
        <v>219</v>
      </c>
      <c r="C84" s="150" t="s">
        <v>1292</v>
      </c>
      <c r="D84" s="151">
        <f t="shared" ref="D84:E84" si="14">SUM(D85:D99,D102,D103,D104)</f>
        <v>7071032.29</v>
      </c>
      <c r="E84" s="151">
        <f t="shared" si="14"/>
        <v>5539560.830000001</v>
      </c>
      <c r="F84" s="72" t="s">
        <v>1835</v>
      </c>
      <c r="G84" s="245"/>
      <c r="H84" s="110"/>
      <c r="I84" s="151">
        <v>3721558.2</v>
      </c>
      <c r="J84" s="106"/>
      <c r="L84" s="110"/>
    </row>
    <row r="85" spans="1:12" ht="18.75">
      <c r="A85" s="232" t="s">
        <v>1293</v>
      </c>
      <c r="B85" s="115" t="s">
        <v>220</v>
      </c>
      <c r="C85" s="116" t="s">
        <v>1294</v>
      </c>
      <c r="D85" s="109">
        <f>ROUND('Alimentazione CE Ricavi'!E123,2)</f>
        <v>2681665.21</v>
      </c>
      <c r="E85" s="109">
        <f>ROUND('Alimentazione CE Ricavi'!F123,2)</f>
        <v>2911663.58</v>
      </c>
      <c r="F85" s="72"/>
      <c r="G85" s="245"/>
      <c r="H85" s="110"/>
      <c r="I85" s="109">
        <v>2681665.21</v>
      </c>
      <c r="J85" s="106"/>
      <c r="L85" s="110"/>
    </row>
    <row r="86" spans="1:12" ht="18.75">
      <c r="A86" s="232" t="s">
        <v>1293</v>
      </c>
      <c r="B86" s="115" t="s">
        <v>223</v>
      </c>
      <c r="C86" s="116" t="s">
        <v>1295</v>
      </c>
      <c r="D86" s="109">
        <f>ROUND('Alimentazione CE Ricavi'!E125,2)</f>
        <v>1039892.99</v>
      </c>
      <c r="E86" s="109">
        <f>ROUND('Alimentazione CE Ricavi'!F125,2)</f>
        <v>680767.74</v>
      </c>
      <c r="F86" s="72"/>
      <c r="G86" s="245"/>
      <c r="H86" s="110"/>
      <c r="I86" s="109">
        <v>1039892.99</v>
      </c>
      <c r="J86" s="106"/>
      <c r="L86" s="110"/>
    </row>
    <row r="87" spans="1:12" ht="25.5">
      <c r="A87" s="232" t="s">
        <v>1293</v>
      </c>
      <c r="B87" s="115" t="s">
        <v>225</v>
      </c>
      <c r="C87" s="116" t="s">
        <v>1296</v>
      </c>
      <c r="D87" s="109">
        <f>ROUND('Alimentazione CE Ricavi'!E127,2)</f>
        <v>0</v>
      </c>
      <c r="E87" s="109">
        <f>ROUND('Alimentazione CE Ricavi'!F127,2)</f>
        <v>0</v>
      </c>
      <c r="F87" s="356"/>
      <c r="G87" s="245"/>
      <c r="H87" s="110"/>
      <c r="I87" s="109">
        <v>0</v>
      </c>
      <c r="J87" s="106"/>
      <c r="L87" s="110"/>
    </row>
    <row r="88" spans="1:12" ht="25.5">
      <c r="A88" s="234" t="s">
        <v>1297</v>
      </c>
      <c r="B88" s="115" t="s">
        <v>226</v>
      </c>
      <c r="C88" s="116" t="s">
        <v>1298</v>
      </c>
      <c r="D88" s="109">
        <f>ROUND('Alimentazione CE Ricavi'!E129,2)</f>
        <v>0</v>
      </c>
      <c r="E88" s="109">
        <f>ROUND('Alimentazione CE Ricavi'!F129,2)</f>
        <v>0</v>
      </c>
      <c r="F88" s="356"/>
      <c r="G88" s="245"/>
      <c r="H88" s="110"/>
      <c r="I88" s="109">
        <v>0</v>
      </c>
      <c r="J88" s="106"/>
      <c r="L88" s="110"/>
    </row>
    <row r="89" spans="1:12" ht="18.75">
      <c r="A89" s="234" t="s">
        <v>1293</v>
      </c>
      <c r="B89" s="115" t="s">
        <v>227</v>
      </c>
      <c r="C89" s="116" t="s">
        <v>1299</v>
      </c>
      <c r="D89" s="109">
        <f>ROUND('Alimentazione CE Ricavi'!E131,2)</f>
        <v>1110216.57</v>
      </c>
      <c r="E89" s="109">
        <f>ROUND('Alimentazione CE Ricavi'!F131,2)</f>
        <v>639942.48</v>
      </c>
      <c r="F89" s="72"/>
      <c r="G89" s="245"/>
      <c r="H89" s="110"/>
      <c r="I89" s="109">
        <v>0</v>
      </c>
      <c r="J89" s="106"/>
      <c r="L89" s="110"/>
    </row>
    <row r="90" spans="1:12" ht="25.5">
      <c r="A90" s="234" t="s">
        <v>1293</v>
      </c>
      <c r="B90" s="115" t="s">
        <v>229</v>
      </c>
      <c r="C90" s="116" t="s">
        <v>1300</v>
      </c>
      <c r="D90" s="109">
        <f>ROUND('Alimentazione CE Ricavi'!E133,2)</f>
        <v>203474.5</v>
      </c>
      <c r="E90" s="109">
        <f>ROUND('Alimentazione CE Ricavi'!F133,2)</f>
        <v>148537</v>
      </c>
      <c r="F90" s="356"/>
      <c r="G90" s="245"/>
      <c r="H90" s="110"/>
      <c r="I90" s="109">
        <v>0</v>
      </c>
      <c r="J90" s="106"/>
      <c r="L90" s="110"/>
    </row>
    <row r="91" spans="1:12" ht="25.5">
      <c r="A91" s="234" t="s">
        <v>1293</v>
      </c>
      <c r="B91" s="115" t="s">
        <v>231</v>
      </c>
      <c r="C91" s="116" t="s">
        <v>1301</v>
      </c>
      <c r="D91" s="109">
        <f>ROUND('Alimentazione CE Ricavi'!E135,2)</f>
        <v>718944.04</v>
      </c>
      <c r="E91" s="109">
        <f>ROUND('Alimentazione CE Ricavi'!F135,2)</f>
        <v>459506.85</v>
      </c>
      <c r="F91" s="356"/>
      <c r="G91" s="245"/>
      <c r="H91" s="110"/>
      <c r="I91" s="109">
        <v>0</v>
      </c>
      <c r="J91" s="106"/>
      <c r="L91" s="110"/>
    </row>
    <row r="92" spans="1:12" ht="18.75">
      <c r="A92" s="234" t="s">
        <v>1293</v>
      </c>
      <c r="B92" s="115" t="s">
        <v>233</v>
      </c>
      <c r="C92" s="116" t="s">
        <v>1302</v>
      </c>
      <c r="D92" s="109">
        <f>ROUND('Alimentazione CE Ricavi'!E137,2)</f>
        <v>3365.95</v>
      </c>
      <c r="E92" s="109">
        <f>ROUND('Alimentazione CE Ricavi'!F137,2)</f>
        <v>14338.03</v>
      </c>
      <c r="F92" s="356"/>
      <c r="G92" s="245"/>
      <c r="H92" s="110"/>
      <c r="I92" s="109">
        <v>0</v>
      </c>
      <c r="J92" s="106"/>
      <c r="L92" s="110"/>
    </row>
    <row r="93" spans="1:12" ht="25.5">
      <c r="A93" s="234" t="s">
        <v>1293</v>
      </c>
      <c r="B93" s="115" t="s">
        <v>235</v>
      </c>
      <c r="C93" s="116" t="s">
        <v>1303</v>
      </c>
      <c r="D93" s="109">
        <f>ROUND('Alimentazione CE Ricavi'!E139,2)</f>
        <v>0</v>
      </c>
      <c r="E93" s="109">
        <f>ROUND('Alimentazione CE Ricavi'!F139,2)</f>
        <v>0</v>
      </c>
      <c r="F93" s="356"/>
      <c r="G93" s="245"/>
      <c r="H93" s="110"/>
      <c r="I93" s="109">
        <v>0</v>
      </c>
      <c r="J93" s="106"/>
      <c r="L93" s="110"/>
    </row>
    <row r="94" spans="1:12" ht="25.5">
      <c r="A94" s="234" t="s">
        <v>1297</v>
      </c>
      <c r="B94" s="115" t="s">
        <v>237</v>
      </c>
      <c r="C94" s="116" t="s">
        <v>1304</v>
      </c>
      <c r="D94" s="109">
        <f>ROUND('Alimentazione CE Ricavi'!E141,2)</f>
        <v>0</v>
      </c>
      <c r="E94" s="109">
        <f>ROUND('Alimentazione CE Ricavi'!F141,2)</f>
        <v>0</v>
      </c>
      <c r="F94" s="356"/>
      <c r="G94" s="245"/>
      <c r="H94" s="110"/>
      <c r="I94" s="109">
        <v>0</v>
      </c>
      <c r="J94" s="106"/>
      <c r="L94" s="110"/>
    </row>
    <row r="95" spans="1:12" ht="25.5">
      <c r="A95" s="234" t="s">
        <v>1297</v>
      </c>
      <c r="B95" s="115" t="s">
        <v>239</v>
      </c>
      <c r="C95" s="116" t="s">
        <v>1305</v>
      </c>
      <c r="D95" s="109">
        <f>ROUND('Alimentazione CE Ricavi'!E143,2)</f>
        <v>0</v>
      </c>
      <c r="E95" s="109">
        <f>ROUND('Alimentazione CE Ricavi'!F143,2)</f>
        <v>0</v>
      </c>
      <c r="F95" s="356"/>
      <c r="G95" s="245"/>
      <c r="H95" s="110"/>
      <c r="I95" s="109">
        <v>0</v>
      </c>
      <c r="J95" s="106"/>
      <c r="L95" s="110"/>
    </row>
    <row r="96" spans="1:12" ht="25.5">
      <c r="A96" s="234" t="s">
        <v>1293</v>
      </c>
      <c r="B96" s="115" t="s">
        <v>241</v>
      </c>
      <c r="C96" s="116" t="s">
        <v>1306</v>
      </c>
      <c r="D96" s="109">
        <f>ROUND('Alimentazione CE Ricavi'!E145,2)</f>
        <v>0</v>
      </c>
      <c r="E96" s="109">
        <f>ROUND('Alimentazione CE Ricavi'!F145,2)</f>
        <v>0</v>
      </c>
      <c r="F96" s="356"/>
      <c r="G96" s="245"/>
      <c r="H96" s="110"/>
      <c r="I96" s="109">
        <v>0</v>
      </c>
      <c r="J96" s="106"/>
      <c r="L96" s="110"/>
    </row>
    <row r="97" spans="1:12" ht="25.5">
      <c r="A97" s="234" t="s">
        <v>1293</v>
      </c>
      <c r="B97" s="115" t="s">
        <v>242</v>
      </c>
      <c r="C97" s="116" t="s">
        <v>1307</v>
      </c>
      <c r="D97" s="109">
        <f>ROUND('Alimentazione CE Ricavi'!E147,2)</f>
        <v>0</v>
      </c>
      <c r="E97" s="109">
        <f>ROUND('Alimentazione CE Ricavi'!F147,2)</f>
        <v>0</v>
      </c>
      <c r="F97" s="356"/>
      <c r="G97" s="245"/>
      <c r="H97" s="110"/>
      <c r="I97" s="109">
        <v>0</v>
      </c>
      <c r="J97" s="106"/>
      <c r="L97" s="110"/>
    </row>
    <row r="98" spans="1:12" ht="25.5">
      <c r="A98" s="234" t="s">
        <v>1293</v>
      </c>
      <c r="B98" s="115" t="s">
        <v>245</v>
      </c>
      <c r="C98" s="116" t="s">
        <v>1308</v>
      </c>
      <c r="D98" s="109">
        <f>ROUND('Alimentazione CE Ricavi'!E149,2)</f>
        <v>0</v>
      </c>
      <c r="E98" s="109">
        <f>ROUND('Alimentazione CE Ricavi'!F149,2)</f>
        <v>0</v>
      </c>
      <c r="F98" s="356"/>
      <c r="G98" s="245"/>
      <c r="H98" s="110"/>
      <c r="I98" s="109">
        <v>0</v>
      </c>
      <c r="J98" s="106"/>
      <c r="L98" s="110"/>
    </row>
    <row r="99" spans="1:12" ht="38.25">
      <c r="A99" s="234" t="s">
        <v>1297</v>
      </c>
      <c r="B99" s="152" t="s">
        <v>246</v>
      </c>
      <c r="C99" s="153" t="s">
        <v>1309</v>
      </c>
      <c r="D99" s="154">
        <f t="shared" ref="D99:E99" si="15">+D100+D101</f>
        <v>133371.56</v>
      </c>
      <c r="E99" s="154">
        <f t="shared" si="15"/>
        <v>246029.44</v>
      </c>
      <c r="F99" s="72" t="s">
        <v>1835</v>
      </c>
      <c r="G99" s="245"/>
      <c r="H99" s="110"/>
      <c r="I99" s="154">
        <v>0</v>
      </c>
      <c r="J99" s="106"/>
      <c r="L99" s="110"/>
    </row>
    <row r="100" spans="1:12" ht="25.5">
      <c r="A100" s="234" t="s">
        <v>1297</v>
      </c>
      <c r="B100" s="113" t="s">
        <v>248</v>
      </c>
      <c r="C100" s="114" t="s">
        <v>1310</v>
      </c>
      <c r="D100" s="109">
        <f>ROUND('Alimentazione CE Ricavi'!E152,2)</f>
        <v>0</v>
      </c>
      <c r="E100" s="109">
        <f>ROUND('Alimentazione CE Ricavi'!F152,2)</f>
        <v>0</v>
      </c>
      <c r="F100" s="356"/>
      <c r="G100" s="245"/>
      <c r="H100" s="110"/>
      <c r="I100" s="109">
        <v>0</v>
      </c>
      <c r="J100" s="106"/>
      <c r="L100" s="110"/>
    </row>
    <row r="101" spans="1:12" ht="38.25">
      <c r="A101" s="234" t="s">
        <v>1297</v>
      </c>
      <c r="B101" s="113" t="s">
        <v>250</v>
      </c>
      <c r="C101" s="114" t="s">
        <v>1311</v>
      </c>
      <c r="D101" s="109">
        <f>ROUND(('Alimentazione CE Ricavi'!E154+'Alimentazione CE Ricavi'!E155+'Alimentazione CE Ricavi'!E156+'Alimentazione CE Ricavi'!E157),2)</f>
        <v>133371.56</v>
      </c>
      <c r="E101" s="109">
        <f>ROUND(('Alimentazione CE Ricavi'!F154+'Alimentazione CE Ricavi'!F155+'Alimentazione CE Ricavi'!F156+'Alimentazione CE Ricavi'!F157),2)</f>
        <v>246029.44</v>
      </c>
      <c r="F101" s="356"/>
      <c r="G101" s="245"/>
      <c r="H101" s="110"/>
      <c r="I101" s="109"/>
      <c r="J101" s="106"/>
      <c r="L101" s="110"/>
    </row>
    <row r="102" spans="1:12" ht="25.5">
      <c r="A102" s="234"/>
      <c r="B102" s="115" t="s">
        <v>252</v>
      </c>
      <c r="C102" s="116" t="s">
        <v>1312</v>
      </c>
      <c r="D102" s="109">
        <f>ROUND('Alimentazione CE Ricavi'!E159,2)</f>
        <v>1180101.47</v>
      </c>
      <c r="E102" s="109">
        <f>ROUND('Alimentazione CE Ricavi'!F159,2)</f>
        <v>438775.71</v>
      </c>
      <c r="F102" s="356"/>
      <c r="G102" s="245"/>
      <c r="H102" s="110"/>
      <c r="I102" s="109">
        <v>0</v>
      </c>
      <c r="J102" s="106"/>
      <c r="L102" s="110"/>
    </row>
    <row r="103" spans="1:12" ht="25.5">
      <c r="A103" s="232" t="s">
        <v>1248</v>
      </c>
      <c r="B103" s="115" t="s">
        <v>254</v>
      </c>
      <c r="C103" s="116" t="s">
        <v>1313</v>
      </c>
      <c r="D103" s="109">
        <f>ROUND('Alimentazione CE Ricavi'!E161,2)</f>
        <v>0</v>
      </c>
      <c r="E103" s="109">
        <f>ROUND('Alimentazione CE Ricavi'!F161,2)</f>
        <v>0</v>
      </c>
      <c r="F103" s="356"/>
      <c r="G103" s="245"/>
      <c r="H103" s="110"/>
      <c r="I103" s="109">
        <v>0</v>
      </c>
      <c r="J103" s="106"/>
      <c r="L103" s="110"/>
    </row>
    <row r="104" spans="1:12" ht="38.25">
      <c r="A104" s="232" t="s">
        <v>1297</v>
      </c>
      <c r="B104" s="115" t="s">
        <v>256</v>
      </c>
      <c r="C104" s="116" t="s">
        <v>1314</v>
      </c>
      <c r="D104" s="109">
        <f>ROUND('Alimentazione CE Ricavi'!E163,2)</f>
        <v>0</v>
      </c>
      <c r="E104" s="109">
        <f>ROUND('Alimentazione CE Ricavi'!F163,2)</f>
        <v>0</v>
      </c>
      <c r="F104" s="356"/>
      <c r="G104" s="245"/>
      <c r="H104" s="110"/>
      <c r="I104" s="109">
        <v>0</v>
      </c>
      <c r="J104" s="106"/>
      <c r="L104" s="110"/>
    </row>
    <row r="105" spans="1:12" ht="51">
      <c r="A105" s="235" t="s">
        <v>1293</v>
      </c>
      <c r="B105" s="138" t="s">
        <v>257</v>
      </c>
      <c r="C105" s="139" t="s">
        <v>1315</v>
      </c>
      <c r="D105" s="137">
        <f t="shared" ref="D105:E105" si="16">SUM(D106:D110)</f>
        <v>1031627.47</v>
      </c>
      <c r="E105" s="137">
        <f t="shared" si="16"/>
        <v>1460667.59</v>
      </c>
      <c r="F105" s="72" t="s">
        <v>1835</v>
      </c>
      <c r="G105" s="245"/>
      <c r="H105" s="110"/>
      <c r="I105" s="137">
        <v>0</v>
      </c>
      <c r="J105" s="106"/>
      <c r="L105" s="110"/>
    </row>
    <row r="106" spans="1:12" ht="25.5">
      <c r="A106" s="234" t="s">
        <v>1293</v>
      </c>
      <c r="B106" s="115" t="s">
        <v>259</v>
      </c>
      <c r="C106" s="116" t="s">
        <v>1316</v>
      </c>
      <c r="D106" s="109">
        <f>ROUND('Alimentazione CE Ricavi'!E166,2)</f>
        <v>1031627.47</v>
      </c>
      <c r="E106" s="109">
        <f>ROUND('Alimentazione CE Ricavi'!F166,2)</f>
        <v>1338528.0900000001</v>
      </c>
      <c r="F106" s="356"/>
      <c r="G106" s="245"/>
      <c r="H106" s="110"/>
      <c r="I106" s="109">
        <v>0</v>
      </c>
      <c r="J106" s="106"/>
      <c r="L106" s="110"/>
    </row>
    <row r="107" spans="1:12" ht="25.5">
      <c r="A107" s="234" t="s">
        <v>1293</v>
      </c>
      <c r="B107" s="113" t="s">
        <v>261</v>
      </c>
      <c r="C107" s="114" t="s">
        <v>1317</v>
      </c>
      <c r="D107" s="109">
        <f>ROUND('Alimentazione CE Ricavi'!E168,2)</f>
        <v>0</v>
      </c>
      <c r="E107" s="109">
        <f>ROUND('Alimentazione CE Ricavi'!F168,2)</f>
        <v>122139.5</v>
      </c>
      <c r="F107" s="356"/>
      <c r="G107" s="245"/>
      <c r="H107" s="110"/>
      <c r="I107" s="109">
        <v>0</v>
      </c>
      <c r="J107" s="106"/>
      <c r="L107" s="110"/>
    </row>
    <row r="108" spans="1:12" ht="38.25">
      <c r="A108" s="234" t="s">
        <v>1293</v>
      </c>
      <c r="B108" s="113" t="s">
        <v>262</v>
      </c>
      <c r="C108" s="114" t="s">
        <v>1318</v>
      </c>
      <c r="D108" s="109">
        <f>ROUND('Alimentazione CE Ricavi'!E170,2)</f>
        <v>0</v>
      </c>
      <c r="E108" s="109">
        <f>ROUND('Alimentazione CE Ricavi'!F170,2)</f>
        <v>0</v>
      </c>
      <c r="F108" s="356"/>
      <c r="G108" s="245"/>
      <c r="H108" s="110"/>
      <c r="I108" s="109">
        <v>0</v>
      </c>
      <c r="J108" s="106"/>
      <c r="L108" s="110"/>
    </row>
    <row r="109" spans="1:12" ht="25.5">
      <c r="A109" s="232" t="s">
        <v>1293</v>
      </c>
      <c r="B109" s="113" t="s">
        <v>264</v>
      </c>
      <c r="C109" s="114" t="s">
        <v>1319</v>
      </c>
      <c r="D109" s="109">
        <f>ROUND('Alimentazione CE Ricavi'!E172,2)</f>
        <v>0</v>
      </c>
      <c r="E109" s="109">
        <f>ROUND('Alimentazione CE Ricavi'!F172,2)</f>
        <v>0</v>
      </c>
      <c r="F109" s="356"/>
      <c r="G109" s="245"/>
      <c r="H109" s="110"/>
      <c r="I109" s="109">
        <v>0</v>
      </c>
      <c r="J109" s="106"/>
      <c r="L109" s="110"/>
    </row>
    <row r="110" spans="1:12" ht="38.25">
      <c r="A110" s="232" t="s">
        <v>1293</v>
      </c>
      <c r="B110" s="113" t="s">
        <v>266</v>
      </c>
      <c r="C110" s="114" t="s">
        <v>1320</v>
      </c>
      <c r="D110" s="109">
        <f>ROUND('Alimentazione CE Ricavi'!E174,2)</f>
        <v>0</v>
      </c>
      <c r="E110" s="109">
        <f>ROUND('Alimentazione CE Ricavi'!F174,2)</f>
        <v>0</v>
      </c>
      <c r="F110" s="356"/>
      <c r="G110" s="245"/>
      <c r="H110" s="110"/>
      <c r="I110" s="109">
        <v>0</v>
      </c>
      <c r="J110" s="106"/>
      <c r="L110" s="110"/>
    </row>
    <row r="111" spans="1:12" ht="25.5">
      <c r="A111" s="232"/>
      <c r="B111" s="138" t="s">
        <v>267</v>
      </c>
      <c r="C111" s="139" t="s">
        <v>1321</v>
      </c>
      <c r="D111" s="137">
        <f>+ROUND(SUM('Alimentazione CE Ricavi'!E177:E211),2)</f>
        <v>4943640.33</v>
      </c>
      <c r="E111" s="137">
        <f>+ROUND(SUM('Alimentazione CE Ricavi'!F177:F211),2)</f>
        <v>4571722.3600000003</v>
      </c>
      <c r="F111" s="72"/>
      <c r="G111" s="245"/>
      <c r="H111" s="110"/>
      <c r="I111" s="137">
        <v>1634027.33</v>
      </c>
      <c r="J111" s="106"/>
      <c r="L111" s="110"/>
    </row>
    <row r="112" spans="1:12" ht="25.5">
      <c r="A112" s="232"/>
      <c r="B112" s="138" t="s">
        <v>1322</v>
      </c>
      <c r="C112" s="139" t="s">
        <v>1323</v>
      </c>
      <c r="D112" s="137">
        <f t="shared" ref="D112:E112" si="17">SUM(D113:D119)</f>
        <v>9072800.9499999993</v>
      </c>
      <c r="E112" s="137">
        <f t="shared" si="17"/>
        <v>7791391.3800000008</v>
      </c>
      <c r="F112" s="72" t="s">
        <v>1835</v>
      </c>
      <c r="G112" s="245"/>
      <c r="H112" s="110"/>
      <c r="I112" s="137">
        <v>4899193.7130000005</v>
      </c>
      <c r="J112" s="106"/>
      <c r="L112" s="110"/>
    </row>
    <row r="113" spans="1:12" ht="25.5">
      <c r="A113" s="232"/>
      <c r="B113" s="113" t="s">
        <v>302</v>
      </c>
      <c r="C113" s="114" t="s">
        <v>1324</v>
      </c>
      <c r="D113" s="109">
        <f>ROUND('Alimentazione CE Ricavi'!E214,2)</f>
        <v>1109930.7</v>
      </c>
      <c r="E113" s="109">
        <f>ROUND('Alimentazione CE Ricavi'!F214,2)</f>
        <v>904998.7</v>
      </c>
      <c r="F113" s="72"/>
      <c r="G113" s="245"/>
      <c r="H113" s="110"/>
      <c r="I113" s="109">
        <v>599362.57799999998</v>
      </c>
      <c r="J113" s="106"/>
      <c r="L113" s="110"/>
    </row>
    <row r="114" spans="1:12" ht="25.5">
      <c r="A114" s="232"/>
      <c r="B114" s="113" t="s">
        <v>304</v>
      </c>
      <c r="C114" s="114" t="s">
        <v>1325</v>
      </c>
      <c r="D114" s="109">
        <f>ROUND('Alimentazione CE Ricavi'!E216,2)</f>
        <v>7650931.7400000002</v>
      </c>
      <c r="E114" s="109">
        <f>ROUND('Alimentazione CE Ricavi'!F216,2)</f>
        <v>6635986.2800000003</v>
      </c>
      <c r="F114" s="72"/>
      <c r="G114" s="245"/>
      <c r="H114" s="110"/>
      <c r="I114" s="109">
        <v>4131503.1396000003</v>
      </c>
      <c r="J114" s="106"/>
      <c r="L114" s="110"/>
    </row>
    <row r="115" spans="1:12" ht="25.5">
      <c r="A115" s="232"/>
      <c r="B115" s="113" t="s">
        <v>306</v>
      </c>
      <c r="C115" s="114" t="s">
        <v>1326</v>
      </c>
      <c r="D115" s="109">
        <f>ROUND('Alimentazione CE Ricavi'!E218,2)</f>
        <v>220</v>
      </c>
      <c r="E115" s="109">
        <f>ROUND('Alimentazione CE Ricavi'!F218,2)</f>
        <v>325</v>
      </c>
      <c r="F115" s="72"/>
      <c r="G115" s="245"/>
      <c r="H115" s="110"/>
      <c r="I115" s="109">
        <v>0</v>
      </c>
      <c r="J115" s="106"/>
      <c r="L115" s="110"/>
    </row>
    <row r="116" spans="1:12" ht="25.5">
      <c r="A116" s="232"/>
      <c r="B116" s="113" t="s">
        <v>308</v>
      </c>
      <c r="C116" s="114" t="s">
        <v>1327</v>
      </c>
      <c r="D116" s="109">
        <f>ROUND('Alimentazione CE Ricavi'!E220,2)</f>
        <v>102792.31</v>
      </c>
      <c r="E116" s="109">
        <f>ROUND('Alimentazione CE Ricavi'!F220,2)</f>
        <v>89058.4</v>
      </c>
      <c r="F116" s="72"/>
      <c r="G116" s="245"/>
      <c r="H116" s="110"/>
      <c r="I116" s="109">
        <v>55507.847399999999</v>
      </c>
      <c r="J116" s="106"/>
      <c r="L116" s="110"/>
    </row>
    <row r="117" spans="1:12" ht="38.25">
      <c r="A117" s="232" t="s">
        <v>1248</v>
      </c>
      <c r="B117" s="113" t="s">
        <v>310</v>
      </c>
      <c r="C117" s="114" t="s">
        <v>1328</v>
      </c>
      <c r="D117" s="109">
        <f>ROUND('Alimentazione CE Ricavi'!E222,2)</f>
        <v>165926.20000000001</v>
      </c>
      <c r="E117" s="109">
        <f>ROUND('Alimentazione CE Ricavi'!F222,2)</f>
        <v>122523</v>
      </c>
      <c r="F117" s="72"/>
      <c r="G117" s="245"/>
      <c r="H117" s="110"/>
      <c r="I117" s="109">
        <v>89600.148000000016</v>
      </c>
      <c r="J117" s="106"/>
      <c r="L117" s="110"/>
    </row>
    <row r="118" spans="1:12" ht="18.75">
      <c r="A118" s="232"/>
      <c r="B118" s="113" t="s">
        <v>312</v>
      </c>
      <c r="C118" s="114" t="s">
        <v>1329</v>
      </c>
      <c r="D118" s="109">
        <f>ROUND('Alimentazione CE Ricavi'!E224,2)</f>
        <v>43000</v>
      </c>
      <c r="E118" s="109">
        <f>ROUND('Alimentazione CE Ricavi'!F224,2)</f>
        <v>38500</v>
      </c>
      <c r="F118" s="72"/>
      <c r="G118" s="245"/>
      <c r="H118" s="110"/>
      <c r="I118" s="109">
        <v>23220</v>
      </c>
      <c r="J118" s="106"/>
      <c r="L118" s="110"/>
    </row>
    <row r="119" spans="1:12" ht="25.5">
      <c r="A119" s="232" t="s">
        <v>1248</v>
      </c>
      <c r="B119" s="113" t="s">
        <v>314</v>
      </c>
      <c r="C119" s="114" t="s">
        <v>1330</v>
      </c>
      <c r="D119" s="109">
        <f>ROUND('Alimentazione CE Ricavi'!E226,2)</f>
        <v>0</v>
      </c>
      <c r="E119" s="109">
        <f>ROUND('Alimentazione CE Ricavi'!F226,2)</f>
        <v>0</v>
      </c>
      <c r="F119" s="72"/>
      <c r="G119" s="245"/>
      <c r="H119" s="110"/>
      <c r="I119" s="109">
        <v>0</v>
      </c>
      <c r="J119" s="106"/>
      <c r="L119" s="110"/>
    </row>
    <row r="120" spans="1:12" ht="18.75">
      <c r="A120" s="236"/>
      <c r="B120" s="143" t="s">
        <v>1331</v>
      </c>
      <c r="C120" s="144" t="s">
        <v>1332</v>
      </c>
      <c r="D120" s="145">
        <f t="shared" ref="D120:E120" si="18">+D121+D122+D125+D130+D134</f>
        <v>17503102.170000002</v>
      </c>
      <c r="E120" s="145">
        <f t="shared" si="18"/>
        <v>76796308.970000014</v>
      </c>
      <c r="F120" s="72"/>
      <c r="G120" s="245"/>
      <c r="H120" s="110"/>
      <c r="I120" s="145">
        <v>0</v>
      </c>
      <c r="J120" s="106"/>
      <c r="L120" s="110"/>
    </row>
    <row r="121" spans="1:12" ht="18.75">
      <c r="A121" s="236"/>
      <c r="B121" s="111" t="s">
        <v>316</v>
      </c>
      <c r="C121" s="112" t="s">
        <v>1333</v>
      </c>
      <c r="D121" s="109">
        <f>ROUND('Alimentazione CE Ricavi'!E229,2)</f>
        <v>159093.43</v>
      </c>
      <c r="E121" s="109">
        <f>ROUND('Alimentazione CE Ricavi'!F229,2)</f>
        <v>83026.77</v>
      </c>
      <c r="F121" s="72"/>
      <c r="G121" s="245"/>
      <c r="H121" s="110"/>
      <c r="I121" s="109">
        <v>0</v>
      </c>
      <c r="J121" s="106"/>
      <c r="L121" s="110"/>
    </row>
    <row r="122" spans="1:12" ht="18.75">
      <c r="A122" s="237"/>
      <c r="B122" s="138" t="s">
        <v>1334</v>
      </c>
      <c r="C122" s="139" t="s">
        <v>1335</v>
      </c>
      <c r="D122" s="137">
        <f t="shared" ref="D122:E122" si="19">+D123+D124</f>
        <v>94473.01</v>
      </c>
      <c r="E122" s="137">
        <f t="shared" si="19"/>
        <v>243048.04</v>
      </c>
      <c r="F122" s="72" t="s">
        <v>1835</v>
      </c>
      <c r="G122" s="245"/>
      <c r="H122" s="110"/>
      <c r="I122" s="137">
        <v>0</v>
      </c>
      <c r="J122" s="106"/>
      <c r="L122" s="110"/>
    </row>
    <row r="123" spans="1:12" ht="25.5">
      <c r="A123" s="237"/>
      <c r="B123" s="113" t="s">
        <v>318</v>
      </c>
      <c r="C123" s="114" t="s">
        <v>1336</v>
      </c>
      <c r="D123" s="109">
        <f>ROUND('Alimentazione CE Ricavi'!E232,2)</f>
        <v>94473.01</v>
      </c>
      <c r="E123" s="109">
        <f>ROUND('Alimentazione CE Ricavi'!F232,2)</f>
        <v>243048.04</v>
      </c>
      <c r="F123" s="72"/>
      <c r="G123" s="245"/>
      <c r="H123" s="110"/>
      <c r="I123" s="109">
        <v>0</v>
      </c>
      <c r="J123" s="106"/>
      <c r="L123" s="110"/>
    </row>
    <row r="124" spans="1:12" ht="25.5">
      <c r="A124" s="237"/>
      <c r="B124" s="113" t="s">
        <v>320</v>
      </c>
      <c r="C124" s="114" t="s">
        <v>1337</v>
      </c>
      <c r="D124" s="109">
        <f>ROUND('Alimentazione CE Ricavi'!E234,2)</f>
        <v>0</v>
      </c>
      <c r="E124" s="109">
        <f>ROUND('Alimentazione CE Ricavi'!F234,2)</f>
        <v>0</v>
      </c>
      <c r="F124" s="72"/>
      <c r="G124" s="245"/>
      <c r="H124" s="110"/>
      <c r="I124" s="109">
        <v>0</v>
      </c>
      <c r="J124" s="106"/>
      <c r="L124" s="110"/>
    </row>
    <row r="125" spans="1:12" ht="25.5">
      <c r="A125" s="235" t="s">
        <v>1248</v>
      </c>
      <c r="B125" s="138" t="s">
        <v>1338</v>
      </c>
      <c r="C125" s="139" t="s">
        <v>1339</v>
      </c>
      <c r="D125" s="137">
        <f t="shared" ref="D125:E125" si="20">+D126+D127+D128+D129</f>
        <v>1233916.0699999998</v>
      </c>
      <c r="E125" s="137">
        <f t="shared" si="20"/>
        <v>1059834.3</v>
      </c>
      <c r="F125" s="72" t="s">
        <v>1835</v>
      </c>
      <c r="G125" s="245"/>
      <c r="H125" s="110"/>
      <c r="I125" s="137">
        <v>0</v>
      </c>
      <c r="J125" s="106"/>
      <c r="L125" s="110"/>
    </row>
    <row r="126" spans="1:12" ht="38.25">
      <c r="A126" s="232" t="s">
        <v>1248</v>
      </c>
      <c r="B126" s="113" t="s">
        <v>322</v>
      </c>
      <c r="C126" s="114" t="s">
        <v>1340</v>
      </c>
      <c r="D126" s="109">
        <f>ROUND('Alimentazione CE Ricavi'!E237,2)</f>
        <v>56183.39</v>
      </c>
      <c r="E126" s="109">
        <f>ROUND('Alimentazione CE Ricavi'!F237,2)</f>
        <v>124522.06</v>
      </c>
      <c r="F126" s="72"/>
      <c r="G126" s="245"/>
      <c r="H126" s="110"/>
      <c r="I126" s="109">
        <v>0</v>
      </c>
      <c r="J126" s="106"/>
      <c r="L126" s="110"/>
    </row>
    <row r="127" spans="1:12" ht="25.5">
      <c r="A127" s="232" t="s">
        <v>1248</v>
      </c>
      <c r="B127" s="113" t="s">
        <v>324</v>
      </c>
      <c r="C127" s="114" t="s">
        <v>1341</v>
      </c>
      <c r="D127" s="109">
        <f>ROUND('Alimentazione CE Ricavi'!E239,2)</f>
        <v>0</v>
      </c>
      <c r="E127" s="109">
        <f>ROUND('Alimentazione CE Ricavi'!F239,2)</f>
        <v>788.5</v>
      </c>
      <c r="F127" s="72"/>
      <c r="G127" s="245"/>
      <c r="H127" s="110"/>
      <c r="I127" s="109">
        <v>0</v>
      </c>
      <c r="J127" s="106"/>
      <c r="L127" s="110"/>
    </row>
    <row r="128" spans="1:12" ht="25.5">
      <c r="A128" s="232" t="s">
        <v>1248</v>
      </c>
      <c r="B128" s="113" t="s">
        <v>325</v>
      </c>
      <c r="C128" s="114" t="s">
        <v>1342</v>
      </c>
      <c r="D128" s="109">
        <f>ROUND(('Alimentazione CE Ricavi'!E241+'Alimentazione CE Ricavi'!E242+'Alimentazione CE Ricavi'!E243),2)</f>
        <v>1177732.68</v>
      </c>
      <c r="E128" s="109">
        <f>ROUND(('Alimentazione CE Ricavi'!F241+'Alimentazione CE Ricavi'!F242+'Alimentazione CE Ricavi'!F243),2)</f>
        <v>934523.74</v>
      </c>
      <c r="F128" s="72"/>
      <c r="G128" s="245"/>
      <c r="H128" s="110"/>
      <c r="I128" s="109"/>
      <c r="J128" s="106"/>
      <c r="L128" s="110"/>
    </row>
    <row r="129" spans="1:12" ht="25.5">
      <c r="A129" s="232" t="s">
        <v>1248</v>
      </c>
      <c r="B129" s="113" t="s">
        <v>327</v>
      </c>
      <c r="C129" s="114" t="s">
        <v>1343</v>
      </c>
      <c r="D129" s="109">
        <f>ROUND('Alimentazione CE Ricavi'!E245,2)</f>
        <v>0</v>
      </c>
      <c r="E129" s="109">
        <f>ROUND('Alimentazione CE Ricavi'!F245,2)</f>
        <v>0</v>
      </c>
      <c r="F129" s="72"/>
      <c r="G129" s="245"/>
      <c r="H129" s="110"/>
      <c r="I129" s="109">
        <v>0</v>
      </c>
      <c r="J129" s="106"/>
      <c r="L129" s="110"/>
    </row>
    <row r="130" spans="1:12" ht="25.5">
      <c r="A130" s="232"/>
      <c r="B130" s="138" t="s">
        <v>328</v>
      </c>
      <c r="C130" s="139" t="s">
        <v>1344</v>
      </c>
      <c r="D130" s="137">
        <f t="shared" ref="D130:E130" si="21">+D131+D132+D133</f>
        <v>2341044.5900000003</v>
      </c>
      <c r="E130" s="137">
        <f t="shared" si="21"/>
        <v>1482105.31</v>
      </c>
      <c r="F130" s="72" t="s">
        <v>1835</v>
      </c>
      <c r="G130" s="245"/>
      <c r="H130" s="110"/>
      <c r="I130" s="137">
        <v>0</v>
      </c>
      <c r="J130" s="106"/>
      <c r="L130" s="110"/>
    </row>
    <row r="131" spans="1:12" ht="38.25">
      <c r="A131" s="232"/>
      <c r="B131" s="113" t="s">
        <v>330</v>
      </c>
      <c r="C131" s="114" t="s">
        <v>1345</v>
      </c>
      <c r="D131" s="109">
        <f>ROUND('Alimentazione CE Ricavi'!E248,2)</f>
        <v>162380.35</v>
      </c>
      <c r="E131" s="109">
        <f>ROUND('Alimentazione CE Ricavi'!F248,2)</f>
        <v>176166.79</v>
      </c>
      <c r="F131" s="72"/>
      <c r="G131" s="245"/>
      <c r="H131" s="110"/>
      <c r="I131" s="109">
        <v>0</v>
      </c>
      <c r="J131" s="106"/>
      <c r="L131" s="110"/>
    </row>
    <row r="132" spans="1:12" ht="25.5">
      <c r="A132" s="232"/>
      <c r="B132" s="113" t="s">
        <v>332</v>
      </c>
      <c r="C132" s="114" t="s">
        <v>1346</v>
      </c>
      <c r="D132" s="109">
        <f>ROUND('Alimentazione CE Ricavi'!E250,2)</f>
        <v>0</v>
      </c>
      <c r="E132" s="109">
        <f>ROUND('Alimentazione CE Ricavi'!F250,2)</f>
        <v>0</v>
      </c>
      <c r="F132" s="72"/>
      <c r="G132" s="245"/>
      <c r="H132" s="110"/>
      <c r="I132" s="109">
        <v>0</v>
      </c>
      <c r="J132" s="106"/>
      <c r="L132" s="110"/>
    </row>
    <row r="133" spans="1:12" ht="25.5">
      <c r="A133" s="232"/>
      <c r="B133" s="113" t="s">
        <v>334</v>
      </c>
      <c r="C133" s="114" t="s">
        <v>1347</v>
      </c>
      <c r="D133" s="109">
        <f>+ROUND(SUM('Alimentazione CE Ricavi'!E252:E257),2)</f>
        <v>2178664.2400000002</v>
      </c>
      <c r="E133" s="109">
        <f>+ROUND(SUM('Alimentazione CE Ricavi'!F252:F257),2)</f>
        <v>1305938.52</v>
      </c>
      <c r="F133" s="72"/>
      <c r="G133" s="245"/>
      <c r="H133" s="110"/>
      <c r="I133" s="109">
        <v>0</v>
      </c>
      <c r="J133" s="106"/>
      <c r="L133" s="110"/>
    </row>
    <row r="134" spans="1:12" ht="18.75">
      <c r="A134" s="232"/>
      <c r="B134" s="138" t="s">
        <v>340</v>
      </c>
      <c r="C134" s="139" t="s">
        <v>1348</v>
      </c>
      <c r="D134" s="137">
        <f t="shared" ref="D134:E134" si="22">+D135+D139+D140</f>
        <v>13674575.07</v>
      </c>
      <c r="E134" s="137">
        <f t="shared" si="22"/>
        <v>73928294.550000012</v>
      </c>
      <c r="F134" s="72" t="s">
        <v>1835</v>
      </c>
      <c r="G134" s="245"/>
      <c r="H134" s="110"/>
      <c r="I134" s="137">
        <v>0</v>
      </c>
      <c r="J134" s="106"/>
      <c r="L134" s="110"/>
    </row>
    <row r="135" spans="1:12" ht="18.75">
      <c r="A135" s="232"/>
      <c r="B135" s="155" t="s">
        <v>341</v>
      </c>
      <c r="C135" s="156" t="s">
        <v>1349</v>
      </c>
      <c r="D135" s="157">
        <f t="shared" ref="D135:E135" si="23">+D136+D137+D138</f>
        <v>12886127.220000001</v>
      </c>
      <c r="E135" s="157">
        <f t="shared" si="23"/>
        <v>31057060.57</v>
      </c>
      <c r="F135" s="72" t="s">
        <v>1835</v>
      </c>
      <c r="G135" s="246"/>
      <c r="H135" s="110"/>
      <c r="I135" s="157">
        <v>0</v>
      </c>
      <c r="J135" s="106"/>
      <c r="L135" s="110"/>
    </row>
    <row r="136" spans="1:12" ht="25.5">
      <c r="A136" s="232"/>
      <c r="B136" s="115" t="s">
        <v>343</v>
      </c>
      <c r="C136" s="116" t="s">
        <v>1350</v>
      </c>
      <c r="D136" s="109">
        <f>ROUND('Alimentazione CE Ricavi'!E261,2)</f>
        <v>0</v>
      </c>
      <c r="E136" s="109">
        <f>ROUND('Alimentazione CE Ricavi'!F261,2)</f>
        <v>0</v>
      </c>
      <c r="F136" s="72"/>
      <c r="G136" s="245"/>
      <c r="H136" s="110"/>
      <c r="I136" s="109">
        <v>0</v>
      </c>
      <c r="J136" s="106"/>
      <c r="L136" s="110"/>
    </row>
    <row r="137" spans="1:12" ht="25.5">
      <c r="A137" s="232"/>
      <c r="B137" s="115" t="s">
        <v>345</v>
      </c>
      <c r="C137" s="116" t="s">
        <v>1351</v>
      </c>
      <c r="D137" s="109">
        <f>ROUND('Alimentazione CE Ricavi'!E263,2)</f>
        <v>9518847</v>
      </c>
      <c r="E137" s="109">
        <f>ROUND('Alimentazione CE Ricavi'!F263,2)</f>
        <v>26195778.23</v>
      </c>
      <c r="F137" s="72"/>
      <c r="G137" s="245"/>
      <c r="H137" s="110"/>
      <c r="I137" s="109">
        <v>0</v>
      </c>
      <c r="J137" s="106"/>
      <c r="L137" s="110"/>
    </row>
    <row r="138" spans="1:12" ht="18.75">
      <c r="A138" s="232"/>
      <c r="B138" s="115" t="s">
        <v>347</v>
      </c>
      <c r="C138" s="116" t="s">
        <v>1352</v>
      </c>
      <c r="D138" s="109">
        <f>ROUND('Alimentazione CE Ricavi'!E265,2)</f>
        <v>3367280.22</v>
      </c>
      <c r="E138" s="109">
        <f>ROUND('Alimentazione CE Ricavi'!F265,2)</f>
        <v>4861282.34</v>
      </c>
      <c r="F138" s="72"/>
      <c r="G138" s="245"/>
      <c r="H138" s="110"/>
      <c r="I138" s="109">
        <v>0</v>
      </c>
      <c r="J138" s="106"/>
      <c r="L138" s="110"/>
    </row>
    <row r="139" spans="1:12" ht="18.75">
      <c r="A139" s="234"/>
      <c r="B139" s="113" t="s">
        <v>349</v>
      </c>
      <c r="C139" s="114" t="s">
        <v>1353</v>
      </c>
      <c r="D139" s="109">
        <f>ROUND('Alimentazione CE Ricavi'!E267,2)</f>
        <v>0</v>
      </c>
      <c r="E139" s="109">
        <f>ROUND('Alimentazione CE Ricavi'!F267,2)</f>
        <v>42017120.640000001</v>
      </c>
      <c r="F139" s="356"/>
      <c r="G139" s="245"/>
      <c r="H139" s="110"/>
      <c r="I139" s="109">
        <v>0</v>
      </c>
      <c r="J139" s="106"/>
      <c r="L139" s="110"/>
    </row>
    <row r="140" spans="1:12" ht="18.75">
      <c r="A140" s="234"/>
      <c r="B140" s="113" t="s">
        <v>351</v>
      </c>
      <c r="C140" s="114" t="s">
        <v>1354</v>
      </c>
      <c r="D140" s="109">
        <f>+ROUND(SUM('Alimentazione CE Ricavi'!E269:E281),2)</f>
        <v>788447.85</v>
      </c>
      <c r="E140" s="109">
        <f>+ROUND(SUM('Alimentazione CE Ricavi'!F269:F281),2)</f>
        <v>854113.34</v>
      </c>
      <c r="F140" s="356"/>
      <c r="G140" s="245"/>
      <c r="H140" s="110"/>
      <c r="I140" s="109"/>
      <c r="J140" s="106"/>
      <c r="L140" s="110"/>
    </row>
    <row r="141" spans="1:12" ht="25.5">
      <c r="A141" s="234"/>
      <c r="B141" s="143" t="s">
        <v>364</v>
      </c>
      <c r="C141" s="144" t="s">
        <v>1355</v>
      </c>
      <c r="D141" s="145">
        <f t="shared" ref="D141:E141" si="24">+D142+D143+D144</f>
        <v>8751127.9800000004</v>
      </c>
      <c r="E141" s="145">
        <f t="shared" si="24"/>
        <v>7762333.4500000002</v>
      </c>
      <c r="F141" s="72" t="s">
        <v>1835</v>
      </c>
      <c r="G141" s="245"/>
      <c r="H141" s="110"/>
      <c r="I141" s="145">
        <v>6579532.0500000007</v>
      </c>
      <c r="J141" s="106"/>
      <c r="L141" s="110"/>
    </row>
    <row r="142" spans="1:12" ht="38.25">
      <c r="A142" s="234"/>
      <c r="B142" s="111" t="s">
        <v>365</v>
      </c>
      <c r="C142" s="112" t="s">
        <v>1356</v>
      </c>
      <c r="D142" s="109">
        <f>ROUND('Alimentazione CE Ricavi'!E284,2)</f>
        <v>8686383.7200000007</v>
      </c>
      <c r="E142" s="109">
        <f>ROUND('Alimentazione CE Ricavi'!F284,2)</f>
        <v>7695548.8200000003</v>
      </c>
      <c r="F142" s="356"/>
      <c r="G142" s="245"/>
      <c r="H142" s="110"/>
      <c r="I142" s="109">
        <v>6514787.790000001</v>
      </c>
      <c r="J142" s="106"/>
      <c r="L142" s="110"/>
    </row>
    <row r="143" spans="1:12" ht="25.5">
      <c r="A143" s="232"/>
      <c r="B143" s="111" t="s">
        <v>367</v>
      </c>
      <c r="C143" s="112" t="s">
        <v>1357</v>
      </c>
      <c r="D143" s="109">
        <f>ROUND('Alimentazione CE Ricavi'!E286,2)</f>
        <v>64744.26</v>
      </c>
      <c r="E143" s="109">
        <f>ROUND('Alimentazione CE Ricavi'!F286,2)</f>
        <v>66784.63</v>
      </c>
      <c r="F143" s="72"/>
      <c r="G143" s="245"/>
      <c r="H143" s="110"/>
      <c r="I143" s="109">
        <v>64744.26</v>
      </c>
      <c r="J143" s="106"/>
      <c r="L143" s="110"/>
    </row>
    <row r="144" spans="1:12" ht="25.5">
      <c r="A144" s="232"/>
      <c r="B144" s="111" t="s">
        <v>369</v>
      </c>
      <c r="C144" s="112" t="s">
        <v>1358</v>
      </c>
      <c r="D144" s="109">
        <f>ROUND('Alimentazione CE Ricavi'!E288,2)</f>
        <v>0</v>
      </c>
      <c r="E144" s="109">
        <f>ROUND('Alimentazione CE Ricavi'!F288,2)</f>
        <v>0</v>
      </c>
      <c r="F144" s="72"/>
      <c r="G144" s="245"/>
      <c r="H144" s="110"/>
      <c r="I144" s="109">
        <v>0</v>
      </c>
      <c r="J144" s="106"/>
      <c r="L144" s="110"/>
    </row>
    <row r="145" spans="1:12" ht="25.5">
      <c r="A145" s="232"/>
      <c r="B145" s="143" t="s">
        <v>370</v>
      </c>
      <c r="C145" s="144" t="s">
        <v>1359</v>
      </c>
      <c r="D145" s="145">
        <f t="shared" ref="D145:E145" si="25">+D146+D147+D148+D149+D150+D151</f>
        <v>25721947.469999999</v>
      </c>
      <c r="E145" s="145">
        <f t="shared" si="25"/>
        <v>25951874</v>
      </c>
      <c r="F145" s="72" t="s">
        <v>1835</v>
      </c>
      <c r="G145" s="245"/>
      <c r="H145" s="110"/>
      <c r="I145" s="145">
        <v>14066086.102499999</v>
      </c>
      <c r="J145" s="106"/>
      <c r="L145" s="110"/>
    </row>
    <row r="146" spans="1:12" ht="25.5">
      <c r="A146" s="232"/>
      <c r="B146" s="111" t="s">
        <v>372</v>
      </c>
      <c r="C146" s="112" t="s">
        <v>1360</v>
      </c>
      <c r="D146" s="109">
        <f>ROUND('Alimentazione CE Ricavi'!E291,2)</f>
        <v>112625.60000000001</v>
      </c>
      <c r="E146" s="109">
        <f>ROUND('Alimentazione CE Ricavi'!F291,2)</f>
        <v>53698.3</v>
      </c>
      <c r="F146" s="72"/>
      <c r="G146" s="245"/>
      <c r="H146" s="110"/>
      <c r="I146" s="109"/>
      <c r="J146" s="106"/>
      <c r="L146" s="110"/>
    </row>
    <row r="147" spans="1:12" ht="25.5">
      <c r="A147" s="232"/>
      <c r="B147" s="111" t="s">
        <v>374</v>
      </c>
      <c r="C147" s="112" t="s">
        <v>1361</v>
      </c>
      <c r="D147" s="109">
        <f>ROUND('Alimentazione CE Ricavi'!E293,2)</f>
        <v>18754781.469999999</v>
      </c>
      <c r="E147" s="109">
        <f>ROUND('Alimentazione CE Ricavi'!F293,2)</f>
        <v>19759354.710000001</v>
      </c>
      <c r="F147" s="72"/>
      <c r="G147" s="245"/>
      <c r="H147" s="110"/>
      <c r="I147" s="109">
        <v>14066086.102499999</v>
      </c>
      <c r="J147" s="106"/>
      <c r="L147" s="110"/>
    </row>
    <row r="148" spans="1:12" ht="25.5">
      <c r="A148" s="232"/>
      <c r="B148" s="111" t="s">
        <v>376</v>
      </c>
      <c r="C148" s="112" t="s">
        <v>1362</v>
      </c>
      <c r="D148" s="109">
        <f>ROUND('Alimentazione CE Ricavi'!E295,2)</f>
        <v>5079543.01</v>
      </c>
      <c r="E148" s="109">
        <f>ROUND('Alimentazione CE Ricavi'!F295,2)</f>
        <v>4410124.92</v>
      </c>
      <c r="F148" s="72"/>
      <c r="G148" s="245"/>
      <c r="H148" s="110"/>
      <c r="I148" s="109">
        <v>0</v>
      </c>
      <c r="J148" s="106"/>
      <c r="L148" s="110"/>
    </row>
    <row r="149" spans="1:12" ht="25.5">
      <c r="A149" s="232"/>
      <c r="B149" s="111" t="s">
        <v>378</v>
      </c>
      <c r="C149" s="112" t="s">
        <v>1363</v>
      </c>
      <c r="D149" s="109">
        <f>ROUND('Alimentazione CE Ricavi'!E297,2)</f>
        <v>0</v>
      </c>
      <c r="E149" s="109">
        <f>ROUND('Alimentazione CE Ricavi'!F297,2)</f>
        <v>37093.089999999997</v>
      </c>
      <c r="F149" s="72"/>
      <c r="G149" s="245"/>
      <c r="H149" s="110"/>
      <c r="I149" s="109">
        <v>0</v>
      </c>
      <c r="J149" s="106"/>
      <c r="L149" s="110"/>
    </row>
    <row r="150" spans="1:12" ht="25.5">
      <c r="A150" s="232"/>
      <c r="B150" s="111" t="s">
        <v>380</v>
      </c>
      <c r="C150" s="112" t="s">
        <v>1364</v>
      </c>
      <c r="D150" s="109">
        <f>ROUND('Alimentazione CE Ricavi'!E299,2)</f>
        <v>19670.04</v>
      </c>
      <c r="E150" s="109">
        <f>ROUND('Alimentazione CE Ricavi'!F299,2)</f>
        <v>335.42</v>
      </c>
      <c r="F150" s="72"/>
      <c r="G150" s="245"/>
      <c r="H150" s="110"/>
      <c r="I150" s="109"/>
      <c r="J150" s="106"/>
      <c r="L150" s="110"/>
    </row>
    <row r="151" spans="1:12" ht="25.5">
      <c r="A151" s="232"/>
      <c r="B151" s="111" t="s">
        <v>382</v>
      </c>
      <c r="C151" s="112" t="s">
        <v>1365</v>
      </c>
      <c r="D151" s="109">
        <f>ROUND('Alimentazione CE Ricavi'!E301,2)</f>
        <v>1755327.35</v>
      </c>
      <c r="E151" s="109">
        <f>ROUND('Alimentazione CE Ricavi'!F301,2)</f>
        <v>1691267.56</v>
      </c>
      <c r="F151" s="72"/>
      <c r="G151" s="245"/>
      <c r="H151" s="110"/>
      <c r="I151" s="109">
        <v>0</v>
      </c>
      <c r="J151" s="106"/>
      <c r="L151" s="110"/>
    </row>
    <row r="152" spans="1:12" ht="25.5">
      <c r="A152" s="232"/>
      <c r="B152" s="143" t="s">
        <v>383</v>
      </c>
      <c r="C152" s="144" t="s">
        <v>1366</v>
      </c>
      <c r="D152" s="145">
        <f>ROUND('Alimentazione CE Ricavi'!E303,2)</f>
        <v>91081.83</v>
      </c>
      <c r="E152" s="145">
        <f>ROUND('Alimentazione CE Ricavi'!F303,2)</f>
        <v>0</v>
      </c>
      <c r="F152" s="72"/>
      <c r="G152" s="245"/>
      <c r="H152" s="110"/>
      <c r="I152" s="145">
        <v>0</v>
      </c>
      <c r="J152" s="106"/>
      <c r="L152" s="110"/>
    </row>
    <row r="153" spans="1:12" ht="18.75">
      <c r="A153" s="232"/>
      <c r="B153" s="143" t="s">
        <v>384</v>
      </c>
      <c r="C153" s="144" t="s">
        <v>1367</v>
      </c>
      <c r="D153" s="145">
        <f t="shared" ref="D153:E153" si="26">+D154+D155+D156</f>
        <v>715547.67999999993</v>
      </c>
      <c r="E153" s="145">
        <f t="shared" si="26"/>
        <v>823773.42999999993</v>
      </c>
      <c r="F153" s="72" t="s">
        <v>1835</v>
      </c>
      <c r="G153" s="245"/>
      <c r="H153" s="110"/>
      <c r="I153" s="145">
        <v>340789.03</v>
      </c>
      <c r="J153" s="106"/>
      <c r="L153" s="110"/>
    </row>
    <row r="154" spans="1:12" ht="18.75">
      <c r="A154" s="232"/>
      <c r="B154" s="111" t="s">
        <v>385</v>
      </c>
      <c r="C154" s="112" t="s">
        <v>1368</v>
      </c>
      <c r="D154" s="109">
        <f>ROUND(('Alimentazione CE Ricavi'!E306+'Alimentazione CE Ricavi'!E307+'Alimentazione CE Ricavi'!E308),2)</f>
        <v>0</v>
      </c>
      <c r="E154" s="109">
        <f>ROUND(('Alimentazione CE Ricavi'!F306+'Alimentazione CE Ricavi'!F307+'Alimentazione CE Ricavi'!F308),2)</f>
        <v>0</v>
      </c>
      <c r="F154" s="72"/>
      <c r="G154" s="245"/>
      <c r="H154" s="110"/>
      <c r="I154" s="109">
        <v>0</v>
      </c>
      <c r="J154" s="106"/>
      <c r="L154" s="110"/>
    </row>
    <row r="155" spans="1:12" ht="25.5">
      <c r="A155" s="232"/>
      <c r="B155" s="111" t="s">
        <v>389</v>
      </c>
      <c r="C155" s="112" t="s">
        <v>1369</v>
      </c>
      <c r="D155" s="109">
        <f>ROUND(('Alimentazione CE Ricavi'!E310+'Alimentazione CE Ricavi'!E311+'Alimentazione CE Ricavi'!E312),2)</f>
        <v>217841.46</v>
      </c>
      <c r="E155" s="109">
        <f>ROUND(('Alimentazione CE Ricavi'!F310+'Alimentazione CE Ricavi'!F311+'Alimentazione CE Ricavi'!F312),2)</f>
        <v>214572.36</v>
      </c>
      <c r="F155" s="72"/>
      <c r="G155" s="245"/>
      <c r="H155" s="110"/>
      <c r="I155" s="109"/>
      <c r="J155" s="106"/>
      <c r="L155" s="110"/>
    </row>
    <row r="156" spans="1:12" ht="18.75">
      <c r="A156" s="232"/>
      <c r="B156" s="111" t="s">
        <v>394</v>
      </c>
      <c r="C156" s="112" t="s">
        <v>1370</v>
      </c>
      <c r="D156" s="109">
        <f>ROUND(('Alimentazione CE Ricavi'!E314+'Alimentazione CE Ricavi'!E315+'Alimentazione CE Ricavi'!E316),2)</f>
        <v>497706.22</v>
      </c>
      <c r="E156" s="109">
        <f>ROUND(('Alimentazione CE Ricavi'!F314+'Alimentazione CE Ricavi'!F315+'Alimentazione CE Ricavi'!F316),2)</f>
        <v>609201.06999999995</v>
      </c>
      <c r="F156" s="72"/>
      <c r="G156" s="245"/>
      <c r="H156" s="110"/>
      <c r="I156" s="109">
        <v>340789.03</v>
      </c>
      <c r="J156" s="106"/>
      <c r="L156" s="110"/>
    </row>
    <row r="157" spans="1:12" ht="18.75">
      <c r="A157" s="232"/>
      <c r="B157" s="146" t="s">
        <v>1371</v>
      </c>
      <c r="C157" s="147" t="s">
        <v>1372</v>
      </c>
      <c r="D157" s="148">
        <f t="shared" ref="D157:E157" si="27">+D153+D152+D145+D141+D120+D65+D59+D56+D25</f>
        <v>992655537.1099999</v>
      </c>
      <c r="E157" s="148">
        <f t="shared" si="27"/>
        <v>1004252552.48</v>
      </c>
      <c r="F157" s="72" t="s">
        <v>1835</v>
      </c>
      <c r="G157" s="245"/>
      <c r="H157" s="110"/>
      <c r="I157" s="148">
        <v>471840109.2755</v>
      </c>
      <c r="J157" s="106"/>
      <c r="L157" s="110"/>
    </row>
    <row r="158" spans="1:12" ht="18.75">
      <c r="A158" s="232"/>
      <c r="B158" s="159"/>
      <c r="C158" s="162" t="s">
        <v>1373</v>
      </c>
      <c r="D158" s="161"/>
      <c r="E158" s="161"/>
      <c r="F158" s="72"/>
      <c r="G158" s="245"/>
      <c r="H158" s="110"/>
      <c r="I158" s="161"/>
      <c r="J158" s="106"/>
      <c r="L158" s="110"/>
    </row>
    <row r="159" spans="1:12" ht="18.75">
      <c r="A159" s="232"/>
      <c r="B159" s="143" t="s">
        <v>463</v>
      </c>
      <c r="C159" s="144" t="s">
        <v>1374</v>
      </c>
      <c r="D159" s="145">
        <f>+D160+D191</f>
        <v>177783738.15000001</v>
      </c>
      <c r="E159" s="145">
        <f t="shared" ref="E159" si="28">+E160+E191</f>
        <v>165598069.94999999</v>
      </c>
      <c r="F159" s="72" t="s">
        <v>1835</v>
      </c>
      <c r="G159" s="245"/>
      <c r="H159" s="110"/>
      <c r="I159" s="145">
        <v>143479037.71000001</v>
      </c>
      <c r="J159" s="106"/>
      <c r="L159" s="110"/>
    </row>
    <row r="160" spans="1:12" ht="18.75">
      <c r="A160" s="232"/>
      <c r="B160" s="138" t="s">
        <v>464</v>
      </c>
      <c r="C160" s="139" t="s">
        <v>1375</v>
      </c>
      <c r="D160" s="137">
        <f t="shared" ref="D160" si="29">+D161+D169+D173+D177+D178+D179+D180+D181+D182</f>
        <v>172696323.45000002</v>
      </c>
      <c r="E160" s="137">
        <f t="shared" ref="E160" si="30">+E161+E169+E173+E177+E178+E179+E180+E181+E182</f>
        <v>159803072.28</v>
      </c>
      <c r="F160" s="72" t="s">
        <v>1835</v>
      </c>
      <c r="G160" s="245"/>
      <c r="H160" s="110"/>
      <c r="I160" s="137">
        <v>140797960.05000001</v>
      </c>
      <c r="J160" s="106"/>
      <c r="L160" s="110"/>
    </row>
    <row r="161" spans="1:12" ht="18.75">
      <c r="A161" s="232"/>
      <c r="B161" s="149" t="s">
        <v>465</v>
      </c>
      <c r="C161" s="150" t="s">
        <v>1376</v>
      </c>
      <c r="D161" s="151">
        <f t="shared" ref="D161" si="31">SUM(D162:D165)</f>
        <v>11855894.719999999</v>
      </c>
      <c r="E161" s="151">
        <f t="shared" ref="E161" si="32">SUM(E162:E165)</f>
        <v>10660859.74</v>
      </c>
      <c r="F161" s="72" t="s">
        <v>1835</v>
      </c>
      <c r="G161" s="245"/>
      <c r="H161" s="110"/>
      <c r="I161" s="151">
        <v>10926367.909999998</v>
      </c>
      <c r="J161" s="106"/>
      <c r="L161" s="110"/>
    </row>
    <row r="162" spans="1:12" ht="38.25">
      <c r="A162" s="234"/>
      <c r="B162" s="115" t="s">
        <v>466</v>
      </c>
      <c r="C162" s="116" t="s">
        <v>1377</v>
      </c>
      <c r="D162" s="109">
        <f>+ROUND('Alimentazione CE Costi'!E7+'Alimentazione CE Costi'!E8,2)</f>
        <v>10085930.609999999</v>
      </c>
      <c r="E162" s="109">
        <f>+ROUND('Alimentazione CE Costi'!F7+'Alimentazione CE Costi'!F8,2)</f>
        <v>9107656.9900000002</v>
      </c>
      <c r="F162" s="356"/>
      <c r="G162" s="245"/>
      <c r="H162" s="110"/>
      <c r="I162" s="109">
        <v>10085930.609999999</v>
      </c>
      <c r="J162" s="106"/>
      <c r="L162" s="110"/>
    </row>
    <row r="163" spans="1:12" ht="18.75">
      <c r="A163" s="234"/>
      <c r="B163" s="115" t="s">
        <v>469</v>
      </c>
      <c r="C163" s="116" t="s">
        <v>1378</v>
      </c>
      <c r="D163" s="109">
        <f>+ROUND('Alimentazione CE Costi'!E10+'Alimentazione CE Costi'!E11,2)</f>
        <v>432194.6</v>
      </c>
      <c r="E163" s="109">
        <f>+ROUND('Alimentazione CE Costi'!F10+'Alimentazione CE Costi'!F11,2)</f>
        <v>286636.09999999998</v>
      </c>
      <c r="F163" s="356"/>
      <c r="G163" s="245"/>
      <c r="H163" s="110"/>
      <c r="I163" s="109">
        <v>432194.60000000003</v>
      </c>
      <c r="J163" s="106"/>
      <c r="L163" s="110"/>
    </row>
    <row r="164" spans="1:12" ht="18.75">
      <c r="A164" s="234"/>
      <c r="B164" s="115" t="s">
        <v>471</v>
      </c>
      <c r="C164" s="116" t="s">
        <v>1379</v>
      </c>
      <c r="D164" s="109">
        <f>+ROUND('Alimentazione CE Costi'!E13,2)</f>
        <v>1337769.51</v>
      </c>
      <c r="E164" s="109">
        <f>+ROUND('Alimentazione CE Costi'!F13,2)</f>
        <v>1266566.6499999999</v>
      </c>
      <c r="F164" s="356"/>
      <c r="G164" s="245"/>
      <c r="H164" s="110"/>
      <c r="I164" s="109">
        <v>408242.7</v>
      </c>
      <c r="J164" s="106"/>
      <c r="L164" s="110"/>
    </row>
    <row r="165" spans="1:12" ht="18.75">
      <c r="A165" s="232"/>
      <c r="B165" s="152" t="s">
        <v>472</v>
      </c>
      <c r="C165" s="153" t="s">
        <v>1380</v>
      </c>
      <c r="D165" s="154">
        <f t="shared" ref="D165" si="33">SUM(D166:D168)</f>
        <v>0</v>
      </c>
      <c r="E165" s="154">
        <f t="shared" ref="E165" si="34">SUM(E166:E168)</f>
        <v>0</v>
      </c>
      <c r="F165" s="72" t="s">
        <v>1835</v>
      </c>
      <c r="G165" s="245"/>
      <c r="H165" s="110"/>
      <c r="I165" s="154">
        <v>0</v>
      </c>
      <c r="J165" s="106"/>
      <c r="L165" s="110"/>
    </row>
    <row r="166" spans="1:12" ht="38.25">
      <c r="A166" s="234" t="s">
        <v>1248</v>
      </c>
      <c r="B166" s="115" t="s">
        <v>474</v>
      </c>
      <c r="C166" s="116" t="s">
        <v>1381</v>
      </c>
      <c r="D166" s="109">
        <f>+ROUND('Alimentazione CE Costi'!E16,2)</f>
        <v>0</v>
      </c>
      <c r="E166" s="109">
        <f>+ROUND('Alimentazione CE Costi'!F16,2)</f>
        <v>0</v>
      </c>
      <c r="F166" s="356"/>
      <c r="G166" s="245"/>
      <c r="H166" s="110"/>
      <c r="I166" s="109">
        <v>0</v>
      </c>
      <c r="J166" s="106"/>
      <c r="L166" s="110"/>
    </row>
    <row r="167" spans="1:12" ht="38.25">
      <c r="A167" s="234" t="s">
        <v>1293</v>
      </c>
      <c r="B167" s="115" t="s">
        <v>476</v>
      </c>
      <c r="C167" s="116" t="s">
        <v>1382</v>
      </c>
      <c r="D167" s="109">
        <f>+ROUND('Alimentazione CE Costi'!E18,2)</f>
        <v>0</v>
      </c>
      <c r="E167" s="109">
        <f>+ROUND('Alimentazione CE Costi'!F18,2)</f>
        <v>0</v>
      </c>
      <c r="F167" s="356"/>
      <c r="G167" s="245"/>
      <c r="H167" s="110"/>
      <c r="I167" s="109">
        <v>0</v>
      </c>
      <c r="J167" s="106"/>
      <c r="L167" s="110"/>
    </row>
    <row r="168" spans="1:12" ht="25.5">
      <c r="A168" s="234"/>
      <c r="B168" s="115" t="s">
        <v>478</v>
      </c>
      <c r="C168" s="116" t="s">
        <v>1383</v>
      </c>
      <c r="D168" s="109">
        <f>+ROUND('Alimentazione CE Costi'!E20,2)</f>
        <v>0</v>
      </c>
      <c r="E168" s="109">
        <f>+ROUND('Alimentazione CE Costi'!F20,2)</f>
        <v>0</v>
      </c>
      <c r="F168" s="356"/>
      <c r="G168" s="245"/>
      <c r="H168" s="110"/>
      <c r="I168" s="109">
        <v>0</v>
      </c>
      <c r="J168" s="106"/>
      <c r="L168" s="110"/>
    </row>
    <row r="169" spans="1:12" ht="18.75">
      <c r="A169" s="232"/>
      <c r="B169" s="149" t="s">
        <v>479</v>
      </c>
      <c r="C169" s="150" t="s">
        <v>1384</v>
      </c>
      <c r="D169" s="151">
        <f t="shared" ref="D169" si="35">SUM(D170:D172)</f>
        <v>0</v>
      </c>
      <c r="E169" s="151">
        <f t="shared" ref="E169" si="36">SUM(E170:E172)</f>
        <v>502618</v>
      </c>
      <c r="F169" s="72" t="s">
        <v>1835</v>
      </c>
      <c r="G169" s="245"/>
      <c r="H169" s="110"/>
      <c r="I169" s="151">
        <v>0</v>
      </c>
      <c r="J169" s="106"/>
      <c r="L169" s="110"/>
    </row>
    <row r="170" spans="1:12" ht="25.5">
      <c r="A170" s="232" t="s">
        <v>1248</v>
      </c>
      <c r="B170" s="115" t="s">
        <v>480</v>
      </c>
      <c r="C170" s="116" t="s">
        <v>1385</v>
      </c>
      <c r="D170" s="109">
        <f>+ROUND('Alimentazione CE Costi'!E23,2)</f>
        <v>0</v>
      </c>
      <c r="E170" s="109">
        <f>+ROUND('Alimentazione CE Costi'!F23,2)</f>
        <v>0</v>
      </c>
      <c r="F170" s="72"/>
      <c r="G170" s="245"/>
      <c r="H170" s="110"/>
      <c r="I170" s="109">
        <v>0</v>
      </c>
      <c r="J170" s="106"/>
      <c r="L170" s="110"/>
    </row>
    <row r="171" spans="1:12" ht="25.5">
      <c r="A171" s="232" t="s">
        <v>1293</v>
      </c>
      <c r="B171" s="115" t="s">
        <v>481</v>
      </c>
      <c r="C171" s="116" t="s">
        <v>1386</v>
      </c>
      <c r="D171" s="109">
        <f>+ROUND('Alimentazione CE Costi'!E25,2)</f>
        <v>0</v>
      </c>
      <c r="E171" s="109">
        <f>+ROUND('Alimentazione CE Costi'!F25,2)</f>
        <v>502618</v>
      </c>
      <c r="F171" s="72"/>
      <c r="G171" s="245"/>
      <c r="H171" s="110"/>
      <c r="I171" s="109">
        <v>0</v>
      </c>
      <c r="J171" s="106"/>
      <c r="L171" s="110"/>
    </row>
    <row r="172" spans="1:12" ht="18.75">
      <c r="A172" s="232"/>
      <c r="B172" s="115" t="s">
        <v>483</v>
      </c>
      <c r="C172" s="116" t="s">
        <v>1387</v>
      </c>
      <c r="D172" s="109">
        <f>+ROUND('Alimentazione CE Costi'!E27,2)</f>
        <v>0</v>
      </c>
      <c r="E172" s="109">
        <f>+ROUND('Alimentazione CE Costi'!F27,2)</f>
        <v>0</v>
      </c>
      <c r="F172" s="72"/>
      <c r="G172" s="245"/>
      <c r="H172" s="110"/>
      <c r="I172" s="109">
        <v>0</v>
      </c>
      <c r="J172" s="106"/>
      <c r="L172" s="110"/>
    </row>
    <row r="173" spans="1:12" ht="18.75">
      <c r="A173" s="232"/>
      <c r="B173" s="149" t="s">
        <v>485</v>
      </c>
      <c r="C173" s="150" t="s">
        <v>1388</v>
      </c>
      <c r="D173" s="151">
        <f t="shared" ref="D173" si="37">SUM(D174:D176)</f>
        <v>43296724.760000005</v>
      </c>
      <c r="E173" s="151">
        <f t="shared" ref="E173" si="38">SUM(E174:E176)</f>
        <v>43299498.060000002</v>
      </c>
      <c r="F173" s="358" t="s">
        <v>1835</v>
      </c>
      <c r="G173" s="245"/>
      <c r="H173" s="110"/>
      <c r="I173" s="151">
        <v>42542303.969999999</v>
      </c>
      <c r="J173" s="106"/>
      <c r="L173" s="110"/>
    </row>
    <row r="174" spans="1:12" ht="18.75">
      <c r="A174" s="232"/>
      <c r="B174" s="115" t="s">
        <v>486</v>
      </c>
      <c r="C174" s="116" t="s">
        <v>1389</v>
      </c>
      <c r="D174" s="109">
        <f>+ROUND('Alimentazione CE Costi'!E30+'Alimentazione CE Costi'!E31,2)</f>
        <v>25862719.870000001</v>
      </c>
      <c r="E174" s="109">
        <f>+ROUND('Alimentazione CE Costi'!F30+'Alimentazione CE Costi'!F31,2)</f>
        <v>22709245.199999999</v>
      </c>
      <c r="F174" s="72"/>
      <c r="G174" s="245"/>
      <c r="H174" s="110"/>
      <c r="I174" s="109">
        <v>25108299.079999998</v>
      </c>
      <c r="J174" s="106"/>
      <c r="L174" s="110"/>
    </row>
    <row r="175" spans="1:12" ht="18.75">
      <c r="A175" s="232"/>
      <c r="B175" s="115" t="s">
        <v>488</v>
      </c>
      <c r="C175" s="116" t="s">
        <v>1390</v>
      </c>
      <c r="D175" s="109">
        <f>+ROUND('Alimentazione CE Costi'!E33+'Alimentazione CE Costi'!E34,2)</f>
        <v>3322617.37</v>
      </c>
      <c r="E175" s="109">
        <f>+ROUND('Alimentazione CE Costi'!F33+'Alimentazione CE Costi'!F34,2)</f>
        <v>2946640.27</v>
      </c>
      <c r="F175" s="72"/>
      <c r="G175" s="245"/>
      <c r="H175" s="110"/>
      <c r="I175" s="109">
        <v>3322617.37</v>
      </c>
      <c r="J175" s="106"/>
      <c r="L175" s="110"/>
    </row>
    <row r="176" spans="1:12" ht="18.75">
      <c r="A176" s="232"/>
      <c r="B176" s="115" t="s">
        <v>490</v>
      </c>
      <c r="C176" s="116" t="s">
        <v>1391</v>
      </c>
      <c r="D176" s="109">
        <f>+ROUND('Alimentazione CE Costi'!E36+'Alimentazione CE Costi'!E37,2)</f>
        <v>14111387.52</v>
      </c>
      <c r="E176" s="109">
        <f>+ROUND('Alimentazione CE Costi'!F36+'Alimentazione CE Costi'!F37,2)</f>
        <v>17643612.59</v>
      </c>
      <c r="F176" s="72"/>
      <c r="G176" s="245"/>
      <c r="H176" s="110"/>
      <c r="I176" s="109">
        <v>14111387.52</v>
      </c>
      <c r="J176" s="106"/>
      <c r="L176" s="110"/>
    </row>
    <row r="177" spans="1:12" ht="18.75">
      <c r="A177" s="232"/>
      <c r="B177" s="113" t="s">
        <v>492</v>
      </c>
      <c r="C177" s="114" t="s">
        <v>1392</v>
      </c>
      <c r="D177" s="119">
        <f>+ROUND('Alimentazione CE Costi'!E39+'Alimentazione CE Costi'!E40,2)</f>
        <v>71095.3</v>
      </c>
      <c r="E177" s="119">
        <f>+ROUND('Alimentazione CE Costi'!F39+'Alimentazione CE Costi'!F40,2)</f>
        <v>103141.57</v>
      </c>
      <c r="F177" s="356"/>
      <c r="G177" s="245"/>
      <c r="H177" s="110"/>
      <c r="I177" s="119">
        <v>0</v>
      </c>
      <c r="J177" s="106"/>
      <c r="L177" s="110"/>
    </row>
    <row r="178" spans="1:12" ht="18.75">
      <c r="A178" s="232"/>
      <c r="B178" s="113" t="s">
        <v>494</v>
      </c>
      <c r="C178" s="114" t="s">
        <v>1393</v>
      </c>
      <c r="D178" s="119">
        <f>+ROUND('Alimentazione CE Costi'!E42+'Alimentazione CE Costi'!E43,2)</f>
        <v>454182.33</v>
      </c>
      <c r="E178" s="119">
        <f>+ROUND('Alimentazione CE Costi'!F42+'Alimentazione CE Costi'!F43,2)</f>
        <v>386803.57</v>
      </c>
      <c r="F178" s="356"/>
      <c r="G178" s="245"/>
      <c r="H178" s="110"/>
      <c r="I178" s="119"/>
      <c r="J178" s="106"/>
      <c r="L178" s="110"/>
    </row>
    <row r="179" spans="1:12" ht="18.75">
      <c r="A179" s="232"/>
      <c r="B179" s="113" t="s">
        <v>496</v>
      </c>
      <c r="C179" s="114" t="s">
        <v>1394</v>
      </c>
      <c r="D179" s="119">
        <f>+ROUND('Alimentazione CE Costi'!E45+'Alimentazione CE Costi'!E46,2)</f>
        <v>75175.37</v>
      </c>
      <c r="E179" s="119">
        <f>+ROUND('Alimentazione CE Costi'!F45+'Alimentazione CE Costi'!F46,2)</f>
        <v>50109.51</v>
      </c>
      <c r="F179" s="356"/>
      <c r="G179" s="245"/>
      <c r="H179" s="110"/>
      <c r="I179" s="119">
        <v>75175.37</v>
      </c>
      <c r="J179" s="106"/>
      <c r="L179" s="110"/>
    </row>
    <row r="180" spans="1:12" ht="18.75">
      <c r="A180" s="232"/>
      <c r="B180" s="113" t="s">
        <v>498</v>
      </c>
      <c r="C180" s="114" t="s">
        <v>1395</v>
      </c>
      <c r="D180" s="119">
        <f>+ROUND('Alimentazione CE Costi'!E48+'Alimentazione CE Costi'!E49,2)</f>
        <v>642.91999999999996</v>
      </c>
      <c r="E180" s="119">
        <f>+ROUND('Alimentazione CE Costi'!F48+'Alimentazione CE Costi'!F49,2)</f>
        <v>1525.7</v>
      </c>
      <c r="F180" s="356"/>
      <c r="G180" s="245"/>
      <c r="H180" s="110"/>
      <c r="I180" s="119"/>
      <c r="J180" s="106"/>
      <c r="L180" s="110"/>
    </row>
    <row r="181" spans="1:12" ht="18.75">
      <c r="A181" s="232"/>
      <c r="B181" s="113" t="s">
        <v>500</v>
      </c>
      <c r="C181" s="114" t="s">
        <v>1396</v>
      </c>
      <c r="D181" s="119">
        <f>+ROUND('Alimentazione CE Costi'!E51+'Alimentazione CE Costi'!E52,2)</f>
        <v>1223592.55</v>
      </c>
      <c r="E181" s="119">
        <f>+ROUND('Alimentazione CE Costi'!F51+'Alimentazione CE Costi'!F52,2)</f>
        <v>1206944.51</v>
      </c>
      <c r="F181" s="356"/>
      <c r="G181" s="245"/>
      <c r="H181" s="110"/>
      <c r="I181" s="119">
        <v>1185890.96</v>
      </c>
      <c r="J181" s="106"/>
      <c r="L181" s="110"/>
    </row>
    <row r="182" spans="1:12" ht="25.5">
      <c r="A182" s="232" t="s">
        <v>1248</v>
      </c>
      <c r="B182" s="149" t="s">
        <v>501</v>
      </c>
      <c r="C182" s="150" t="s">
        <v>1397</v>
      </c>
      <c r="D182" s="151">
        <f>SUM(D183:D190)</f>
        <v>115719015.50000001</v>
      </c>
      <c r="E182" s="151">
        <f t="shared" ref="E182" si="39">SUM(E183:E190)</f>
        <v>103591571.62</v>
      </c>
      <c r="F182" s="356" t="s">
        <v>1835</v>
      </c>
      <c r="G182" s="245"/>
      <c r="I182" s="151">
        <v>86068221.840000004</v>
      </c>
      <c r="J182" s="106"/>
      <c r="L182" s="110"/>
    </row>
    <row r="183" spans="1:12" ht="18.75">
      <c r="A183" s="232" t="s">
        <v>1248</v>
      </c>
      <c r="B183" s="113" t="s">
        <v>502</v>
      </c>
      <c r="C183" s="114" t="s">
        <v>1398</v>
      </c>
      <c r="D183" s="119">
        <f>+ROUND('Alimentazione CE Costi'!E55+'Alimentazione CE Costi'!E56+'Alimentazione CE Costi'!E57,2)</f>
        <v>83424961.540000007</v>
      </c>
      <c r="E183" s="119">
        <f>+ROUND('Alimentazione CE Costi'!F55+'Alimentazione CE Costi'!F56+'Alimentazione CE Costi'!F57,2)</f>
        <v>75453804.870000005</v>
      </c>
      <c r="F183" s="356"/>
      <c r="G183" s="245"/>
      <c r="I183" s="119">
        <v>62489753.579999998</v>
      </c>
      <c r="J183" s="106"/>
      <c r="L183" s="110"/>
    </row>
    <row r="184" spans="1:12" ht="18.75">
      <c r="A184" s="232" t="s">
        <v>1248</v>
      </c>
      <c r="B184" s="113" t="s">
        <v>2286</v>
      </c>
      <c r="C184" s="114" t="s">
        <v>2287</v>
      </c>
      <c r="D184" s="119">
        <f>+ROUND('Alimentazione CE Costi'!E59,2)</f>
        <v>0</v>
      </c>
      <c r="E184" s="119">
        <f>+ROUND('Alimentazione CE Costi'!F59,2)</f>
        <v>0</v>
      </c>
      <c r="F184" s="356"/>
      <c r="G184" s="245"/>
      <c r="I184" s="119"/>
      <c r="J184" s="106"/>
      <c r="L184" s="110"/>
    </row>
    <row r="185" spans="1:12" ht="18.75">
      <c r="A185" s="232" t="s">
        <v>1248</v>
      </c>
      <c r="B185" s="113" t="s">
        <v>503</v>
      </c>
      <c r="C185" s="114" t="s">
        <v>1399</v>
      </c>
      <c r="D185" s="119">
        <f>+ROUND('Alimentazione CE Costi'!E61+'Alimentazione CE Costi'!E62+'Alimentazione CE Costi'!E63,2)</f>
        <v>26299849.489999998</v>
      </c>
      <c r="E185" s="119">
        <f>+ROUND('Alimentazione CE Costi'!F61+'Alimentazione CE Costi'!F62+'Alimentazione CE Costi'!F63,2)</f>
        <v>22528856.579999998</v>
      </c>
      <c r="F185" s="356"/>
      <c r="G185" s="245"/>
      <c r="I185" s="119">
        <v>23126140.16</v>
      </c>
      <c r="J185" s="106"/>
      <c r="L185" s="110"/>
    </row>
    <row r="186" spans="1:12" ht="18.75">
      <c r="A186" s="232" t="s">
        <v>1248</v>
      </c>
      <c r="B186" s="113" t="s">
        <v>504</v>
      </c>
      <c r="C186" s="114" t="s">
        <v>1400</v>
      </c>
      <c r="D186" s="119">
        <f>+ROUND('Alimentazione CE Costi'!E65,2)</f>
        <v>871729.59</v>
      </c>
      <c r="E186" s="119">
        <f>+ROUND('Alimentazione CE Costi'!F65,2)</f>
        <v>789787.51</v>
      </c>
      <c r="F186" s="356"/>
      <c r="G186" s="245"/>
      <c r="I186" s="119">
        <v>175084.98</v>
      </c>
      <c r="J186" s="106"/>
      <c r="L186" s="110"/>
    </row>
    <row r="187" spans="1:12" ht="18.75">
      <c r="A187" s="232" t="s">
        <v>1248</v>
      </c>
      <c r="B187" s="113" t="s">
        <v>505</v>
      </c>
      <c r="C187" s="114" t="s">
        <v>1401</v>
      </c>
      <c r="D187" s="119">
        <f>+ROUND('Alimentazione CE Costi'!E67,2)</f>
        <v>4565901.76</v>
      </c>
      <c r="E187" s="119">
        <f>+ROUND('Alimentazione CE Costi'!F67,2)</f>
        <v>3867739.92</v>
      </c>
      <c r="F187" s="356"/>
      <c r="G187" s="245"/>
      <c r="I187" s="119"/>
      <c r="J187" s="106"/>
      <c r="L187" s="110"/>
    </row>
    <row r="188" spans="1:12" ht="18.75">
      <c r="A188" s="232" t="s">
        <v>1248</v>
      </c>
      <c r="B188" s="113" t="s">
        <v>506</v>
      </c>
      <c r="C188" s="114" t="s">
        <v>1402</v>
      </c>
      <c r="D188" s="119">
        <f>+ROUND('Alimentazione CE Costi'!E69,2)</f>
        <v>278.83999999999997</v>
      </c>
      <c r="E188" s="119">
        <f>+ROUND('Alimentazione CE Costi'!F69,2)</f>
        <v>0</v>
      </c>
      <c r="F188" s="356"/>
      <c r="G188" s="245"/>
      <c r="I188" s="119">
        <v>278.83999999999997</v>
      </c>
      <c r="J188" s="106"/>
      <c r="L188" s="110"/>
    </row>
    <row r="189" spans="1:12" ht="18.75">
      <c r="A189" s="232" t="s">
        <v>1248</v>
      </c>
      <c r="B189" s="113" t="s">
        <v>507</v>
      </c>
      <c r="C189" s="114" t="s">
        <v>1403</v>
      </c>
      <c r="D189" s="119">
        <f>+ROUND('Alimentazione CE Costi'!E71,2)</f>
        <v>2365.73</v>
      </c>
      <c r="E189" s="119">
        <f>+ROUND('Alimentazione CE Costi'!F71,2)</f>
        <v>4573.58</v>
      </c>
      <c r="F189" s="356"/>
      <c r="G189" s="245"/>
      <c r="I189" s="119"/>
      <c r="J189" s="106"/>
      <c r="L189" s="110"/>
    </row>
    <row r="190" spans="1:12" ht="18.75">
      <c r="A190" s="232" t="s">
        <v>1248</v>
      </c>
      <c r="B190" s="113" t="s">
        <v>508</v>
      </c>
      <c r="C190" s="114" t="s">
        <v>1404</v>
      </c>
      <c r="D190" s="119">
        <f>+ROUND('Alimentazione CE Costi'!E73,2)</f>
        <v>553928.55000000005</v>
      </c>
      <c r="E190" s="119">
        <f>+ROUND('Alimentazione CE Costi'!F73,2)</f>
        <v>946809.16</v>
      </c>
      <c r="F190" s="356"/>
      <c r="G190" s="245"/>
      <c r="I190" s="119">
        <v>276964.28000000003</v>
      </c>
      <c r="J190" s="106"/>
      <c r="L190" s="110"/>
    </row>
    <row r="191" spans="1:12" ht="18.75">
      <c r="A191" s="232"/>
      <c r="B191" s="138" t="s">
        <v>509</v>
      </c>
      <c r="C191" s="139" t="s">
        <v>1405</v>
      </c>
      <c r="D191" s="137">
        <f t="shared" ref="D191" si="40">SUM(D192:D198)</f>
        <v>5087414.7</v>
      </c>
      <c r="E191" s="137">
        <f t="shared" ref="E191" si="41">SUM(E192:E198)</f>
        <v>5794997.6699999999</v>
      </c>
      <c r="F191" s="72" t="s">
        <v>1835</v>
      </c>
      <c r="G191" s="245"/>
      <c r="H191" s="110"/>
      <c r="I191" s="137">
        <v>2681077.66</v>
      </c>
      <c r="J191" s="106"/>
      <c r="L191" s="110"/>
    </row>
    <row r="192" spans="1:12" ht="18.75">
      <c r="A192" s="232"/>
      <c r="B192" s="113" t="s">
        <v>511</v>
      </c>
      <c r="C192" s="114" t="s">
        <v>1406</v>
      </c>
      <c r="D192" s="109">
        <f>+ROUND('Alimentazione CE Costi'!E76+'Alimentazione CE Costi'!E77,2)</f>
        <v>75263.5</v>
      </c>
      <c r="E192" s="109">
        <f>+ROUND('Alimentazione CE Costi'!F76+'Alimentazione CE Costi'!F77,2)</f>
        <v>66917.679999999993</v>
      </c>
      <c r="F192" s="72"/>
      <c r="G192" s="245"/>
      <c r="H192" s="110"/>
      <c r="I192" s="109">
        <v>37631.759999999995</v>
      </c>
      <c r="J192" s="106"/>
      <c r="L192" s="110"/>
    </row>
    <row r="193" spans="1:12" ht="25.5">
      <c r="A193" s="232"/>
      <c r="B193" s="113" t="s">
        <v>513</v>
      </c>
      <c r="C193" s="114" t="s">
        <v>1407</v>
      </c>
      <c r="D193" s="109">
        <f>+ROUND('Alimentazione CE Costi'!E79+'Alimentazione CE Costi'!E80,2)</f>
        <v>320312.55</v>
      </c>
      <c r="E193" s="109">
        <f>+ROUND('Alimentazione CE Costi'!F79+'Alimentazione CE Costi'!F80,2)</f>
        <v>506456.16</v>
      </c>
      <c r="F193" s="72"/>
      <c r="G193" s="245"/>
      <c r="H193" s="110"/>
      <c r="I193" s="109">
        <v>160156.28</v>
      </c>
      <c r="J193" s="106"/>
      <c r="L193" s="110"/>
    </row>
    <row r="194" spans="1:12" ht="18.75">
      <c r="A194" s="232"/>
      <c r="B194" s="113" t="s">
        <v>515</v>
      </c>
      <c r="C194" s="114" t="s">
        <v>1408</v>
      </c>
      <c r="D194" s="109">
        <f>+ROUND('Alimentazione CE Costi'!E82+'Alimentazione CE Costi'!E83,2)</f>
        <v>479757.87</v>
      </c>
      <c r="E194" s="109">
        <f>+ROUND('Alimentazione CE Costi'!F82+'Alimentazione CE Costi'!F83,2)</f>
        <v>470352.49</v>
      </c>
      <c r="F194" s="72"/>
      <c r="G194" s="245"/>
      <c r="H194" s="110"/>
      <c r="I194" s="109">
        <v>0</v>
      </c>
      <c r="J194" s="106"/>
      <c r="L194" s="110"/>
    </row>
    <row r="195" spans="1:12" ht="18.75">
      <c r="A195" s="232"/>
      <c r="B195" s="113" t="s">
        <v>516</v>
      </c>
      <c r="C195" s="114" t="s">
        <v>1409</v>
      </c>
      <c r="D195" s="109">
        <f>+ROUND('Alimentazione CE Costi'!E85+'Alimentazione CE Costi'!E86+'Alimentazione CE Costi'!E87+'Alimentazione CE Costi'!E88,2)</f>
        <v>700157.75</v>
      </c>
      <c r="E195" s="109">
        <f>+ROUND('Alimentazione CE Costi'!F85+'Alimentazione CE Costi'!F86+'Alimentazione CE Costi'!F87+'Alimentazione CE Costi'!F88,2)</f>
        <v>613556.11</v>
      </c>
      <c r="F195" s="72"/>
      <c r="G195" s="245"/>
      <c r="H195" s="110"/>
      <c r="I195" s="109">
        <v>434429.01</v>
      </c>
      <c r="J195" s="106"/>
      <c r="L195" s="110"/>
    </row>
    <row r="196" spans="1:12" ht="18.75">
      <c r="A196" s="232"/>
      <c r="B196" s="113" t="s">
        <v>520</v>
      </c>
      <c r="C196" s="114" t="s">
        <v>1410</v>
      </c>
      <c r="D196" s="109">
        <f>+ROUND('Alimentazione CE Costi'!E90+'Alimentazione CE Costi'!E91+'Alimentazione CE Costi'!E92,2)</f>
        <v>1505710.97</v>
      </c>
      <c r="E196" s="109">
        <f>+ROUND('Alimentazione CE Costi'!F90+'Alimentazione CE Costi'!F91+'Alimentazione CE Costi'!F92,2)</f>
        <v>1203100.8999999999</v>
      </c>
      <c r="F196" s="72"/>
      <c r="G196" s="245"/>
      <c r="H196" s="110"/>
      <c r="I196" s="109">
        <v>995710.97000000009</v>
      </c>
      <c r="J196" s="106"/>
      <c r="L196" s="110"/>
    </row>
    <row r="197" spans="1:12" ht="18.75">
      <c r="A197" s="232"/>
      <c r="B197" s="113" t="s">
        <v>524</v>
      </c>
      <c r="C197" s="114" t="s">
        <v>1411</v>
      </c>
      <c r="D197" s="109">
        <f>+ROUND('Alimentazione CE Costi'!E94+'Alimentazione CE Costi'!E95,2)</f>
        <v>151868.20000000001</v>
      </c>
      <c r="E197" s="109">
        <f>+ROUND('Alimentazione CE Costi'!F94+'Alimentazione CE Costi'!F95,2)</f>
        <v>106838.61</v>
      </c>
      <c r="F197" s="72"/>
      <c r="G197" s="245"/>
      <c r="H197" s="110"/>
      <c r="I197" s="109">
        <v>0</v>
      </c>
      <c r="J197" s="106"/>
      <c r="L197" s="110"/>
    </row>
    <row r="198" spans="1:12" ht="25.5">
      <c r="A198" s="232" t="s">
        <v>1248</v>
      </c>
      <c r="B198" s="113" t="s">
        <v>525</v>
      </c>
      <c r="C198" s="114" t="s">
        <v>1412</v>
      </c>
      <c r="D198" s="109">
        <f>+ROUND('Alimentazione CE Costi'!E97+'Alimentazione CE Costi'!E98+'Alimentazione CE Costi'!E99+'Alimentazione CE Costi'!E100+'Alimentazione CE Costi'!E101+'Alimentazione CE Costi'!E102,2)</f>
        <v>1854343.86</v>
      </c>
      <c r="E198" s="109">
        <f>+ROUND('Alimentazione CE Costi'!F97+'Alimentazione CE Costi'!F98+'Alimentazione CE Costi'!F99+'Alimentazione CE Costi'!F100+'Alimentazione CE Costi'!F101+'Alimentazione CE Costi'!F102,2)</f>
        <v>2827775.72</v>
      </c>
      <c r="F198" s="72"/>
      <c r="G198" s="245"/>
      <c r="H198" s="110"/>
      <c r="I198" s="109">
        <v>1053149.6400000001</v>
      </c>
      <c r="J198" s="106"/>
      <c r="L198" s="110"/>
    </row>
    <row r="199" spans="1:12" ht="18.75">
      <c r="A199" s="232"/>
      <c r="B199" s="143" t="s">
        <v>526</v>
      </c>
      <c r="C199" s="144" t="s">
        <v>1413</v>
      </c>
      <c r="D199" s="145">
        <f t="shared" ref="D199" si="42">+D200+D330</f>
        <v>406856535.53000003</v>
      </c>
      <c r="E199" s="145">
        <f t="shared" ref="E199" si="43">+E200+E330</f>
        <v>408562482.02000004</v>
      </c>
      <c r="F199" s="72" t="s">
        <v>1835</v>
      </c>
      <c r="G199" s="245"/>
      <c r="H199" s="110"/>
      <c r="I199" s="145">
        <v>61468191.842299998</v>
      </c>
      <c r="J199" s="106"/>
      <c r="L199" s="110"/>
    </row>
    <row r="200" spans="1:12" ht="18.75">
      <c r="A200" s="232"/>
      <c r="B200" s="138" t="s">
        <v>527</v>
      </c>
      <c r="C200" s="139" t="s">
        <v>1414</v>
      </c>
      <c r="D200" s="137">
        <f t="shared" ref="D200" si="44">+D201+D209+D213+D232+D238+D243+D248+D258+D264+D271+D277+D282+D291+D299+D307+D321+D329</f>
        <v>324074774.53000003</v>
      </c>
      <c r="E200" s="137">
        <f t="shared" ref="E200" si="45">+E201+E209+E213+E232+E238+E243+E248+E258+E264+E271+E277+E282+E291+E299+E307+E321+E329</f>
        <v>313518066.38000005</v>
      </c>
      <c r="F200" s="72" t="s">
        <v>1835</v>
      </c>
      <c r="G200" s="245"/>
      <c r="H200" s="110"/>
      <c r="I200" s="137">
        <v>12798064.467499997</v>
      </c>
      <c r="J200" s="106"/>
      <c r="L200" s="110"/>
    </row>
    <row r="201" spans="1:12" ht="25.5">
      <c r="A201" s="232"/>
      <c r="B201" s="163" t="s">
        <v>528</v>
      </c>
      <c r="C201" s="164" t="s">
        <v>1415</v>
      </c>
      <c r="D201" s="151">
        <f t="shared" ref="D201" si="46">+D202+D207+D208</f>
        <v>40949432.530000001</v>
      </c>
      <c r="E201" s="151">
        <f t="shared" ref="E201" si="47">+E202+E207+E208</f>
        <v>40917904.370000005</v>
      </c>
      <c r="F201" s="72" t="s">
        <v>1835</v>
      </c>
      <c r="G201" s="245"/>
      <c r="H201" s="110"/>
      <c r="I201" s="151">
        <v>0</v>
      </c>
      <c r="J201" s="106"/>
      <c r="L201" s="110"/>
    </row>
    <row r="202" spans="1:12" ht="18.75">
      <c r="A202" s="232"/>
      <c r="B202" s="155" t="s">
        <v>529</v>
      </c>
      <c r="C202" s="156" t="s">
        <v>1416</v>
      </c>
      <c r="D202" s="154">
        <f t="shared" ref="D202" si="48">SUM(D203:D206)</f>
        <v>40792194.380000003</v>
      </c>
      <c r="E202" s="154">
        <f t="shared" ref="E202" si="49">SUM(E203:E206)</f>
        <v>40797626.220000006</v>
      </c>
      <c r="F202" s="72" t="s">
        <v>1835</v>
      </c>
      <c r="G202" s="245"/>
      <c r="H202" s="110"/>
      <c r="I202" s="154">
        <v>0</v>
      </c>
      <c r="J202" s="106"/>
      <c r="L202" s="110"/>
    </row>
    <row r="203" spans="1:12" ht="18.75">
      <c r="A203" s="232"/>
      <c r="B203" s="113" t="s">
        <v>530</v>
      </c>
      <c r="C203" s="114" t="s">
        <v>1417</v>
      </c>
      <c r="D203" s="109">
        <f>+ROUND(SUM('Alimentazione CE Costi'!E108:E118),2)</f>
        <v>31198462.52</v>
      </c>
      <c r="E203" s="109">
        <f>+ROUND(SUM('Alimentazione CE Costi'!F108:F118),2)</f>
        <v>31722451.039999999</v>
      </c>
      <c r="F203" s="72"/>
      <c r="G203" s="245"/>
      <c r="H203" s="110"/>
      <c r="I203" s="109"/>
      <c r="J203" s="106"/>
      <c r="L203" s="110"/>
    </row>
    <row r="204" spans="1:12" ht="18.75">
      <c r="A204" s="232"/>
      <c r="B204" s="113" t="s">
        <v>531</v>
      </c>
      <c r="C204" s="114" t="s">
        <v>1418</v>
      </c>
      <c r="D204" s="109">
        <f>+ROUND(SUM('Alimentazione CE Costi'!E120:E130),2)</f>
        <v>5322189.3</v>
      </c>
      <c r="E204" s="109">
        <f>+ROUND(SUM('Alimentazione CE Costi'!F120:F130),2)</f>
        <v>5207330.3099999996</v>
      </c>
      <c r="F204" s="72"/>
      <c r="G204" s="245"/>
      <c r="H204" s="110"/>
      <c r="I204" s="109"/>
      <c r="J204" s="106"/>
      <c r="L204" s="110"/>
    </row>
    <row r="205" spans="1:12" ht="18.75">
      <c r="A205" s="232"/>
      <c r="B205" s="113" t="s">
        <v>532</v>
      </c>
      <c r="C205" s="114" t="s">
        <v>1419</v>
      </c>
      <c r="D205" s="109">
        <f>+ROUND(SUM('Alimentazione CE Costi'!E132:E145),2)</f>
        <v>3719054.92</v>
      </c>
      <c r="E205" s="109">
        <f>+ROUND(SUM('Alimentazione CE Costi'!F132:F145),2)</f>
        <v>3327996.92</v>
      </c>
      <c r="F205" s="72"/>
      <c r="G205" s="245"/>
      <c r="H205" s="110"/>
      <c r="I205" s="109"/>
      <c r="J205" s="106"/>
      <c r="L205" s="110"/>
    </row>
    <row r="206" spans="1:12" ht="25.5">
      <c r="A206" s="232"/>
      <c r="B206" s="113" t="s">
        <v>546</v>
      </c>
      <c r="C206" s="114" t="s">
        <v>1420</v>
      </c>
      <c r="D206" s="109">
        <f>+ROUND(SUM('Alimentazione CE Costi'!E147:E154),2)</f>
        <v>552487.64</v>
      </c>
      <c r="E206" s="109">
        <f>+ROUND(SUM('Alimentazione CE Costi'!F147:F154),2)</f>
        <v>539847.94999999995</v>
      </c>
      <c r="F206" s="72"/>
      <c r="G206" s="245"/>
      <c r="H206" s="110"/>
      <c r="I206" s="109"/>
      <c r="J206" s="106"/>
      <c r="L206" s="110"/>
    </row>
    <row r="207" spans="1:12" ht="25.5">
      <c r="A207" s="232" t="s">
        <v>1248</v>
      </c>
      <c r="B207" s="113" t="s">
        <v>548</v>
      </c>
      <c r="C207" s="114" t="s">
        <v>1421</v>
      </c>
      <c r="D207" s="109">
        <f>+ROUND('Alimentazione CE Costi'!E156,2)</f>
        <v>0</v>
      </c>
      <c r="E207" s="109">
        <f>+ROUND('Alimentazione CE Costi'!F156,2)</f>
        <v>0</v>
      </c>
      <c r="F207" s="72"/>
      <c r="G207" s="245"/>
      <c r="H207" s="110"/>
      <c r="I207" s="109"/>
      <c r="J207" s="106"/>
      <c r="L207" s="110"/>
    </row>
    <row r="208" spans="1:12" ht="25.5">
      <c r="A208" s="232" t="s">
        <v>1293</v>
      </c>
      <c r="B208" s="113" t="s">
        <v>549</v>
      </c>
      <c r="C208" s="114" t="s">
        <v>1422</v>
      </c>
      <c r="D208" s="109">
        <f>+ROUND('Alimentazione CE Costi'!E158,2)</f>
        <v>157238.15</v>
      </c>
      <c r="E208" s="109">
        <f>+ROUND('Alimentazione CE Costi'!F158,2)</f>
        <v>120278.15</v>
      </c>
      <c r="F208" s="72"/>
      <c r="G208" s="245"/>
      <c r="H208" s="110"/>
      <c r="I208" s="109"/>
      <c r="J208" s="106"/>
      <c r="L208" s="110"/>
    </row>
    <row r="209" spans="1:12" ht="18.75">
      <c r="A209" s="232"/>
      <c r="B209" s="163" t="s">
        <v>550</v>
      </c>
      <c r="C209" s="164" t="s">
        <v>1423</v>
      </c>
      <c r="D209" s="151">
        <f t="shared" ref="D209" si="50">+D210+D211+D212</f>
        <v>48879669.399999999</v>
      </c>
      <c r="E209" s="151">
        <f t="shared" ref="E209" si="51">+E210+E211+E212</f>
        <v>48857822.379999995</v>
      </c>
      <c r="F209" s="72" t="s">
        <v>1835</v>
      </c>
      <c r="G209" s="245"/>
      <c r="H209" s="110"/>
      <c r="I209" s="151">
        <v>0</v>
      </c>
      <c r="J209" s="106"/>
      <c r="L209" s="110"/>
    </row>
    <row r="210" spans="1:12" ht="18.75">
      <c r="A210" s="232"/>
      <c r="B210" s="113" t="s">
        <v>551</v>
      </c>
      <c r="C210" s="114" t="s">
        <v>1424</v>
      </c>
      <c r="D210" s="109">
        <f>+ROUND('Alimentazione CE Costi'!E161+'Alimentazione CE Costi'!E162,2)</f>
        <v>48704216.409999996</v>
      </c>
      <c r="E210" s="109">
        <f>+ROUND('Alimentazione CE Costi'!F161+'Alimentazione CE Costi'!F162,2)</f>
        <v>48687070.899999999</v>
      </c>
      <c r="F210" s="72"/>
      <c r="G210" s="245"/>
      <c r="H210" s="110"/>
      <c r="I210" s="109"/>
      <c r="J210" s="106"/>
      <c r="L210" s="110"/>
    </row>
    <row r="211" spans="1:12" ht="25.5">
      <c r="A211" s="232" t="s">
        <v>1248</v>
      </c>
      <c r="B211" s="113" t="s">
        <v>554</v>
      </c>
      <c r="C211" s="114" t="s">
        <v>1425</v>
      </c>
      <c r="D211" s="109">
        <f>+ROUND('Alimentazione CE Costi'!E164,2)</f>
        <v>0</v>
      </c>
      <c r="E211" s="109">
        <f>+ROUND('Alimentazione CE Costi'!F164,2)</f>
        <v>0</v>
      </c>
      <c r="F211" s="72"/>
      <c r="G211" s="245"/>
      <c r="H211" s="110"/>
      <c r="I211" s="109">
        <v>0</v>
      </c>
      <c r="J211" s="106"/>
      <c r="L211" s="110"/>
    </row>
    <row r="212" spans="1:12" ht="18.75">
      <c r="A212" s="234" t="s">
        <v>1293</v>
      </c>
      <c r="B212" s="113" t="s">
        <v>555</v>
      </c>
      <c r="C212" s="114" t="s">
        <v>1426</v>
      </c>
      <c r="D212" s="109">
        <f>+ROUND('Alimentazione CE Costi'!E166,2)</f>
        <v>175452.99</v>
      </c>
      <c r="E212" s="109">
        <f>+ROUND('Alimentazione CE Costi'!F166,2)</f>
        <v>170751.48</v>
      </c>
      <c r="F212" s="356"/>
      <c r="G212" s="245"/>
      <c r="H212" s="110"/>
      <c r="I212" s="109">
        <v>0</v>
      </c>
      <c r="J212" s="106"/>
      <c r="L212" s="110"/>
    </row>
    <row r="213" spans="1:12" ht="25.5">
      <c r="A213" s="234"/>
      <c r="B213" s="163" t="s">
        <v>556</v>
      </c>
      <c r="C213" s="164" t="s">
        <v>1427</v>
      </c>
      <c r="D213" s="151">
        <f t="shared" ref="D213" si="52">+D214+D215+D216+D217+D218+D219+D220+D221+D230+D231</f>
        <v>41292460.25</v>
      </c>
      <c r="E213" s="151">
        <f t="shared" ref="E213" si="53">+E214+E215+E216+E217+E218+E219+E220+E221+E230+E231</f>
        <v>39154947.989999995</v>
      </c>
      <c r="F213" s="72" t="s">
        <v>1835</v>
      </c>
      <c r="G213" s="245"/>
      <c r="H213" s="110"/>
      <c r="I213" s="151">
        <v>0</v>
      </c>
      <c r="J213" s="106"/>
      <c r="L213" s="110"/>
    </row>
    <row r="214" spans="1:12" ht="25.5">
      <c r="A214" s="238" t="s">
        <v>1248</v>
      </c>
      <c r="B214" s="113" t="s">
        <v>557</v>
      </c>
      <c r="C214" s="114" t="s">
        <v>1428</v>
      </c>
      <c r="D214" s="109">
        <f>+ROUND('Alimentazione CE Costi'!E169+'Alimentazione CE Costi'!E170,2)</f>
        <v>11405277.43</v>
      </c>
      <c r="E214" s="109">
        <f>+ROUND('Alimentazione CE Costi'!F169+'Alimentazione CE Costi'!F170,2)</f>
        <v>11578054.310000001</v>
      </c>
      <c r="F214" s="356"/>
      <c r="G214" s="245"/>
      <c r="H214" s="110"/>
      <c r="I214" s="109"/>
      <c r="J214" s="106"/>
      <c r="L214" s="110"/>
    </row>
    <row r="215" spans="1:12" ht="38.25">
      <c r="A215" s="238" t="s">
        <v>1248</v>
      </c>
      <c r="B215" s="113" t="s">
        <v>561</v>
      </c>
      <c r="C215" s="114" t="s">
        <v>1429</v>
      </c>
      <c r="D215" s="109">
        <f>+ROUND('Alimentazione CE Costi'!E172,2)</f>
        <v>0</v>
      </c>
      <c r="E215" s="109">
        <f>+ROUND('Alimentazione CE Costi'!F172,2)</f>
        <v>0</v>
      </c>
      <c r="F215" s="356"/>
      <c r="G215" s="245"/>
      <c r="H215" s="110"/>
      <c r="I215" s="109">
        <v>0</v>
      </c>
      <c r="J215" s="106"/>
      <c r="L215" s="110"/>
    </row>
    <row r="216" spans="1:12" ht="18.75">
      <c r="A216" s="234"/>
      <c r="B216" s="113" t="s">
        <v>562</v>
      </c>
      <c r="C216" s="114" t="s">
        <v>1430</v>
      </c>
      <c r="D216" s="109">
        <f>+ROUND('Alimentazione CE Costi'!E174,2)</f>
        <v>0</v>
      </c>
      <c r="E216" s="109">
        <f>+ROUND('Alimentazione CE Costi'!F174,2)</f>
        <v>0</v>
      </c>
      <c r="F216" s="356"/>
      <c r="G216" s="245"/>
      <c r="H216" s="110"/>
      <c r="I216" s="109">
        <v>0</v>
      </c>
      <c r="J216" s="106"/>
      <c r="L216" s="110"/>
    </row>
    <row r="217" spans="1:12" ht="25.5">
      <c r="A217" s="234"/>
      <c r="B217" s="113" t="s">
        <v>564</v>
      </c>
      <c r="C217" s="114" t="s">
        <v>1431</v>
      </c>
      <c r="D217" s="109">
        <f>+ROUND('Alimentazione CE Costi'!E176,2)</f>
        <v>0</v>
      </c>
      <c r="E217" s="109">
        <f>+ROUND('Alimentazione CE Costi'!F176,2)</f>
        <v>0</v>
      </c>
      <c r="F217" s="356"/>
      <c r="G217" s="245"/>
      <c r="H217" s="110"/>
      <c r="I217" s="109">
        <v>0</v>
      </c>
      <c r="J217" s="106"/>
      <c r="L217" s="110"/>
    </row>
    <row r="218" spans="1:12" ht="18.75">
      <c r="A218" s="234" t="s">
        <v>1293</v>
      </c>
      <c r="B218" s="113" t="s">
        <v>565</v>
      </c>
      <c r="C218" s="114" t="s">
        <v>1432</v>
      </c>
      <c r="D218" s="109">
        <f>+ROUND('Alimentazione CE Costi'!E178,2)</f>
        <v>5170591.87</v>
      </c>
      <c r="E218" s="109">
        <f>+ROUND('Alimentazione CE Costi'!F178,2)</f>
        <v>3988383.87</v>
      </c>
      <c r="F218" s="356"/>
      <c r="G218" s="245"/>
      <c r="H218" s="110"/>
      <c r="I218" s="109">
        <v>0</v>
      </c>
      <c r="J218" s="106"/>
      <c r="L218" s="110"/>
    </row>
    <row r="219" spans="1:12" ht="25.5">
      <c r="A219" s="234" t="s">
        <v>1293</v>
      </c>
      <c r="B219" s="113" t="s">
        <v>569</v>
      </c>
      <c r="C219" s="114" t="s">
        <v>1433</v>
      </c>
      <c r="D219" s="109">
        <f>+ROUND('Alimentazione CE Costi'!E180,2)</f>
        <v>0</v>
      </c>
      <c r="E219" s="109">
        <f>+ROUND('Alimentazione CE Costi'!F180,2)</f>
        <v>0</v>
      </c>
      <c r="F219" s="356"/>
      <c r="G219" s="245"/>
      <c r="H219" s="110"/>
      <c r="I219" s="109">
        <v>0</v>
      </c>
      <c r="J219" s="106"/>
      <c r="L219" s="110"/>
    </row>
    <row r="220" spans="1:12" ht="18.75">
      <c r="A220" s="234"/>
      <c r="B220" s="113" t="s">
        <v>570</v>
      </c>
      <c r="C220" s="114" t="s">
        <v>1434</v>
      </c>
      <c r="D220" s="109">
        <f>+ROUND('Alimentazione CE Costi'!E182+'Alimentazione CE Costi'!E183+'Alimentazione CE Costi'!E184+'Alimentazione CE Costi'!E185+'Alimentazione CE Costi'!E186+'Alimentazione CE Costi'!E187+'Alimentazione CE Costi'!E188,2)</f>
        <v>2179627.12</v>
      </c>
      <c r="E220" s="109">
        <f>+ROUND('Alimentazione CE Costi'!F182+'Alimentazione CE Costi'!F183+'Alimentazione CE Costi'!F184+'Alimentazione CE Costi'!F185+'Alimentazione CE Costi'!F186+'Alimentazione CE Costi'!F187+'Alimentazione CE Costi'!F188,2)</f>
        <v>2509966.84</v>
      </c>
      <c r="F220" s="356"/>
      <c r="G220" s="245"/>
      <c r="H220" s="110"/>
      <c r="I220" s="109">
        <v>0</v>
      </c>
      <c r="J220" s="106"/>
      <c r="L220" s="110"/>
    </row>
    <row r="221" spans="1:12" ht="18.75">
      <c r="A221" s="234"/>
      <c r="B221" s="155" t="s">
        <v>571</v>
      </c>
      <c r="C221" s="156" t="s">
        <v>1435</v>
      </c>
      <c r="D221" s="154">
        <f t="shared" ref="D221" si="54">SUM(D222:D229)</f>
        <v>22426785.32</v>
      </c>
      <c r="E221" s="154">
        <f t="shared" ref="E221" si="55">SUM(E222:E229)</f>
        <v>20964744.75</v>
      </c>
      <c r="F221" s="72" t="s">
        <v>1835</v>
      </c>
      <c r="G221" s="245"/>
      <c r="H221" s="110"/>
      <c r="I221" s="154">
        <v>0</v>
      </c>
      <c r="J221" s="106"/>
      <c r="L221" s="110"/>
    </row>
    <row r="222" spans="1:12" ht="25.5">
      <c r="A222" s="234"/>
      <c r="B222" s="115" t="s">
        <v>573</v>
      </c>
      <c r="C222" s="116" t="s">
        <v>1436</v>
      </c>
      <c r="D222" s="109">
        <f>+ROUND('Alimentazione CE Costi'!E191,2)</f>
        <v>0</v>
      </c>
      <c r="E222" s="109">
        <f>+ROUND('Alimentazione CE Costi'!F191,2)</f>
        <v>0</v>
      </c>
      <c r="F222" s="356"/>
      <c r="G222" s="245"/>
      <c r="H222" s="110"/>
      <c r="I222" s="109">
        <v>0</v>
      </c>
      <c r="J222" s="106"/>
      <c r="L222" s="110"/>
    </row>
    <row r="223" spans="1:12" ht="38.25">
      <c r="A223" s="234"/>
      <c r="B223" s="115" t="s">
        <v>574</v>
      </c>
      <c r="C223" s="116" t="s">
        <v>1437</v>
      </c>
      <c r="D223" s="109">
        <f>+ROUND('Alimentazione CE Costi'!E193,2)</f>
        <v>0</v>
      </c>
      <c r="E223" s="109">
        <f>+ROUND('Alimentazione CE Costi'!F193,2)</f>
        <v>0</v>
      </c>
      <c r="F223" s="356"/>
      <c r="G223" s="245"/>
      <c r="H223" s="110"/>
      <c r="I223" s="109">
        <v>0</v>
      </c>
      <c r="J223" s="106"/>
      <c r="L223" s="110"/>
    </row>
    <row r="224" spans="1:12" ht="25.5">
      <c r="A224" s="234"/>
      <c r="B224" s="115" t="s">
        <v>576</v>
      </c>
      <c r="C224" s="116" t="s">
        <v>1438</v>
      </c>
      <c r="D224" s="109">
        <f>+ROUND('Alimentazione CE Costi'!E195,2)</f>
        <v>0</v>
      </c>
      <c r="E224" s="109">
        <f>+ROUND('Alimentazione CE Costi'!F195,2)</f>
        <v>0</v>
      </c>
      <c r="F224" s="356"/>
      <c r="G224" s="245"/>
      <c r="H224" s="110"/>
      <c r="I224" s="109">
        <v>0</v>
      </c>
      <c r="J224" s="106"/>
      <c r="L224" s="110"/>
    </row>
    <row r="225" spans="1:12" ht="38.25">
      <c r="A225" s="234"/>
      <c r="B225" s="115" t="s">
        <v>578</v>
      </c>
      <c r="C225" s="116" t="s">
        <v>1439</v>
      </c>
      <c r="D225" s="109">
        <f>+ROUND('Alimentazione CE Costi'!E197,2)</f>
        <v>0</v>
      </c>
      <c r="E225" s="109">
        <f>+ROUND('Alimentazione CE Costi'!F197,2)</f>
        <v>0</v>
      </c>
      <c r="F225" s="356"/>
      <c r="G225" s="245"/>
      <c r="H225" s="110"/>
      <c r="I225" s="109"/>
      <c r="J225" s="106"/>
      <c r="L225" s="110"/>
    </row>
    <row r="226" spans="1:12" ht="25.5">
      <c r="A226" s="234"/>
      <c r="B226" s="115" t="s">
        <v>580</v>
      </c>
      <c r="C226" s="116" t="s">
        <v>1440</v>
      </c>
      <c r="D226" s="109">
        <f>+ROUND('Alimentazione CE Costi'!E199,2)</f>
        <v>16860661.030000001</v>
      </c>
      <c r="E226" s="109">
        <f>+ROUND('Alimentazione CE Costi'!F199,2)</f>
        <v>15293091.1</v>
      </c>
      <c r="F226" s="356"/>
      <c r="G226" s="245"/>
      <c r="H226" s="110"/>
      <c r="I226" s="109"/>
      <c r="J226" s="106"/>
      <c r="L226" s="110"/>
    </row>
    <row r="227" spans="1:12" ht="25.5">
      <c r="A227" s="234"/>
      <c r="B227" s="115" t="s">
        <v>582</v>
      </c>
      <c r="C227" s="116" t="s">
        <v>1441</v>
      </c>
      <c r="D227" s="109">
        <f>+ROUND('Alimentazione CE Costi'!E201,2)</f>
        <v>0</v>
      </c>
      <c r="E227" s="109">
        <f>+ROUND('Alimentazione CE Costi'!F201,2)</f>
        <v>0</v>
      </c>
      <c r="F227" s="356"/>
      <c r="G227" s="245"/>
      <c r="H227" s="110"/>
      <c r="I227" s="109"/>
      <c r="J227" s="106"/>
      <c r="L227" s="110"/>
    </row>
    <row r="228" spans="1:12" ht="25.5">
      <c r="A228" s="234"/>
      <c r="B228" s="115" t="s">
        <v>584</v>
      </c>
      <c r="C228" s="116" t="s">
        <v>1442</v>
      </c>
      <c r="D228" s="109">
        <f>+ROUND('Alimentazione CE Costi'!E203,2)</f>
        <v>5566124.29</v>
      </c>
      <c r="E228" s="109">
        <f>+ROUND('Alimentazione CE Costi'!F203,2)</f>
        <v>5671653.6500000004</v>
      </c>
      <c r="F228" s="356"/>
      <c r="G228" s="245"/>
      <c r="H228" s="110"/>
      <c r="I228" s="109"/>
      <c r="J228" s="106"/>
      <c r="L228" s="110"/>
    </row>
    <row r="229" spans="1:12" ht="25.5">
      <c r="A229" s="234"/>
      <c r="B229" s="115" t="s">
        <v>586</v>
      </c>
      <c r="C229" s="116" t="s">
        <v>1443</v>
      </c>
      <c r="D229" s="109">
        <f>+ROUND('Alimentazione CE Costi'!E205,2)</f>
        <v>0</v>
      </c>
      <c r="E229" s="109">
        <f>+ROUND('Alimentazione CE Costi'!F205,2)</f>
        <v>0</v>
      </c>
      <c r="F229" s="356"/>
      <c r="G229" s="245"/>
      <c r="H229" s="110"/>
      <c r="I229" s="109"/>
      <c r="J229" s="106"/>
      <c r="L229" s="110"/>
    </row>
    <row r="230" spans="1:12" ht="25.5">
      <c r="A230" s="234"/>
      <c r="B230" s="113" t="s">
        <v>587</v>
      </c>
      <c r="C230" s="114" t="s">
        <v>1444</v>
      </c>
      <c r="D230" s="109">
        <f>+ROUND('Alimentazione CE Costi'!E207,2)</f>
        <v>110178.51</v>
      </c>
      <c r="E230" s="109">
        <f>+ROUND('Alimentazione CE Costi'!F207,2)</f>
        <v>113798.22</v>
      </c>
      <c r="F230" s="356"/>
      <c r="G230" s="245"/>
      <c r="H230" s="110"/>
      <c r="I230" s="109"/>
      <c r="J230" s="106"/>
      <c r="L230" s="110"/>
    </row>
    <row r="231" spans="1:12" ht="51">
      <c r="A231" s="234"/>
      <c r="B231" s="115" t="s">
        <v>589</v>
      </c>
      <c r="C231" s="116" t="s">
        <v>1445</v>
      </c>
      <c r="D231" s="109">
        <f>+ROUND('Alimentazione CE Costi'!E209,2)</f>
        <v>0</v>
      </c>
      <c r="E231" s="109">
        <f>+ROUND('Alimentazione CE Costi'!F209,2)</f>
        <v>0</v>
      </c>
      <c r="F231" s="356"/>
      <c r="G231" s="245"/>
      <c r="H231" s="110"/>
      <c r="I231" s="109"/>
      <c r="J231" s="106"/>
      <c r="L231" s="110"/>
    </row>
    <row r="232" spans="1:12" ht="25.5">
      <c r="A232" s="232"/>
      <c r="B232" s="163" t="s">
        <v>590</v>
      </c>
      <c r="C232" s="164" t="s">
        <v>1446</v>
      </c>
      <c r="D232" s="151">
        <f t="shared" ref="D232" si="56">SUM(D233:D237)</f>
        <v>1803468.74</v>
      </c>
      <c r="E232" s="151">
        <f t="shared" ref="E232" si="57">SUM(E233:E237)</f>
        <v>1573455.94</v>
      </c>
      <c r="F232" s="72" t="s">
        <v>1835</v>
      </c>
      <c r="G232" s="245"/>
      <c r="H232" s="110"/>
      <c r="I232" s="151">
        <v>0</v>
      </c>
      <c r="J232" s="106"/>
      <c r="L232" s="110"/>
    </row>
    <row r="233" spans="1:12" ht="25.5">
      <c r="A233" s="232" t="s">
        <v>1248</v>
      </c>
      <c r="B233" s="113" t="s">
        <v>591</v>
      </c>
      <c r="C233" s="114" t="s">
        <v>1447</v>
      </c>
      <c r="D233" s="109">
        <f>+ROUND('Alimentazione CE Costi'!E212,2)</f>
        <v>0</v>
      </c>
      <c r="E233" s="109">
        <f>+ROUND('Alimentazione CE Costi'!F212,2)</f>
        <v>0</v>
      </c>
      <c r="F233" s="72"/>
      <c r="G233" s="245"/>
      <c r="H233" s="110"/>
      <c r="I233" s="109">
        <v>0</v>
      </c>
      <c r="J233" s="106"/>
      <c r="L233" s="110"/>
    </row>
    <row r="234" spans="1:12" ht="18.75">
      <c r="A234" s="236"/>
      <c r="B234" s="113" t="s">
        <v>592</v>
      </c>
      <c r="C234" s="114" t="s">
        <v>1448</v>
      </c>
      <c r="D234" s="109">
        <f>+ROUND('Alimentazione CE Costi'!E214,2)</f>
        <v>0</v>
      </c>
      <c r="E234" s="109">
        <f>+ROUND('Alimentazione CE Costi'!F214,2)</f>
        <v>0</v>
      </c>
      <c r="F234" s="72"/>
      <c r="G234" s="245"/>
      <c r="H234" s="110"/>
      <c r="I234" s="109">
        <v>0</v>
      </c>
      <c r="J234" s="106"/>
      <c r="L234" s="110"/>
    </row>
    <row r="235" spans="1:12" ht="25.5">
      <c r="A235" s="236" t="s">
        <v>1297</v>
      </c>
      <c r="B235" s="113" t="s">
        <v>593</v>
      </c>
      <c r="C235" s="114" t="s">
        <v>1449</v>
      </c>
      <c r="D235" s="109">
        <f>+ROUND('Alimentazione CE Costi'!E216,2)</f>
        <v>0</v>
      </c>
      <c r="E235" s="109">
        <f>+ROUND('Alimentazione CE Costi'!F216,2)</f>
        <v>0</v>
      </c>
      <c r="F235" s="72"/>
      <c r="G235" s="245"/>
      <c r="H235" s="110"/>
      <c r="I235" s="109">
        <v>0</v>
      </c>
      <c r="J235" s="106"/>
      <c r="L235" s="110"/>
    </row>
    <row r="236" spans="1:12" ht="18.75">
      <c r="A236" s="236"/>
      <c r="B236" s="113" t="s">
        <v>594</v>
      </c>
      <c r="C236" s="114" t="s">
        <v>1450</v>
      </c>
      <c r="D236" s="109">
        <f>+ROUND('Alimentazione CE Costi'!E218+'Alimentazione CE Costi'!E219,2)</f>
        <v>1775278.0800000001</v>
      </c>
      <c r="E236" s="109">
        <f>+ROUND('Alimentazione CE Costi'!F218+'Alimentazione CE Costi'!F219,2)</f>
        <v>1520589.7</v>
      </c>
      <c r="F236" s="72"/>
      <c r="G236" s="245"/>
      <c r="H236" s="110"/>
      <c r="I236" s="109"/>
      <c r="J236" s="106"/>
      <c r="L236" s="110"/>
    </row>
    <row r="237" spans="1:12" ht="18.75">
      <c r="A237" s="236"/>
      <c r="B237" s="113" t="s">
        <v>595</v>
      </c>
      <c r="C237" s="114" t="s">
        <v>1451</v>
      </c>
      <c r="D237" s="109">
        <f>+ROUND('Alimentazione CE Costi'!E221+'Alimentazione CE Costi'!E222,2)</f>
        <v>28190.66</v>
      </c>
      <c r="E237" s="109">
        <f>+ROUND('Alimentazione CE Costi'!F221+'Alimentazione CE Costi'!F222,2)</f>
        <v>52866.239999999998</v>
      </c>
      <c r="F237" s="72"/>
      <c r="G237" s="245"/>
      <c r="H237" s="110"/>
      <c r="I237" s="109">
        <v>0</v>
      </c>
      <c r="J237" s="106"/>
      <c r="L237" s="110"/>
    </row>
    <row r="238" spans="1:12" ht="25.5">
      <c r="A238" s="232"/>
      <c r="B238" s="163" t="s">
        <v>596</v>
      </c>
      <c r="C238" s="164" t="s">
        <v>1452</v>
      </c>
      <c r="D238" s="151">
        <f t="shared" ref="D238" si="58">SUM(D239:D242)</f>
        <v>9363749.2200000007</v>
      </c>
      <c r="E238" s="151">
        <f t="shared" ref="E238" si="59">SUM(E239:E242)</f>
        <v>8984268.3499999996</v>
      </c>
      <c r="F238" s="72" t="s">
        <v>1835</v>
      </c>
      <c r="G238" s="245"/>
      <c r="H238" s="110"/>
      <c r="I238" s="151">
        <v>0</v>
      </c>
      <c r="J238" s="106"/>
      <c r="L238" s="110"/>
    </row>
    <row r="239" spans="1:12" ht="25.5">
      <c r="A239" s="232" t="s">
        <v>1248</v>
      </c>
      <c r="B239" s="113" t="s">
        <v>597</v>
      </c>
      <c r="C239" s="114" t="s">
        <v>1453</v>
      </c>
      <c r="D239" s="109">
        <f>+ROUND('Alimentazione CE Costi'!E225,2)</f>
        <v>0</v>
      </c>
      <c r="E239" s="109">
        <f>+ROUND('Alimentazione CE Costi'!F225,2)</f>
        <v>0</v>
      </c>
      <c r="F239" s="72"/>
      <c r="G239" s="245"/>
      <c r="H239" s="110"/>
      <c r="I239" s="109">
        <v>0</v>
      </c>
      <c r="J239" s="106"/>
      <c r="L239" s="110"/>
    </row>
    <row r="240" spans="1:12" ht="18.75">
      <c r="A240" s="232"/>
      <c r="B240" s="113" t="s">
        <v>598</v>
      </c>
      <c r="C240" s="114" t="s">
        <v>1454</v>
      </c>
      <c r="D240" s="109">
        <f>+ROUND('Alimentazione CE Costi'!E227,2)</f>
        <v>0</v>
      </c>
      <c r="E240" s="109">
        <f>+ROUND('Alimentazione CE Costi'!F227,2)</f>
        <v>0</v>
      </c>
      <c r="F240" s="72"/>
      <c r="G240" s="245"/>
      <c r="H240" s="110"/>
      <c r="I240" s="109">
        <v>0</v>
      </c>
      <c r="J240" s="106"/>
      <c r="L240" s="110"/>
    </row>
    <row r="241" spans="1:12" ht="18.75">
      <c r="A241" s="234" t="s">
        <v>1293</v>
      </c>
      <c r="B241" s="113" t="s">
        <v>599</v>
      </c>
      <c r="C241" s="114" t="s">
        <v>1455</v>
      </c>
      <c r="D241" s="109">
        <f>+ROUND('Alimentazione CE Costi'!E229,2)</f>
        <v>0</v>
      </c>
      <c r="E241" s="109">
        <f>+ROUND('Alimentazione CE Costi'!F229,2)</f>
        <v>0</v>
      </c>
      <c r="F241" s="356"/>
      <c r="G241" s="245"/>
      <c r="H241" s="110"/>
      <c r="I241" s="109">
        <v>0</v>
      </c>
      <c r="J241" s="106"/>
      <c r="L241" s="110"/>
    </row>
    <row r="242" spans="1:12" ht="18.75">
      <c r="A242" s="234"/>
      <c r="B242" s="113" t="s">
        <v>600</v>
      </c>
      <c r="C242" s="114" t="s">
        <v>1456</v>
      </c>
      <c r="D242" s="109">
        <f>+ROUND('Alimentazione CE Costi'!E231+'Alimentazione CE Costi'!E232+'Alimentazione CE Costi'!E233,2)</f>
        <v>9363749.2200000007</v>
      </c>
      <c r="E242" s="109">
        <f>+ROUND('Alimentazione CE Costi'!F231+'Alimentazione CE Costi'!F232+'Alimentazione CE Costi'!F233,2)</f>
        <v>8984268.3499999996</v>
      </c>
      <c r="F242" s="356"/>
      <c r="G242" s="245"/>
      <c r="H242" s="110"/>
      <c r="I242" s="109"/>
      <c r="J242" s="106"/>
      <c r="L242" s="110"/>
    </row>
    <row r="243" spans="1:12" ht="25.5">
      <c r="A243" s="234"/>
      <c r="B243" s="163" t="s">
        <v>1457</v>
      </c>
      <c r="C243" s="164" t="s">
        <v>1458</v>
      </c>
      <c r="D243" s="151">
        <f t="shared" ref="D243" si="60">SUM(D244:D247)</f>
        <v>3265591.66</v>
      </c>
      <c r="E243" s="151">
        <f t="shared" ref="E243" si="61">SUM(E244:E247)</f>
        <v>4660061.04</v>
      </c>
      <c r="F243" s="72" t="s">
        <v>1835</v>
      </c>
      <c r="G243" s="245"/>
      <c r="H243" s="110"/>
      <c r="I243" s="151">
        <v>0</v>
      </c>
      <c r="J243" s="106"/>
      <c r="L243" s="110"/>
    </row>
    <row r="244" spans="1:12" ht="25.5">
      <c r="A244" s="234" t="s">
        <v>1248</v>
      </c>
      <c r="B244" s="113" t="s">
        <v>605</v>
      </c>
      <c r="C244" s="114" t="s">
        <v>1459</v>
      </c>
      <c r="D244" s="109">
        <f>+ROUND('Alimentazione CE Costi'!E236,2)</f>
        <v>0</v>
      </c>
      <c r="E244" s="109">
        <f>+ROUND('Alimentazione CE Costi'!F236,2)</f>
        <v>0</v>
      </c>
      <c r="F244" s="356"/>
      <c r="G244" s="245"/>
      <c r="H244" s="110"/>
      <c r="I244" s="109">
        <v>0</v>
      </c>
      <c r="J244" s="106"/>
      <c r="L244" s="110"/>
    </row>
    <row r="245" spans="1:12" ht="18.75">
      <c r="A245" s="234"/>
      <c r="B245" s="113" t="s">
        <v>606</v>
      </c>
      <c r="C245" s="114" t="s">
        <v>1460</v>
      </c>
      <c r="D245" s="109">
        <f>+ROUND('Alimentazione CE Costi'!E238,2)</f>
        <v>0</v>
      </c>
      <c r="E245" s="109">
        <f>+ROUND('Alimentazione CE Costi'!F238,2)</f>
        <v>0</v>
      </c>
      <c r="F245" s="356"/>
      <c r="G245" s="245"/>
      <c r="H245" s="110"/>
      <c r="I245" s="109">
        <v>0</v>
      </c>
      <c r="J245" s="106"/>
      <c r="L245" s="110"/>
    </row>
    <row r="246" spans="1:12" ht="18.75">
      <c r="A246" s="234" t="s">
        <v>1293</v>
      </c>
      <c r="B246" s="113" t="s">
        <v>607</v>
      </c>
      <c r="C246" s="114" t="s">
        <v>1461</v>
      </c>
      <c r="D246" s="109">
        <f>+ROUND('Alimentazione CE Costi'!E240,2)</f>
        <v>0</v>
      </c>
      <c r="E246" s="109">
        <f>+ROUND('Alimentazione CE Costi'!F240,2)</f>
        <v>0</v>
      </c>
      <c r="F246" s="356"/>
      <c r="G246" s="245"/>
      <c r="H246" s="110"/>
      <c r="I246" s="109">
        <v>0</v>
      </c>
      <c r="J246" s="106"/>
      <c r="L246" s="110"/>
    </row>
    <row r="247" spans="1:12" ht="18.75">
      <c r="A247" s="234"/>
      <c r="B247" s="113" t="s">
        <v>608</v>
      </c>
      <c r="C247" s="114" t="s">
        <v>1462</v>
      </c>
      <c r="D247" s="109">
        <f>+ROUND('Alimentazione CE Costi'!E242+'Alimentazione CE Costi'!E243,2)</f>
        <v>3265591.66</v>
      </c>
      <c r="E247" s="109">
        <f>+ROUND('Alimentazione CE Costi'!F242+'Alimentazione CE Costi'!F243,2)</f>
        <v>4660061.04</v>
      </c>
      <c r="F247" s="356"/>
      <c r="G247" s="245"/>
      <c r="H247" s="110"/>
      <c r="I247" s="109"/>
      <c r="J247" s="106"/>
      <c r="L247" s="110"/>
    </row>
    <row r="248" spans="1:12" ht="25.5">
      <c r="A248" s="234"/>
      <c r="B248" s="163" t="s">
        <v>611</v>
      </c>
      <c r="C248" s="164" t="s">
        <v>1463</v>
      </c>
      <c r="D248" s="151">
        <f t="shared" ref="D248" si="62">SUM(D249:D252,D257)</f>
        <v>66941676.630000003</v>
      </c>
      <c r="E248" s="151">
        <f t="shared" ref="E248" si="63">SUM(E249:E252,E257)</f>
        <v>68340648.399999991</v>
      </c>
      <c r="F248" s="72" t="s">
        <v>1835</v>
      </c>
      <c r="G248" s="245"/>
      <c r="H248" s="110"/>
      <c r="I248" s="151">
        <v>0</v>
      </c>
      <c r="J248" s="106"/>
      <c r="L248" s="110"/>
    </row>
    <row r="249" spans="1:12" ht="25.5">
      <c r="A249" s="234" t="s">
        <v>1248</v>
      </c>
      <c r="B249" s="113" t="s">
        <v>612</v>
      </c>
      <c r="C249" s="114" t="s">
        <v>1464</v>
      </c>
      <c r="D249" s="109">
        <f>+ROUND('Alimentazione CE Costi'!E246+'Alimentazione CE Costi'!E247,2)</f>
        <v>31844370.879999999</v>
      </c>
      <c r="E249" s="109">
        <f>+ROUND('Alimentazione CE Costi'!F246+'Alimentazione CE Costi'!F247,2)</f>
        <v>31625319.739999998</v>
      </c>
      <c r="F249" s="356"/>
      <c r="G249" s="245"/>
      <c r="H249" s="110"/>
      <c r="I249" s="109">
        <v>0</v>
      </c>
      <c r="J249" s="106"/>
      <c r="L249" s="110"/>
    </row>
    <row r="250" spans="1:12" ht="18.75">
      <c r="A250" s="234"/>
      <c r="B250" s="113" t="s">
        <v>615</v>
      </c>
      <c r="C250" s="114" t="s">
        <v>1465</v>
      </c>
      <c r="D250" s="109">
        <f>+ROUND('Alimentazione CE Costi'!E249,2)</f>
        <v>0</v>
      </c>
      <c r="E250" s="109">
        <f>+ROUND('Alimentazione CE Costi'!F249,2)</f>
        <v>0</v>
      </c>
      <c r="F250" s="356"/>
      <c r="G250" s="245"/>
      <c r="H250" s="110"/>
      <c r="I250" s="109">
        <v>0</v>
      </c>
      <c r="J250" s="106"/>
      <c r="L250" s="110"/>
    </row>
    <row r="251" spans="1:12" ht="18.75">
      <c r="A251" s="234" t="s">
        <v>1293</v>
      </c>
      <c r="B251" s="113" t="s">
        <v>616</v>
      </c>
      <c r="C251" s="114" t="s">
        <v>1466</v>
      </c>
      <c r="D251" s="109">
        <f>+ROUND('Alimentazione CE Costi'!E251,2)</f>
        <v>15218033.35</v>
      </c>
      <c r="E251" s="109">
        <f>+ROUND('Alimentazione CE Costi'!F251,2)</f>
        <v>14303286.800000001</v>
      </c>
      <c r="F251" s="356"/>
      <c r="G251" s="245"/>
      <c r="H251" s="110"/>
      <c r="I251" s="109">
        <v>0</v>
      </c>
      <c r="J251" s="106"/>
      <c r="L251" s="110"/>
    </row>
    <row r="252" spans="1:12" ht="18.75">
      <c r="A252" s="234"/>
      <c r="B252" s="155" t="s">
        <v>619</v>
      </c>
      <c r="C252" s="156" t="s">
        <v>1467</v>
      </c>
      <c r="D252" s="154">
        <f t="shared" ref="D252" si="64">SUM(D253:D256)</f>
        <v>18290550.800000001</v>
      </c>
      <c r="E252" s="154">
        <f t="shared" ref="E252" si="65">SUM(E253:E256)</f>
        <v>20822611.260000002</v>
      </c>
      <c r="F252" s="72" t="s">
        <v>1835</v>
      </c>
      <c r="G252" s="245"/>
      <c r="H252" s="110"/>
      <c r="I252" s="154">
        <v>0</v>
      </c>
      <c r="J252" s="106"/>
      <c r="L252" s="110"/>
    </row>
    <row r="253" spans="1:12" ht="25.5">
      <c r="A253" s="234"/>
      <c r="B253" s="115" t="s">
        <v>621</v>
      </c>
      <c r="C253" s="116" t="s">
        <v>1468</v>
      </c>
      <c r="D253" s="109">
        <f>+ROUND('Alimentazione CE Costi'!E254,2)</f>
        <v>0</v>
      </c>
      <c r="E253" s="109">
        <f>+ROUND('Alimentazione CE Costi'!F254,2)</f>
        <v>0</v>
      </c>
      <c r="F253" s="356"/>
      <c r="G253" s="245"/>
      <c r="H253" s="110"/>
      <c r="I253" s="109">
        <v>0</v>
      </c>
      <c r="J253" s="106"/>
      <c r="L253" s="110"/>
    </row>
    <row r="254" spans="1:12" ht="25.5">
      <c r="A254" s="234"/>
      <c r="B254" s="115" t="s">
        <v>623</v>
      </c>
      <c r="C254" s="116" t="s">
        <v>1469</v>
      </c>
      <c r="D254" s="109">
        <f>+ROUND('Alimentazione CE Costi'!E256,2)</f>
        <v>0</v>
      </c>
      <c r="E254" s="109">
        <f>+ROUND('Alimentazione CE Costi'!F256,2)</f>
        <v>0</v>
      </c>
      <c r="F254" s="356"/>
      <c r="G254" s="245"/>
      <c r="H254" s="110"/>
      <c r="I254" s="109"/>
      <c r="J254" s="106"/>
      <c r="L254" s="110"/>
    </row>
    <row r="255" spans="1:12" ht="25.5">
      <c r="A255" s="234"/>
      <c r="B255" s="115" t="s">
        <v>625</v>
      </c>
      <c r="C255" s="116" t="s">
        <v>1470</v>
      </c>
      <c r="D255" s="109">
        <f>+ROUND('Alimentazione CE Costi'!E258,2)</f>
        <v>18290550.800000001</v>
      </c>
      <c r="E255" s="109">
        <f>+ROUND('Alimentazione CE Costi'!F258,2)</f>
        <v>20822611.260000002</v>
      </c>
      <c r="F255" s="356"/>
      <c r="G255" s="245"/>
      <c r="H255" s="110"/>
      <c r="I255" s="109">
        <v>0</v>
      </c>
      <c r="J255" s="106"/>
      <c r="L255" s="110"/>
    </row>
    <row r="256" spans="1:12" ht="25.5">
      <c r="A256" s="234"/>
      <c r="B256" s="115" t="s">
        <v>627</v>
      </c>
      <c r="C256" s="116" t="s">
        <v>1471</v>
      </c>
      <c r="D256" s="109">
        <f>+ROUND('Alimentazione CE Costi'!E260,2)</f>
        <v>0</v>
      </c>
      <c r="E256" s="109">
        <f>+ROUND('Alimentazione CE Costi'!F260,2)</f>
        <v>0</v>
      </c>
      <c r="F256" s="356"/>
      <c r="G256" s="245"/>
      <c r="H256" s="110"/>
      <c r="I256" s="109">
        <v>0</v>
      </c>
      <c r="J256" s="106"/>
      <c r="L256" s="110"/>
    </row>
    <row r="257" spans="1:12" ht="25.5">
      <c r="A257" s="234"/>
      <c r="B257" s="113" t="s">
        <v>628</v>
      </c>
      <c r="C257" s="114" t="s">
        <v>1472</v>
      </c>
      <c r="D257" s="109">
        <f>+ROUND('Alimentazione CE Costi'!E262,2)</f>
        <v>1588721.6</v>
      </c>
      <c r="E257" s="109">
        <f>+ROUND('Alimentazione CE Costi'!F262,2)</f>
        <v>1589430.6</v>
      </c>
      <c r="F257" s="356"/>
      <c r="G257" s="245"/>
      <c r="H257" s="110"/>
      <c r="I257" s="109">
        <v>0</v>
      </c>
      <c r="J257" s="106"/>
      <c r="L257" s="110"/>
    </row>
    <row r="258" spans="1:12" ht="25.5">
      <c r="A258" s="234"/>
      <c r="B258" s="163" t="s">
        <v>629</v>
      </c>
      <c r="C258" s="164" t="s">
        <v>1473</v>
      </c>
      <c r="D258" s="151">
        <f t="shared" ref="D258" si="66">SUM(D259:D263)</f>
        <v>7286763.5700000003</v>
      </c>
      <c r="E258" s="151">
        <f t="shared" ref="E258" si="67">SUM(E259:E263)</f>
        <v>6460677.5499999998</v>
      </c>
      <c r="F258" s="72" t="s">
        <v>1835</v>
      </c>
      <c r="G258" s="245"/>
      <c r="H258" s="110"/>
      <c r="I258" s="151">
        <v>0</v>
      </c>
      <c r="J258" s="106"/>
      <c r="L258" s="110"/>
    </row>
    <row r="259" spans="1:12" ht="25.5">
      <c r="A259" s="234" t="s">
        <v>1248</v>
      </c>
      <c r="B259" s="113" t="s">
        <v>630</v>
      </c>
      <c r="C259" s="114" t="s">
        <v>1474</v>
      </c>
      <c r="D259" s="109">
        <f>+ROUND('Alimentazione CE Costi'!E265,2)</f>
        <v>9822.74</v>
      </c>
      <c r="E259" s="109">
        <f>+ROUND('Alimentazione CE Costi'!F265,2)</f>
        <v>9044.7000000000007</v>
      </c>
      <c r="F259" s="356"/>
      <c r="G259" s="245"/>
      <c r="H259" s="110"/>
      <c r="I259" s="109">
        <v>0</v>
      </c>
      <c r="J259" s="106"/>
      <c r="L259" s="110"/>
    </row>
    <row r="260" spans="1:12" ht="18.75">
      <c r="A260" s="232"/>
      <c r="B260" s="113" t="s">
        <v>631</v>
      </c>
      <c r="C260" s="114" t="s">
        <v>1475</v>
      </c>
      <c r="D260" s="109">
        <f>+ROUND('Alimentazione CE Costi'!E267,2)</f>
        <v>0</v>
      </c>
      <c r="E260" s="109">
        <f>+ROUND('Alimentazione CE Costi'!F267,2)</f>
        <v>0</v>
      </c>
      <c r="F260" s="72"/>
      <c r="G260" s="245"/>
      <c r="H260" s="110"/>
      <c r="I260" s="109">
        <v>0</v>
      </c>
      <c r="J260" s="106"/>
      <c r="L260" s="110"/>
    </row>
    <row r="261" spans="1:12" ht="25.5">
      <c r="A261" s="232" t="s">
        <v>1297</v>
      </c>
      <c r="B261" s="113" t="s">
        <v>632</v>
      </c>
      <c r="C261" s="114" t="s">
        <v>1476</v>
      </c>
      <c r="D261" s="109">
        <f>+ROUND('Alimentazione CE Costi'!E269,2)</f>
        <v>0</v>
      </c>
      <c r="E261" s="109">
        <f>+ROUND('Alimentazione CE Costi'!F269,2)</f>
        <v>0</v>
      </c>
      <c r="F261" s="72"/>
      <c r="G261" s="245"/>
      <c r="H261" s="110"/>
      <c r="I261" s="109">
        <v>0</v>
      </c>
      <c r="J261" s="106"/>
      <c r="L261" s="110"/>
    </row>
    <row r="262" spans="1:12" ht="18.75">
      <c r="A262" s="232"/>
      <c r="B262" s="113" t="s">
        <v>633</v>
      </c>
      <c r="C262" s="114" t="s">
        <v>1477</v>
      </c>
      <c r="D262" s="109">
        <f>+ROUND('Alimentazione CE Costi'!E271,2)</f>
        <v>7052677.04</v>
      </c>
      <c r="E262" s="109">
        <f>+ROUND('Alimentazione CE Costi'!F271,2)</f>
        <v>6304740.5099999998</v>
      </c>
      <c r="F262" s="72"/>
      <c r="G262" s="245"/>
      <c r="H262" s="110"/>
      <c r="I262" s="109">
        <v>0</v>
      </c>
      <c r="J262" s="106"/>
      <c r="L262" s="110"/>
    </row>
    <row r="263" spans="1:12" ht="18.75">
      <c r="A263" s="236"/>
      <c r="B263" s="113" t="s">
        <v>634</v>
      </c>
      <c r="C263" s="114" t="s">
        <v>1478</v>
      </c>
      <c r="D263" s="109">
        <f>+ROUND('Alimentazione CE Costi'!E273,2)</f>
        <v>224263.79</v>
      </c>
      <c r="E263" s="109">
        <f>+ROUND('Alimentazione CE Costi'!F273,2)</f>
        <v>146892.34</v>
      </c>
      <c r="F263" s="72"/>
      <c r="G263" s="245"/>
      <c r="H263" s="110"/>
      <c r="I263" s="109">
        <v>0</v>
      </c>
      <c r="J263" s="106"/>
      <c r="L263" s="110"/>
    </row>
    <row r="264" spans="1:12" ht="25.5">
      <c r="A264" s="232"/>
      <c r="B264" s="163" t="s">
        <v>635</v>
      </c>
      <c r="C264" s="164" t="s">
        <v>1479</v>
      </c>
      <c r="D264" s="151">
        <f t="shared" ref="D264" si="68">SUM(D265:D270)</f>
        <v>5251385.04</v>
      </c>
      <c r="E264" s="151">
        <f t="shared" ref="E264" si="69">SUM(E265:E270)</f>
        <v>4768559.87</v>
      </c>
      <c r="F264" s="72" t="s">
        <v>1835</v>
      </c>
      <c r="G264" s="245"/>
      <c r="H264" s="110"/>
      <c r="I264" s="151">
        <v>0</v>
      </c>
      <c r="J264" s="106"/>
      <c r="L264" s="110"/>
    </row>
    <row r="265" spans="1:12" ht="25.5">
      <c r="A265" s="232" t="s">
        <v>1248</v>
      </c>
      <c r="B265" s="113" t="s">
        <v>636</v>
      </c>
      <c r="C265" s="114" t="s">
        <v>1480</v>
      </c>
      <c r="D265" s="109">
        <f>+ROUND('Alimentazione CE Costi'!E276+'Alimentazione CE Costi'!E277,2)</f>
        <v>3362962.16</v>
      </c>
      <c r="E265" s="109">
        <f>+ROUND('Alimentazione CE Costi'!F276+'Alimentazione CE Costi'!F277,2)</f>
        <v>3294634.08</v>
      </c>
      <c r="F265" s="72"/>
      <c r="G265" s="245"/>
      <c r="H265" s="110"/>
      <c r="I265" s="109">
        <v>0</v>
      </c>
      <c r="J265" s="106"/>
      <c r="L265" s="110"/>
    </row>
    <row r="266" spans="1:12" ht="18.75">
      <c r="A266" s="232"/>
      <c r="B266" s="113" t="s">
        <v>639</v>
      </c>
      <c r="C266" s="114" t="s">
        <v>1481</v>
      </c>
      <c r="D266" s="109">
        <f>+ROUND('Alimentazione CE Costi'!E279,2)</f>
        <v>0</v>
      </c>
      <c r="E266" s="109">
        <f>+ROUND('Alimentazione CE Costi'!F279,2)</f>
        <v>0</v>
      </c>
      <c r="F266" s="72"/>
      <c r="G266" s="245"/>
      <c r="H266" s="110"/>
      <c r="I266" s="109">
        <v>0</v>
      </c>
      <c r="J266" s="106"/>
      <c r="L266" s="110"/>
    </row>
    <row r="267" spans="1:12" ht="18.75">
      <c r="A267" s="232" t="s">
        <v>1293</v>
      </c>
      <c r="B267" s="113" t="s">
        <v>640</v>
      </c>
      <c r="C267" s="114" t="s">
        <v>1482</v>
      </c>
      <c r="D267" s="109">
        <f>+ROUND('Alimentazione CE Costi'!E281,2)</f>
        <v>1888422.88</v>
      </c>
      <c r="E267" s="109">
        <f>+ROUND('Alimentazione CE Costi'!F281,2)</f>
        <v>1473925.79</v>
      </c>
      <c r="F267" s="72"/>
      <c r="G267" s="245"/>
      <c r="H267" s="110"/>
      <c r="I267" s="109">
        <v>0</v>
      </c>
      <c r="J267" s="106"/>
      <c r="L267" s="110"/>
    </row>
    <row r="268" spans="1:12" ht="18.75">
      <c r="A268" s="232"/>
      <c r="B268" s="113" t="s">
        <v>641</v>
      </c>
      <c r="C268" s="114" t="s">
        <v>1483</v>
      </c>
      <c r="D268" s="109">
        <f>+ROUND('Alimentazione CE Costi'!E283,2)</f>
        <v>0</v>
      </c>
      <c r="E268" s="109">
        <f>+ROUND('Alimentazione CE Costi'!F283,2)</f>
        <v>0</v>
      </c>
      <c r="F268" s="72"/>
      <c r="G268" s="245"/>
      <c r="H268" s="110"/>
      <c r="I268" s="109">
        <v>0</v>
      </c>
      <c r="J268" s="106"/>
      <c r="L268" s="110"/>
    </row>
    <row r="269" spans="1:12" ht="18.75">
      <c r="A269" s="236"/>
      <c r="B269" s="113" t="s">
        <v>642</v>
      </c>
      <c r="C269" s="114" t="s">
        <v>1484</v>
      </c>
      <c r="D269" s="109">
        <f>+ROUND('Alimentazione CE Costi'!E285,2)</f>
        <v>0</v>
      </c>
      <c r="E269" s="109">
        <f>+ROUND('Alimentazione CE Costi'!F285,2)</f>
        <v>0</v>
      </c>
      <c r="F269" s="72"/>
      <c r="G269" s="245"/>
      <c r="H269" s="110"/>
      <c r="I269" s="109">
        <v>0</v>
      </c>
      <c r="J269" s="106"/>
      <c r="L269" s="110"/>
    </row>
    <row r="270" spans="1:12" ht="25.5">
      <c r="A270" s="232"/>
      <c r="B270" s="113" t="s">
        <v>643</v>
      </c>
      <c r="C270" s="114" t="s">
        <v>1485</v>
      </c>
      <c r="D270" s="109">
        <f>+ROUND('Alimentazione CE Costi'!E287,2)</f>
        <v>0</v>
      </c>
      <c r="E270" s="109">
        <f>+ROUND('Alimentazione CE Costi'!F287,2)</f>
        <v>0</v>
      </c>
      <c r="F270" s="72"/>
      <c r="G270" s="245"/>
      <c r="H270" s="110"/>
      <c r="I270" s="109">
        <v>0</v>
      </c>
      <c r="J270" s="106"/>
      <c r="L270" s="110"/>
    </row>
    <row r="271" spans="1:12" ht="25.5">
      <c r="A271" s="232"/>
      <c r="B271" s="163" t="s">
        <v>644</v>
      </c>
      <c r="C271" s="164" t="s">
        <v>1486</v>
      </c>
      <c r="D271" s="151">
        <f t="shared" ref="D271" si="70">SUM(D272:D276)</f>
        <v>284591.13999999996</v>
      </c>
      <c r="E271" s="151">
        <f t="shared" ref="E271" si="71">SUM(E272:E276)</f>
        <v>353205.3</v>
      </c>
      <c r="F271" s="72" t="s">
        <v>1835</v>
      </c>
      <c r="G271" s="245"/>
      <c r="H271" s="110"/>
      <c r="I271" s="151">
        <v>0</v>
      </c>
      <c r="J271" s="106"/>
      <c r="L271" s="110"/>
    </row>
    <row r="272" spans="1:12" ht="25.5">
      <c r="A272" s="232" t="s">
        <v>1248</v>
      </c>
      <c r="B272" s="113" t="s">
        <v>645</v>
      </c>
      <c r="C272" s="114" t="s">
        <v>1487</v>
      </c>
      <c r="D272" s="109">
        <f>+ROUND('Alimentazione CE Costi'!E290,2)</f>
        <v>0</v>
      </c>
      <c r="E272" s="109">
        <f>+ROUND('Alimentazione CE Costi'!F290,2)</f>
        <v>0</v>
      </c>
      <c r="F272" s="72"/>
      <c r="G272" s="245"/>
      <c r="H272" s="110"/>
      <c r="I272" s="109">
        <v>0</v>
      </c>
      <c r="J272" s="106"/>
      <c r="L272" s="110"/>
    </row>
    <row r="273" spans="1:12" ht="25.5">
      <c r="A273" s="232"/>
      <c r="B273" s="113" t="s">
        <v>646</v>
      </c>
      <c r="C273" s="114" t="s">
        <v>1488</v>
      </c>
      <c r="D273" s="109">
        <f>+ROUND('Alimentazione CE Costi'!E292,2)</f>
        <v>0</v>
      </c>
      <c r="E273" s="109">
        <f>+ROUND('Alimentazione CE Costi'!F292,2)</f>
        <v>0</v>
      </c>
      <c r="F273" s="72"/>
      <c r="G273" s="245"/>
      <c r="H273" s="110"/>
      <c r="I273" s="109">
        <v>0</v>
      </c>
      <c r="J273" s="106"/>
      <c r="L273" s="110"/>
    </row>
    <row r="274" spans="1:12" ht="18.75">
      <c r="A274" s="232" t="s">
        <v>1293</v>
      </c>
      <c r="B274" s="113" t="s">
        <v>647</v>
      </c>
      <c r="C274" s="114" t="s">
        <v>1489</v>
      </c>
      <c r="D274" s="109">
        <f>+ROUND('Alimentazione CE Costi'!E294,2)</f>
        <v>87954.62</v>
      </c>
      <c r="E274" s="109">
        <f>+ROUND('Alimentazione CE Costi'!F294,2)</f>
        <v>77218.22</v>
      </c>
      <c r="F274" s="72"/>
      <c r="G274" s="245"/>
      <c r="H274" s="110"/>
      <c r="I274" s="109">
        <v>0</v>
      </c>
      <c r="J274" s="106"/>
      <c r="L274" s="110"/>
    </row>
    <row r="275" spans="1:12" ht="18.75">
      <c r="A275" s="232"/>
      <c r="B275" s="113" t="s">
        <v>648</v>
      </c>
      <c r="C275" s="114" t="s">
        <v>1490</v>
      </c>
      <c r="D275" s="109">
        <f>+ROUND('Alimentazione CE Costi'!E296,2)</f>
        <v>190918.72</v>
      </c>
      <c r="E275" s="109">
        <f>+ROUND('Alimentazione CE Costi'!F296,2)</f>
        <v>251910.48</v>
      </c>
      <c r="F275" s="72"/>
      <c r="G275" s="245"/>
      <c r="H275" s="110"/>
      <c r="I275" s="109">
        <v>0</v>
      </c>
      <c r="J275" s="106"/>
      <c r="L275" s="110"/>
    </row>
    <row r="276" spans="1:12" ht="25.5">
      <c r="A276" s="232"/>
      <c r="B276" s="113" t="s">
        <v>649</v>
      </c>
      <c r="C276" s="114" t="s">
        <v>1491</v>
      </c>
      <c r="D276" s="109">
        <f>+ROUND('Alimentazione CE Costi'!E298,2)</f>
        <v>5717.8</v>
      </c>
      <c r="E276" s="109">
        <f>+ROUND('Alimentazione CE Costi'!F298,2)</f>
        <v>24076.6</v>
      </c>
      <c r="F276" s="72"/>
      <c r="G276" s="245"/>
      <c r="H276" s="110"/>
      <c r="I276" s="109">
        <v>0</v>
      </c>
      <c r="J276" s="106"/>
      <c r="L276" s="110"/>
    </row>
    <row r="277" spans="1:12" ht="25.5">
      <c r="A277" s="232"/>
      <c r="B277" s="163" t="s">
        <v>650</v>
      </c>
      <c r="C277" s="164" t="s">
        <v>1492</v>
      </c>
      <c r="D277" s="151">
        <f t="shared" ref="D277" si="72">SUM(D278:D281)</f>
        <v>9076210.540000001</v>
      </c>
      <c r="E277" s="151">
        <f t="shared" ref="E277" si="73">SUM(E278:E281)</f>
        <v>8591058.2699999996</v>
      </c>
      <c r="F277" s="72" t="s">
        <v>1835</v>
      </c>
      <c r="G277" s="245"/>
      <c r="H277" s="110"/>
      <c r="I277" s="151">
        <v>0</v>
      </c>
      <c r="J277" s="106"/>
      <c r="L277" s="110"/>
    </row>
    <row r="278" spans="1:12" ht="25.5">
      <c r="A278" s="232" t="s">
        <v>1248</v>
      </c>
      <c r="B278" s="113" t="s">
        <v>651</v>
      </c>
      <c r="C278" s="114" t="s">
        <v>1493</v>
      </c>
      <c r="D278" s="109">
        <f>+ROUND('Alimentazione CE Costi'!E301,2)</f>
        <v>604.9</v>
      </c>
      <c r="E278" s="109">
        <f>+ROUND('Alimentazione CE Costi'!F301,2)</f>
        <v>0</v>
      </c>
      <c r="F278" s="72"/>
      <c r="G278" s="245"/>
      <c r="H278" s="110"/>
      <c r="I278" s="109">
        <v>0</v>
      </c>
      <c r="J278" s="106"/>
      <c r="L278" s="110"/>
    </row>
    <row r="279" spans="1:12" ht="25.5">
      <c r="A279" s="232"/>
      <c r="B279" s="113" t="s">
        <v>652</v>
      </c>
      <c r="C279" s="114" t="s">
        <v>1494</v>
      </c>
      <c r="D279" s="109">
        <f>+ROUND('Alimentazione CE Costi'!E303,2)</f>
        <v>0</v>
      </c>
      <c r="E279" s="109">
        <f>+ROUND('Alimentazione CE Costi'!F303,2)</f>
        <v>0</v>
      </c>
      <c r="F279" s="72"/>
      <c r="G279" s="245"/>
      <c r="H279" s="110"/>
      <c r="I279" s="109">
        <v>0</v>
      </c>
      <c r="J279" s="106"/>
      <c r="L279" s="110"/>
    </row>
    <row r="280" spans="1:12" ht="18.75">
      <c r="A280" s="232" t="s">
        <v>1293</v>
      </c>
      <c r="B280" s="113" t="s">
        <v>653</v>
      </c>
      <c r="C280" s="114" t="s">
        <v>1495</v>
      </c>
      <c r="D280" s="109">
        <f>+ROUND('Alimentazione CE Costi'!E305,2)</f>
        <v>338048.34</v>
      </c>
      <c r="E280" s="109">
        <f>+ROUND('Alimentazione CE Costi'!F305,2)</f>
        <v>252713.41</v>
      </c>
      <c r="F280" s="72"/>
      <c r="G280" s="245"/>
      <c r="H280" s="110"/>
      <c r="I280" s="109">
        <v>0</v>
      </c>
      <c r="J280" s="106"/>
      <c r="L280" s="110"/>
    </row>
    <row r="281" spans="1:12" ht="18.75">
      <c r="A281" s="232"/>
      <c r="B281" s="113" t="s">
        <v>654</v>
      </c>
      <c r="C281" s="114" t="s">
        <v>1496</v>
      </c>
      <c r="D281" s="109">
        <f>+ROUND('Alimentazione CE Costi'!E307+'Alimentazione CE Costi'!E308+'Alimentazione CE Costi'!E309+'Alimentazione CE Costi'!E310,2)</f>
        <v>8737557.3000000007</v>
      </c>
      <c r="E281" s="109">
        <f>+ROUND('Alimentazione CE Costi'!F307+'Alimentazione CE Costi'!F308+'Alimentazione CE Costi'!F309+'Alimentazione CE Costi'!F310,2)</f>
        <v>8338344.8600000003</v>
      </c>
      <c r="F281" s="72"/>
      <c r="G281" s="245"/>
      <c r="H281" s="110"/>
      <c r="I281" s="109"/>
      <c r="J281" s="106"/>
      <c r="L281" s="110"/>
    </row>
    <row r="282" spans="1:12" ht="25.5">
      <c r="A282" s="232"/>
      <c r="B282" s="163" t="s">
        <v>659</v>
      </c>
      <c r="C282" s="164" t="s">
        <v>1497</v>
      </c>
      <c r="D282" s="151">
        <f t="shared" ref="D282" si="74">+D283+D286+D288+D289+D290+D287</f>
        <v>50227600.610000007</v>
      </c>
      <c r="E282" s="151">
        <f t="shared" ref="E282" si="75">+E283+E286+E288+E289+E290+E287</f>
        <v>41033015.25</v>
      </c>
      <c r="F282" s="72" t="s">
        <v>1835</v>
      </c>
      <c r="G282" s="245"/>
      <c r="H282" s="110"/>
      <c r="I282" s="151">
        <v>0</v>
      </c>
      <c r="J282" s="106"/>
      <c r="L282" s="110"/>
    </row>
    <row r="283" spans="1:12" ht="25.5">
      <c r="A283" s="232" t="s">
        <v>1248</v>
      </c>
      <c r="B283" s="155" t="s">
        <v>660</v>
      </c>
      <c r="C283" s="156" t="s">
        <v>1498</v>
      </c>
      <c r="D283" s="154">
        <f t="shared" ref="D283" si="76">+D284+D285</f>
        <v>9159</v>
      </c>
      <c r="E283" s="154">
        <f t="shared" ref="E283" si="77">+E284+E285</f>
        <v>4518</v>
      </c>
      <c r="F283" s="72" t="s">
        <v>1835</v>
      </c>
      <c r="G283" s="245"/>
      <c r="H283" s="110"/>
      <c r="I283" s="154">
        <v>0</v>
      </c>
      <c r="J283" s="106"/>
      <c r="L283" s="110"/>
    </row>
    <row r="284" spans="1:12" ht="18.75">
      <c r="A284" s="234" t="s">
        <v>1248</v>
      </c>
      <c r="B284" s="115" t="s">
        <v>662</v>
      </c>
      <c r="C284" s="116" t="s">
        <v>1499</v>
      </c>
      <c r="D284" s="109">
        <f>+ROUND('Alimentazione CE Costi'!E314,2)</f>
        <v>258</v>
      </c>
      <c r="E284" s="109">
        <f>+ROUND('Alimentazione CE Costi'!F314,2)</f>
        <v>688</v>
      </c>
      <c r="F284" s="356"/>
      <c r="G284" s="245"/>
      <c r="H284" s="110"/>
      <c r="I284" s="109"/>
      <c r="J284" s="106"/>
      <c r="L284" s="110"/>
    </row>
    <row r="285" spans="1:12" ht="25.5">
      <c r="A285" s="234" t="s">
        <v>1248</v>
      </c>
      <c r="B285" s="115" t="s">
        <v>663</v>
      </c>
      <c r="C285" s="116" t="s">
        <v>1500</v>
      </c>
      <c r="D285" s="109">
        <f>+ROUND('Alimentazione CE Costi'!E316,2)</f>
        <v>8901</v>
      </c>
      <c r="E285" s="109">
        <f>+ROUND('Alimentazione CE Costi'!F316,2)</f>
        <v>3830</v>
      </c>
      <c r="F285" s="356"/>
      <c r="G285" s="245"/>
      <c r="H285" s="110"/>
      <c r="I285" s="109">
        <v>0</v>
      </c>
      <c r="J285" s="106"/>
      <c r="L285" s="110"/>
    </row>
    <row r="286" spans="1:12" ht="25.5">
      <c r="A286" s="232"/>
      <c r="B286" s="113" t="s">
        <v>664</v>
      </c>
      <c r="C286" s="114" t="s">
        <v>1501</v>
      </c>
      <c r="D286" s="109">
        <f>+ROUND('Alimentazione CE Costi'!E318+'Alimentazione CE Costi'!E319+'Alimentazione CE Costi'!E320+'Alimentazione CE Costi'!E321,2)</f>
        <v>16592331.84</v>
      </c>
      <c r="E286" s="109">
        <f>+ROUND('Alimentazione CE Costi'!F318+'Alimentazione CE Costi'!F319+'Alimentazione CE Costi'!F320+'Alimentazione CE Costi'!F321,2)</f>
        <v>12954008.74</v>
      </c>
      <c r="F286" s="72"/>
      <c r="G286" s="245"/>
      <c r="H286" s="110"/>
      <c r="I286" s="109"/>
      <c r="J286" s="106"/>
      <c r="L286" s="110"/>
    </row>
    <row r="287" spans="1:12" ht="38.25">
      <c r="A287" s="232" t="s">
        <v>1293</v>
      </c>
      <c r="B287" s="113" t="s">
        <v>669</v>
      </c>
      <c r="C287" s="114" t="s">
        <v>1502</v>
      </c>
      <c r="D287" s="109">
        <f>+ROUND('Alimentazione CE Costi'!E323,2)</f>
        <v>85233.2</v>
      </c>
      <c r="E287" s="109">
        <f>+ROUND('Alimentazione CE Costi'!F323,2)</f>
        <v>84644.67</v>
      </c>
      <c r="F287" s="72"/>
      <c r="G287" s="245"/>
      <c r="H287" s="110"/>
      <c r="I287" s="109"/>
      <c r="J287" s="106"/>
      <c r="L287" s="110"/>
    </row>
    <row r="288" spans="1:12" ht="25.5">
      <c r="A288" s="232" t="s">
        <v>1297</v>
      </c>
      <c r="B288" s="113" t="s">
        <v>670</v>
      </c>
      <c r="C288" s="114" t="s">
        <v>1503</v>
      </c>
      <c r="D288" s="109">
        <f>+ROUND('Alimentazione CE Costi'!E325+'Alimentazione CE Costi'!E326+'Alimentazione CE Costi'!E327,2)</f>
        <v>257746.01</v>
      </c>
      <c r="E288" s="109">
        <f>+ROUND('Alimentazione CE Costi'!F325+'Alimentazione CE Costi'!F326+'Alimentazione CE Costi'!F327,2)</f>
        <v>414824.05</v>
      </c>
      <c r="F288" s="72"/>
      <c r="G288" s="245"/>
      <c r="H288" s="110"/>
      <c r="I288" s="109">
        <v>0</v>
      </c>
      <c r="J288" s="106"/>
      <c r="L288" s="110"/>
    </row>
    <row r="289" spans="1:12" ht="18.75">
      <c r="A289" s="232"/>
      <c r="B289" s="113" t="s">
        <v>671</v>
      </c>
      <c r="C289" s="114" t="s">
        <v>1504</v>
      </c>
      <c r="D289" s="109">
        <f>+ROUND('Alimentazione CE Costi'!E329+'Alimentazione CE Costi'!E330+'Alimentazione CE Costi'!E331+'Alimentazione CE Costi'!E332+'Alimentazione CE Costi'!E333+'Alimentazione CE Costi'!E334+'Alimentazione CE Costi'!E335+'Alimentazione CE Costi'!E336,2)</f>
        <v>32187393.27</v>
      </c>
      <c r="E289" s="109">
        <f>+ROUND('Alimentazione CE Costi'!F329+'Alimentazione CE Costi'!F330+'Alimentazione CE Costi'!F331+'Alimentazione CE Costi'!F332+'Alimentazione CE Costi'!F333+'Alimentazione CE Costi'!F334+'Alimentazione CE Costi'!F335+'Alimentazione CE Costi'!F336,2)</f>
        <v>26267666.719999999</v>
      </c>
      <c r="F289" s="72"/>
      <c r="G289" s="245"/>
      <c r="H289" s="110"/>
      <c r="I289" s="109"/>
      <c r="J289" s="106"/>
      <c r="L289" s="110"/>
    </row>
    <row r="290" spans="1:12" ht="18.75">
      <c r="A290" s="232"/>
      <c r="B290" s="113" t="s">
        <v>676</v>
      </c>
      <c r="C290" s="114" t="s">
        <v>1505</v>
      </c>
      <c r="D290" s="109">
        <f>+ROUND('Alimentazione CE Costi'!E338+'Alimentazione CE Costi'!E339,2)</f>
        <v>1095737.29</v>
      </c>
      <c r="E290" s="109">
        <f>+ROUND('Alimentazione CE Costi'!F338+'Alimentazione CE Costi'!F339,2)</f>
        <v>1307353.07</v>
      </c>
      <c r="F290" s="72"/>
      <c r="G290" s="245"/>
      <c r="H290" s="110"/>
      <c r="I290" s="109">
        <v>0</v>
      </c>
      <c r="J290" s="106"/>
      <c r="L290" s="110"/>
    </row>
    <row r="291" spans="1:12" ht="25.5">
      <c r="A291" s="236"/>
      <c r="B291" s="163" t="s">
        <v>678</v>
      </c>
      <c r="C291" s="164" t="s">
        <v>1506</v>
      </c>
      <c r="D291" s="151">
        <f t="shared" ref="D291" si="78">SUM(D292:D298)</f>
        <v>7346592.1600000001</v>
      </c>
      <c r="E291" s="151">
        <f t="shared" ref="E291" si="79">SUM(E292:E298)</f>
        <v>6157978.8299999991</v>
      </c>
      <c r="F291" s="72" t="s">
        <v>1835</v>
      </c>
      <c r="G291" s="245"/>
      <c r="H291" s="110"/>
      <c r="I291" s="151">
        <v>5491933.4624999985</v>
      </c>
      <c r="J291" s="106"/>
      <c r="L291" s="110"/>
    </row>
    <row r="292" spans="1:12" ht="25.5">
      <c r="A292" s="232"/>
      <c r="B292" s="113" t="s">
        <v>680</v>
      </c>
      <c r="C292" s="114" t="s">
        <v>1507</v>
      </c>
      <c r="D292" s="109">
        <f>+ROUND('Alimentazione CE Costi'!E342,2)</f>
        <v>575800.24</v>
      </c>
      <c r="E292" s="109">
        <f>+ROUND('Alimentazione CE Costi'!F342,2)</f>
        <v>458266.68</v>
      </c>
      <c r="F292" s="72"/>
      <c r="G292" s="245"/>
      <c r="H292" s="110"/>
      <c r="I292" s="109">
        <v>431850.18</v>
      </c>
      <c r="J292" s="106"/>
      <c r="L292" s="110"/>
    </row>
    <row r="293" spans="1:12" ht="25.5">
      <c r="A293" s="232"/>
      <c r="B293" s="113" t="s">
        <v>682</v>
      </c>
      <c r="C293" s="114" t="s">
        <v>1508</v>
      </c>
      <c r="D293" s="109">
        <f>+ROUND('Alimentazione CE Costi'!E344,2)</f>
        <v>5043848.46</v>
      </c>
      <c r="E293" s="109">
        <f>+ROUND('Alimentazione CE Costi'!F344,2)</f>
        <v>4387338.8099999996</v>
      </c>
      <c r="F293" s="72"/>
      <c r="G293" s="245"/>
      <c r="H293" s="110"/>
      <c r="I293" s="109">
        <v>3782886.3449999997</v>
      </c>
      <c r="J293" s="106"/>
      <c r="L293" s="110"/>
    </row>
    <row r="294" spans="1:12" ht="25.5">
      <c r="A294" s="232"/>
      <c r="B294" s="113" t="s">
        <v>684</v>
      </c>
      <c r="C294" s="114" t="s">
        <v>1509</v>
      </c>
      <c r="D294" s="109">
        <f>+ROUND('Alimentazione CE Costi'!E346,2)</f>
        <v>0</v>
      </c>
      <c r="E294" s="109">
        <f>+ROUND('Alimentazione CE Costi'!F346,2)</f>
        <v>0</v>
      </c>
      <c r="F294" s="72"/>
      <c r="G294" s="245"/>
      <c r="H294" s="110"/>
      <c r="I294" s="109">
        <v>0</v>
      </c>
      <c r="J294" s="106"/>
      <c r="L294" s="110"/>
    </row>
    <row r="295" spans="1:12" ht="38.25">
      <c r="A295" s="232"/>
      <c r="B295" s="113" t="s">
        <v>685</v>
      </c>
      <c r="C295" s="114" t="s">
        <v>1510</v>
      </c>
      <c r="D295" s="109">
        <f>+ROUND('Alimentazione CE Costi'!E348+'Alimentazione CE Costi'!E349+'Alimentazione CE Costi'!E350+'Alimentazione CE Costi'!E351,2)</f>
        <v>519856.54</v>
      </c>
      <c r="E295" s="109">
        <f>+ROUND('Alimentazione CE Costi'!F348+'Alimentazione CE Costi'!F349+'Alimentazione CE Costi'!F350+'Alimentazione CE Costi'!F351,2)</f>
        <v>478707.47</v>
      </c>
      <c r="F295" s="72"/>
      <c r="G295" s="245"/>
      <c r="H295" s="110"/>
      <c r="I295" s="109">
        <v>371881.74750000006</v>
      </c>
      <c r="J295" s="106"/>
      <c r="L295" s="110"/>
    </row>
    <row r="296" spans="1:12" ht="51">
      <c r="A296" s="232" t="s">
        <v>1248</v>
      </c>
      <c r="B296" s="113" t="s">
        <v>689</v>
      </c>
      <c r="C296" s="114" t="s">
        <v>1511</v>
      </c>
      <c r="D296" s="109">
        <f>+ROUND('Alimentazione CE Costi'!E353+'Alimentazione CE Costi'!E354+'Alimentazione CE Costi'!E355+'Alimentazione CE Costi'!E356,2)</f>
        <v>0</v>
      </c>
      <c r="E296" s="109">
        <f>+ROUND('Alimentazione CE Costi'!F353+'Alimentazione CE Costi'!F354+'Alimentazione CE Costi'!F355+'Alimentazione CE Costi'!F356,2)</f>
        <v>0</v>
      </c>
      <c r="F296" s="72"/>
      <c r="G296" s="245"/>
      <c r="H296" s="110"/>
      <c r="I296" s="109">
        <v>0</v>
      </c>
      <c r="J296" s="106"/>
      <c r="L296" s="110"/>
    </row>
    <row r="297" spans="1:12" ht="25.5">
      <c r="A297" s="232"/>
      <c r="B297" s="113" t="s">
        <v>690</v>
      </c>
      <c r="C297" s="114" t="s">
        <v>1512</v>
      </c>
      <c r="D297" s="109">
        <f>+ROUND(SUM('Alimentazione CE Costi'!E358:E368),2)</f>
        <v>1207086.92</v>
      </c>
      <c r="E297" s="109">
        <f>+ROUND(SUM('Alimentazione CE Costi'!F358:F368),2)</f>
        <v>833665.87</v>
      </c>
      <c r="F297" s="72"/>
      <c r="G297" s="245"/>
      <c r="H297" s="110"/>
      <c r="I297" s="109">
        <v>905315.19</v>
      </c>
      <c r="J297" s="106"/>
      <c r="L297" s="110"/>
    </row>
    <row r="298" spans="1:12" ht="38.25">
      <c r="A298" s="232" t="s">
        <v>1248</v>
      </c>
      <c r="B298" s="113" t="s">
        <v>697</v>
      </c>
      <c r="C298" s="114" t="s">
        <v>1513</v>
      </c>
      <c r="D298" s="109">
        <f>+ROUND(SUM('Alimentazione CE Costi'!E370:E378),2)</f>
        <v>0</v>
      </c>
      <c r="E298" s="109">
        <f>+ROUND(SUM('Alimentazione CE Costi'!F370:F378),2)</f>
        <v>0</v>
      </c>
      <c r="F298" s="72"/>
      <c r="G298" s="245"/>
      <c r="H298" s="110"/>
      <c r="I298" s="109">
        <v>0</v>
      </c>
      <c r="J298" s="106"/>
      <c r="L298" s="110"/>
    </row>
    <row r="299" spans="1:12" ht="18.75">
      <c r="A299" s="232"/>
      <c r="B299" s="163" t="s">
        <v>698</v>
      </c>
      <c r="C299" s="164" t="s">
        <v>1514</v>
      </c>
      <c r="D299" s="151">
        <f t="shared" ref="D299" si="80">SUM(D300:D306)</f>
        <v>7963036.8599999994</v>
      </c>
      <c r="E299" s="151">
        <f t="shared" ref="E299" si="81">SUM(E300:E306)</f>
        <v>8558291.3300000001</v>
      </c>
      <c r="F299" s="72" t="s">
        <v>1835</v>
      </c>
      <c r="G299" s="245"/>
      <c r="H299" s="110"/>
      <c r="I299" s="151">
        <v>0</v>
      </c>
      <c r="J299" s="106"/>
      <c r="L299" s="110"/>
    </row>
    <row r="300" spans="1:12" ht="18.75">
      <c r="A300" s="236"/>
      <c r="B300" s="113" t="s">
        <v>700</v>
      </c>
      <c r="C300" s="114" t="s">
        <v>1515</v>
      </c>
      <c r="D300" s="109">
        <f>+ROUND('Alimentazione CE Costi'!E381,2)</f>
        <v>234000</v>
      </c>
      <c r="E300" s="109">
        <f>+ROUND('Alimentazione CE Costi'!F381,2)</f>
        <v>233984.85</v>
      </c>
      <c r="F300" s="72"/>
      <c r="G300" s="245"/>
      <c r="H300" s="110"/>
      <c r="I300" s="109">
        <v>0</v>
      </c>
      <c r="J300" s="106"/>
      <c r="L300" s="110"/>
    </row>
    <row r="301" spans="1:12" ht="18.75">
      <c r="A301" s="236"/>
      <c r="B301" s="113" t="s">
        <v>702</v>
      </c>
      <c r="C301" s="114" t="s">
        <v>1516</v>
      </c>
      <c r="D301" s="109">
        <f>+ROUND('Alimentazione CE Costi'!E383,2)</f>
        <v>38135.300000000003</v>
      </c>
      <c r="E301" s="109">
        <f>+ROUND('Alimentazione CE Costi'!F383,2)</f>
        <v>8135.9</v>
      </c>
      <c r="F301" s="72"/>
      <c r="G301" s="245"/>
      <c r="H301" s="110"/>
      <c r="I301" s="109">
        <v>0</v>
      </c>
      <c r="J301" s="106"/>
      <c r="L301" s="110"/>
    </row>
    <row r="302" spans="1:12" ht="25.5">
      <c r="A302" s="232"/>
      <c r="B302" s="113" t="s">
        <v>704</v>
      </c>
      <c r="C302" s="114" t="s">
        <v>1517</v>
      </c>
      <c r="D302" s="109">
        <f>+ROUND('Alimentazione CE Costi'!E385,2)</f>
        <v>0</v>
      </c>
      <c r="E302" s="109">
        <f>+ROUND('Alimentazione CE Costi'!F385,2)</f>
        <v>0</v>
      </c>
      <c r="F302" s="72"/>
      <c r="G302" s="245"/>
      <c r="H302" s="110"/>
      <c r="I302" s="109">
        <v>0</v>
      </c>
      <c r="J302" s="106"/>
      <c r="L302" s="110"/>
    </row>
    <row r="303" spans="1:12" ht="18.75">
      <c r="A303" s="236"/>
      <c r="B303" s="113" t="s">
        <v>706</v>
      </c>
      <c r="C303" s="114" t="s">
        <v>1518</v>
      </c>
      <c r="D303" s="109">
        <f>+ROUND('Alimentazione CE Costi'!E387,2)</f>
        <v>72085.67</v>
      </c>
      <c r="E303" s="109">
        <f>+ROUND('Alimentazione CE Costi'!F387,2)</f>
        <v>118467.91</v>
      </c>
      <c r="F303" s="72"/>
      <c r="G303" s="245"/>
      <c r="H303" s="110"/>
      <c r="I303" s="109">
        <v>0</v>
      </c>
      <c r="J303" s="106"/>
      <c r="L303" s="110"/>
    </row>
    <row r="304" spans="1:12" ht="18.75">
      <c r="A304" s="236"/>
      <c r="B304" s="113" t="s">
        <v>708</v>
      </c>
      <c r="C304" s="114" t="s">
        <v>1519</v>
      </c>
      <c r="D304" s="109">
        <f>+ROUND(SUM('Alimentazione CE Costi'!E389:E398),2)</f>
        <v>6263462.0199999996</v>
      </c>
      <c r="E304" s="109">
        <f>+ROUND(SUM('Alimentazione CE Costi'!F389:F398),2)</f>
        <v>6756971.9100000001</v>
      </c>
      <c r="F304" s="72"/>
      <c r="G304" s="245"/>
      <c r="H304" s="110"/>
      <c r="I304" s="109"/>
      <c r="J304" s="106"/>
      <c r="L304" s="110"/>
    </row>
    <row r="305" spans="1:12" ht="25.5">
      <c r="A305" s="236" t="s">
        <v>1248</v>
      </c>
      <c r="B305" s="113" t="s">
        <v>718</v>
      </c>
      <c r="C305" s="114" t="s">
        <v>1520</v>
      </c>
      <c r="D305" s="109">
        <f>+ROUND('Alimentazione CE Costi'!E400+'Alimentazione CE Costi'!E401,2)</f>
        <v>1355353.87</v>
      </c>
      <c r="E305" s="109">
        <f>+ROUND('Alimentazione CE Costi'!F400+'Alimentazione CE Costi'!F401,2)</f>
        <v>1440730.76</v>
      </c>
      <c r="F305" s="72"/>
      <c r="G305" s="245"/>
      <c r="H305" s="110"/>
      <c r="I305" s="109"/>
      <c r="J305" s="106"/>
      <c r="L305" s="110"/>
    </row>
    <row r="306" spans="1:12" ht="18.75">
      <c r="A306" s="232" t="s">
        <v>1248</v>
      </c>
      <c r="B306" s="113" t="s">
        <v>722</v>
      </c>
      <c r="C306" s="114" t="s">
        <v>1521</v>
      </c>
      <c r="D306" s="109">
        <f>+ROUND('Alimentazione CE Costi'!E403,2)</f>
        <v>0</v>
      </c>
      <c r="E306" s="109">
        <f>+ROUND('Alimentazione CE Costi'!F403,2)</f>
        <v>0</v>
      </c>
      <c r="F306" s="72"/>
      <c r="G306" s="245"/>
      <c r="H306" s="120"/>
      <c r="I306" s="109">
        <v>0</v>
      </c>
      <c r="J306" s="106"/>
      <c r="L306" s="110"/>
    </row>
    <row r="307" spans="1:12" ht="25.5">
      <c r="A307" s="232"/>
      <c r="B307" s="163" t="s">
        <v>723</v>
      </c>
      <c r="C307" s="164" t="s">
        <v>1522</v>
      </c>
      <c r="D307" s="151">
        <f t="shared" ref="D307" si="82">SUM(D308:D310,D317)</f>
        <v>10439794.119999999</v>
      </c>
      <c r="E307" s="151">
        <f t="shared" ref="E307" si="83">SUM(E308:E310,E317)</f>
        <v>12258529.099999998</v>
      </c>
      <c r="F307" s="72" t="s">
        <v>1835</v>
      </c>
      <c r="G307" s="245"/>
      <c r="H307" s="110"/>
      <c r="I307" s="151">
        <v>7306131.0049999999</v>
      </c>
      <c r="J307" s="106"/>
      <c r="L307" s="110"/>
    </row>
    <row r="308" spans="1:12" ht="25.5">
      <c r="A308" s="234" t="s">
        <v>1248</v>
      </c>
      <c r="B308" s="113" t="s">
        <v>725</v>
      </c>
      <c r="C308" s="114" t="s">
        <v>1523</v>
      </c>
      <c r="D308" s="109">
        <f>+ROUND('Alimentazione CE Costi'!E406,2)</f>
        <v>10157.02</v>
      </c>
      <c r="E308" s="109">
        <f>+ROUND('Alimentazione CE Costi'!F406,2)</f>
        <v>16051.32</v>
      </c>
      <c r="F308" s="356"/>
      <c r="G308" s="245"/>
      <c r="H308" s="110"/>
      <c r="I308" s="109"/>
      <c r="J308" s="106"/>
      <c r="L308" s="110"/>
    </row>
    <row r="309" spans="1:12" ht="25.5">
      <c r="A309" s="234"/>
      <c r="B309" s="113" t="s">
        <v>727</v>
      </c>
      <c r="C309" s="114" t="s">
        <v>1524</v>
      </c>
      <c r="D309" s="109">
        <f>+ROUND('Alimentazione CE Costi'!E408,2)</f>
        <v>4760.5600000000004</v>
      </c>
      <c r="E309" s="109">
        <f>+ROUND('Alimentazione CE Costi'!F408,2)</f>
        <v>6899.05</v>
      </c>
      <c r="F309" s="356"/>
      <c r="G309" s="245"/>
      <c r="H309" s="110"/>
      <c r="I309" s="109">
        <v>0</v>
      </c>
      <c r="J309" s="106"/>
      <c r="L309" s="110"/>
    </row>
    <row r="310" spans="1:12" ht="25.5">
      <c r="A310" s="234"/>
      <c r="B310" s="155" t="s">
        <v>728</v>
      </c>
      <c r="C310" s="156" t="s">
        <v>1525</v>
      </c>
      <c r="D310" s="154">
        <f t="shared" ref="D310" si="84">SUM(D311:D316)</f>
        <v>10363889.439999999</v>
      </c>
      <c r="E310" s="154">
        <f t="shared" ref="E310" si="85">SUM(E311:E316)</f>
        <v>12182458.539999999</v>
      </c>
      <c r="F310" s="72" t="s">
        <v>1835</v>
      </c>
      <c r="G310" s="245"/>
      <c r="H310" s="110"/>
      <c r="I310" s="154">
        <v>7306131.0049999999</v>
      </c>
      <c r="J310" s="106"/>
      <c r="L310" s="110"/>
    </row>
    <row r="311" spans="1:12" ht="25.5">
      <c r="A311" s="234"/>
      <c r="B311" s="115" t="s">
        <v>730</v>
      </c>
      <c r="C311" s="116" t="s">
        <v>1526</v>
      </c>
      <c r="D311" s="109">
        <f>+ROUND('Alimentazione CE Costi'!E411,2)</f>
        <v>1347331.76</v>
      </c>
      <c r="E311" s="109">
        <f>+ROUND('Alimentazione CE Costi'!F411,2)</f>
        <v>2077641.68</v>
      </c>
      <c r="F311" s="356"/>
      <c r="G311" s="245"/>
      <c r="H311" s="110"/>
      <c r="I311" s="109">
        <v>0</v>
      </c>
      <c r="J311" s="106"/>
      <c r="L311" s="110"/>
    </row>
    <row r="312" spans="1:12" ht="25.5">
      <c r="A312" s="234"/>
      <c r="B312" s="115" t="s">
        <v>731</v>
      </c>
      <c r="C312" s="116" t="s">
        <v>1527</v>
      </c>
      <c r="D312" s="109">
        <f>+ROUND('Alimentazione CE Costi'!E413+'Alimentazione CE Costi'!E415+'Alimentazione CE Costi'!E414,2)</f>
        <v>493202.44</v>
      </c>
      <c r="E312" s="109">
        <f>+ROUND('Alimentazione CE Costi'!F413+'Alimentazione CE Costi'!F415+'Alimentazione CE Costi'!F414,2)</f>
        <v>1008900.29</v>
      </c>
      <c r="F312" s="356"/>
      <c r="G312" s="245"/>
      <c r="H312" s="110"/>
      <c r="I312" s="109"/>
      <c r="J312" s="106"/>
      <c r="L312" s="110"/>
    </row>
    <row r="313" spans="1:12" ht="25.5">
      <c r="A313" s="234"/>
      <c r="B313" s="115" t="s">
        <v>735</v>
      </c>
      <c r="C313" s="116" t="s">
        <v>1528</v>
      </c>
      <c r="D313" s="109">
        <f>+ROUND('Alimentazione CE Costi'!E417+'Alimentazione CE Costi'!E418+'Alimentazione CE Costi'!E419+'Alimentazione CE Costi'!E420,2)</f>
        <v>2170503.25</v>
      </c>
      <c r="E313" s="109">
        <f>+ROUND('Alimentazione CE Costi'!F417+'Alimentazione CE Costi'!F418+'Alimentazione CE Costi'!F419+'Alimentazione CE Costi'!F420,2)</f>
        <v>3437097.78</v>
      </c>
      <c r="F313" s="356"/>
      <c r="G313" s="245"/>
      <c r="H313" s="110"/>
      <c r="I313" s="109">
        <v>1953452.9250000003</v>
      </c>
      <c r="J313" s="106"/>
      <c r="L313" s="110"/>
    </row>
    <row r="314" spans="1:12" ht="25.5">
      <c r="A314" s="234"/>
      <c r="B314" s="115" t="s">
        <v>740</v>
      </c>
      <c r="C314" s="116" t="s">
        <v>1529</v>
      </c>
      <c r="D314" s="109">
        <f>+ROUND(SUM('Alimentazione CE Costi'!E422:E427),2)</f>
        <v>5040703.62</v>
      </c>
      <c r="E314" s="109">
        <f>+ROUND(SUM('Alimentazione CE Costi'!F422:F427),2)</f>
        <v>4254961.1100000003</v>
      </c>
      <c r="F314" s="356"/>
      <c r="G314" s="245"/>
      <c r="H314" s="110"/>
      <c r="I314" s="109">
        <v>5040703.6199999992</v>
      </c>
      <c r="J314" s="106"/>
      <c r="L314" s="110"/>
    </row>
    <row r="315" spans="1:12" ht="18.75">
      <c r="A315" s="234"/>
      <c r="B315" s="115" t="s">
        <v>741</v>
      </c>
      <c r="C315" s="116" t="s">
        <v>1530</v>
      </c>
      <c r="D315" s="109">
        <f>+ROUND('Alimentazione CE Costi'!E429,2)</f>
        <v>204807.87</v>
      </c>
      <c r="E315" s="109">
        <f>+ROUND('Alimentazione CE Costi'!F429,2)</f>
        <v>149140.73000000001</v>
      </c>
      <c r="F315" s="356"/>
      <c r="G315" s="245"/>
      <c r="H315" s="110"/>
      <c r="I315" s="109">
        <v>204807.87</v>
      </c>
      <c r="J315" s="106"/>
      <c r="L315" s="110"/>
    </row>
    <row r="316" spans="1:12" ht="25.5">
      <c r="A316" s="234"/>
      <c r="B316" s="115" t="s">
        <v>742</v>
      </c>
      <c r="C316" s="116" t="s">
        <v>1531</v>
      </c>
      <c r="D316" s="109">
        <f>+ROUND(SUM('Alimentazione CE Costi'!E431:E439),2)</f>
        <v>1107340.5</v>
      </c>
      <c r="E316" s="109">
        <f>+ROUND(SUM('Alimentazione CE Costi'!F431:F439),2)</f>
        <v>1254716.95</v>
      </c>
      <c r="F316" s="356"/>
      <c r="G316" s="245"/>
      <c r="H316" s="110"/>
      <c r="I316" s="109">
        <v>107166.59</v>
      </c>
      <c r="J316" s="106"/>
      <c r="L316" s="110"/>
    </row>
    <row r="317" spans="1:12" ht="25.5">
      <c r="A317" s="234"/>
      <c r="B317" s="155" t="s">
        <v>751</v>
      </c>
      <c r="C317" s="156" t="s">
        <v>1532</v>
      </c>
      <c r="D317" s="154">
        <f t="shared" ref="D317" si="86">SUM(D318:D320)</f>
        <v>60987.1</v>
      </c>
      <c r="E317" s="154">
        <f t="shared" ref="E317" si="87">SUM(E318:E320)</f>
        <v>53120.19</v>
      </c>
      <c r="F317" s="72" t="s">
        <v>1835</v>
      </c>
      <c r="G317" s="245"/>
      <c r="H317" s="110"/>
      <c r="I317" s="154">
        <v>0</v>
      </c>
      <c r="J317" s="106"/>
      <c r="L317" s="110"/>
    </row>
    <row r="318" spans="1:12" ht="25.5">
      <c r="A318" s="234" t="s">
        <v>1248</v>
      </c>
      <c r="B318" s="115" t="s">
        <v>753</v>
      </c>
      <c r="C318" s="116" t="s">
        <v>1533</v>
      </c>
      <c r="D318" s="109">
        <f>+ROUND('Alimentazione CE Costi'!E442,2)</f>
        <v>33079.99</v>
      </c>
      <c r="E318" s="109">
        <f>+ROUND('Alimentazione CE Costi'!F442,2)</f>
        <v>53120.19</v>
      </c>
      <c r="F318" s="356"/>
      <c r="G318" s="245"/>
      <c r="H318" s="110"/>
      <c r="I318" s="109">
        <v>0</v>
      </c>
      <c r="J318" s="106"/>
      <c r="L318" s="110"/>
    </row>
    <row r="319" spans="1:12" ht="25.5">
      <c r="A319" s="234"/>
      <c r="B319" s="115" t="s">
        <v>755</v>
      </c>
      <c r="C319" s="116" t="s">
        <v>1534</v>
      </c>
      <c r="D319" s="109">
        <f>+ROUND('Alimentazione CE Costi'!E444,2)</f>
        <v>0</v>
      </c>
      <c r="E319" s="109">
        <f>+ROUND('Alimentazione CE Costi'!F444,2)</f>
        <v>0</v>
      </c>
      <c r="F319" s="356"/>
      <c r="G319" s="245"/>
      <c r="H319" s="110"/>
      <c r="I319" s="109">
        <v>0</v>
      </c>
      <c r="J319" s="106"/>
      <c r="L319" s="110"/>
    </row>
    <row r="320" spans="1:12" ht="25.5">
      <c r="A320" s="234" t="s">
        <v>1297</v>
      </c>
      <c r="B320" s="115" t="s">
        <v>757</v>
      </c>
      <c r="C320" s="116" t="s">
        <v>1535</v>
      </c>
      <c r="D320" s="109">
        <f>+ROUND('Alimentazione CE Costi'!E446,2)</f>
        <v>27907.11</v>
      </c>
      <c r="E320" s="109">
        <f>+ROUND('Alimentazione CE Costi'!F446,2)</f>
        <v>0</v>
      </c>
      <c r="F320" s="356"/>
      <c r="G320" s="245"/>
      <c r="H320" s="110"/>
      <c r="I320" s="109">
        <v>0</v>
      </c>
      <c r="J320" s="106"/>
      <c r="L320" s="110"/>
    </row>
    <row r="321" spans="1:12" ht="25.5">
      <c r="A321" s="234"/>
      <c r="B321" s="163" t="s">
        <v>758</v>
      </c>
      <c r="C321" s="164" t="s">
        <v>1536</v>
      </c>
      <c r="D321" s="151">
        <f t="shared" ref="D321" si="88">SUM(D322:D328)</f>
        <v>13702752.059999999</v>
      </c>
      <c r="E321" s="151">
        <f t="shared" ref="E321" si="89">SUM(E322:E328)</f>
        <v>12847642.409999998</v>
      </c>
      <c r="F321" s="72" t="s">
        <v>1835</v>
      </c>
      <c r="G321" s="245"/>
      <c r="H321" s="110"/>
      <c r="I321" s="151">
        <v>0</v>
      </c>
      <c r="J321" s="106"/>
      <c r="L321" s="110"/>
    </row>
    <row r="322" spans="1:12" ht="38.25">
      <c r="A322" s="238" t="s">
        <v>1248</v>
      </c>
      <c r="B322" s="113" t="s">
        <v>760</v>
      </c>
      <c r="C322" s="114" t="s">
        <v>1537</v>
      </c>
      <c r="D322" s="109">
        <f>+ROUND('Alimentazione CE Costi'!E449,2)</f>
        <v>84538</v>
      </c>
      <c r="E322" s="109">
        <f>+ROUND('Alimentazione CE Costi'!F449,2)</f>
        <v>98845</v>
      </c>
      <c r="F322" s="356"/>
      <c r="G322" s="245"/>
      <c r="H322" s="110"/>
      <c r="I322" s="109">
        <v>0</v>
      </c>
      <c r="J322" s="106"/>
      <c r="L322" s="110"/>
    </row>
    <row r="323" spans="1:12" ht="25.5">
      <c r="A323" s="234"/>
      <c r="B323" s="113" t="s">
        <v>762</v>
      </c>
      <c r="C323" s="114" t="s">
        <v>1538</v>
      </c>
      <c r="D323" s="109">
        <f>+ROUND('Alimentazione CE Costi'!E451,2)</f>
        <v>0</v>
      </c>
      <c r="E323" s="109">
        <f>+ROUND('Alimentazione CE Costi'!F451,2)</f>
        <v>0</v>
      </c>
      <c r="F323" s="356"/>
      <c r="G323" s="245"/>
      <c r="H323" s="110"/>
      <c r="I323" s="109">
        <v>0</v>
      </c>
      <c r="J323" s="106"/>
      <c r="L323" s="110"/>
    </row>
    <row r="324" spans="1:12" ht="25.5">
      <c r="A324" s="234" t="s">
        <v>1297</v>
      </c>
      <c r="B324" s="113" t="s">
        <v>764</v>
      </c>
      <c r="C324" s="114" t="s">
        <v>1539</v>
      </c>
      <c r="D324" s="109">
        <f>+ROUND('Alimentazione CE Costi'!E453,2)</f>
        <v>6411.1</v>
      </c>
      <c r="E324" s="109">
        <f>+ROUND('Alimentazione CE Costi'!F453,2)</f>
        <v>8181.84</v>
      </c>
      <c r="F324" s="356"/>
      <c r="G324" s="245"/>
      <c r="H324" s="110"/>
      <c r="I324" s="109">
        <v>0</v>
      </c>
      <c r="J324" s="106"/>
      <c r="L324" s="110"/>
    </row>
    <row r="325" spans="1:12" ht="18.75">
      <c r="A325" s="238"/>
      <c r="B325" s="113" t="s">
        <v>766</v>
      </c>
      <c r="C325" s="114" t="s">
        <v>1540</v>
      </c>
      <c r="D325" s="109">
        <f>+ROUND('Alimentazione CE Costi'!E455+'Alimentazione CE Costi'!E456+'Alimentazione CE Costi'!E458+'Alimentazione CE Costi'!E457,2)</f>
        <v>12590887.619999999</v>
      </c>
      <c r="E325" s="109">
        <f>+ROUND('Alimentazione CE Costi'!F455+'Alimentazione CE Costi'!F456+'Alimentazione CE Costi'!F458+'Alimentazione CE Costi'!F457,2)</f>
        <v>11781559.449999999</v>
      </c>
      <c r="F325" s="356"/>
      <c r="G325" s="245"/>
      <c r="H325" s="110"/>
      <c r="I325" s="109"/>
      <c r="J325" s="106"/>
      <c r="L325" s="110"/>
    </row>
    <row r="326" spans="1:12" ht="25.5">
      <c r="A326" s="236"/>
      <c r="B326" s="113" t="s">
        <v>769</v>
      </c>
      <c r="C326" s="114" t="s">
        <v>1541</v>
      </c>
      <c r="D326" s="109">
        <f>+ROUND('Alimentazione CE Costi'!E460,2)</f>
        <v>1020915.34</v>
      </c>
      <c r="E326" s="109">
        <f>+ROUND('Alimentazione CE Costi'!F460,2)</f>
        <v>959056.12</v>
      </c>
      <c r="F326" s="72"/>
      <c r="G326" s="245"/>
      <c r="H326" s="110"/>
      <c r="I326" s="109">
        <v>0</v>
      </c>
      <c r="J326" s="106"/>
      <c r="L326" s="110"/>
    </row>
    <row r="327" spans="1:12" ht="25.5">
      <c r="A327" s="236" t="s">
        <v>1248</v>
      </c>
      <c r="B327" s="113" t="s">
        <v>771</v>
      </c>
      <c r="C327" s="114" t="s">
        <v>1542</v>
      </c>
      <c r="D327" s="109">
        <f>+ROUND('Alimentazione CE Costi'!E462,2)</f>
        <v>0</v>
      </c>
      <c r="E327" s="109">
        <f>+ROUND('Alimentazione CE Costi'!F462,2)</f>
        <v>0</v>
      </c>
      <c r="F327" s="72"/>
      <c r="G327" s="245"/>
      <c r="H327" s="110"/>
      <c r="I327" s="109">
        <v>0</v>
      </c>
      <c r="J327" s="106"/>
      <c r="L327" s="110"/>
    </row>
    <row r="328" spans="1:12" ht="25.5">
      <c r="A328" s="236" t="s">
        <v>1297</v>
      </c>
      <c r="B328" s="113" t="s">
        <v>773</v>
      </c>
      <c r="C328" s="114" t="s">
        <v>1543</v>
      </c>
      <c r="D328" s="109">
        <f>+ROUND('Alimentazione CE Costi'!E464,2)</f>
        <v>0</v>
      </c>
      <c r="E328" s="109">
        <f>+ROUND('Alimentazione CE Costi'!F464,2)</f>
        <v>0</v>
      </c>
      <c r="F328" s="72"/>
      <c r="G328" s="245"/>
      <c r="H328" s="110"/>
      <c r="I328" s="109">
        <v>0</v>
      </c>
      <c r="J328" s="106"/>
      <c r="L328" s="110"/>
    </row>
    <row r="329" spans="1:12" ht="25.5">
      <c r="A329" s="239" t="s">
        <v>1293</v>
      </c>
      <c r="B329" s="111" t="s">
        <v>774</v>
      </c>
      <c r="C329" s="112" t="s">
        <v>1544</v>
      </c>
      <c r="D329" s="109">
        <f>+ROUND('Alimentazione CE Costi'!E466,2)</f>
        <v>0</v>
      </c>
      <c r="E329" s="109">
        <f>+ROUND('Alimentazione CE Costi'!F466,2)</f>
        <v>0</v>
      </c>
      <c r="F329" s="72"/>
      <c r="G329" s="245"/>
      <c r="H329" s="110"/>
      <c r="I329" s="109">
        <v>0</v>
      </c>
      <c r="J329" s="106"/>
      <c r="L329" s="110"/>
    </row>
    <row r="330" spans="1:12" ht="18.75">
      <c r="A330" s="236"/>
      <c r="B330" s="138" t="s">
        <v>776</v>
      </c>
      <c r="C330" s="139" t="s">
        <v>1545</v>
      </c>
      <c r="D330" s="137">
        <f t="shared" ref="D330" si="90">+D331+D351+D365</f>
        <v>82781761</v>
      </c>
      <c r="E330" s="137">
        <f t="shared" ref="E330" si="91">+E331+E351+E365</f>
        <v>95044415.640000001</v>
      </c>
      <c r="F330" s="72" t="s">
        <v>1835</v>
      </c>
      <c r="G330" s="245"/>
      <c r="H330" s="110"/>
      <c r="I330" s="137">
        <v>48670127.374800004</v>
      </c>
      <c r="J330" s="106"/>
      <c r="L330" s="110"/>
    </row>
    <row r="331" spans="1:12" ht="18.75">
      <c r="A331" s="232"/>
      <c r="B331" s="163" t="s">
        <v>777</v>
      </c>
      <c r="C331" s="164" t="s">
        <v>1546</v>
      </c>
      <c r="D331" s="151">
        <f t="shared" ref="D331" si="92">+D332+D333+D334+D337+D338+D339+D340+D341+D342+D343+D344+D347</f>
        <v>79972114.310000002</v>
      </c>
      <c r="E331" s="151">
        <f t="shared" ref="E331" si="93">+E332+E333+E334+E337+E338+E339+E340+E341+E342+E343+E344+E347</f>
        <v>89850423</v>
      </c>
      <c r="F331" s="72" t="s">
        <v>1835</v>
      </c>
      <c r="G331" s="245"/>
      <c r="H331" s="110"/>
      <c r="I331" s="151">
        <v>48109257.174800001</v>
      </c>
      <c r="J331" s="106"/>
      <c r="L331" s="110"/>
    </row>
    <row r="332" spans="1:12" ht="18.75">
      <c r="A332" s="232"/>
      <c r="B332" s="113" t="s">
        <v>779</v>
      </c>
      <c r="C332" s="114" t="s">
        <v>1547</v>
      </c>
      <c r="D332" s="109">
        <f>+ROUND('Alimentazione CE Costi'!E470,2)</f>
        <v>6563292.5</v>
      </c>
      <c r="E332" s="109">
        <f>+ROUND('Alimentazione CE Costi'!F470,2)</f>
        <v>6023128.1799999997</v>
      </c>
      <c r="F332" s="72"/>
      <c r="G332" s="245"/>
      <c r="H332" s="110"/>
      <c r="I332" s="109">
        <v>4922469.375</v>
      </c>
      <c r="J332" s="106"/>
      <c r="L332" s="110"/>
    </row>
    <row r="333" spans="1:12" ht="18.75">
      <c r="A333" s="232"/>
      <c r="B333" s="113" t="s">
        <v>781</v>
      </c>
      <c r="C333" s="114" t="s">
        <v>1548</v>
      </c>
      <c r="D333" s="109">
        <f>+ROUND('Alimentazione CE Costi'!E472,2)</f>
        <v>11564745.029999999</v>
      </c>
      <c r="E333" s="109">
        <f>+ROUND('Alimentazione CE Costi'!F472,2)</f>
        <v>11614853.119999999</v>
      </c>
      <c r="F333" s="72"/>
      <c r="G333" s="245"/>
      <c r="H333" s="110"/>
      <c r="I333" s="109">
        <v>7632731.7198000001</v>
      </c>
      <c r="J333" s="106"/>
      <c r="L333" s="110"/>
    </row>
    <row r="334" spans="1:12" ht="18.75">
      <c r="A334" s="232"/>
      <c r="B334" s="155" t="s">
        <v>782</v>
      </c>
      <c r="C334" s="156" t="s">
        <v>1549</v>
      </c>
      <c r="D334" s="154">
        <f t="shared" ref="D334" si="94">+D335+D336</f>
        <v>9191497.0800000001</v>
      </c>
      <c r="E334" s="154">
        <f t="shared" ref="E334" si="95">+E335+E336</f>
        <v>8364621.7800000003</v>
      </c>
      <c r="F334" s="72" t="s">
        <v>1835</v>
      </c>
      <c r="G334" s="245"/>
      <c r="H334" s="110"/>
      <c r="I334" s="154">
        <v>7514004.3799999999</v>
      </c>
      <c r="J334" s="106"/>
      <c r="L334" s="110"/>
    </row>
    <row r="335" spans="1:12" ht="18.75">
      <c r="A335" s="232"/>
      <c r="B335" s="113" t="s">
        <v>784</v>
      </c>
      <c r="C335" s="114" t="s">
        <v>1550</v>
      </c>
      <c r="D335" s="109">
        <f>+ROUND('Alimentazione CE Costi'!E475,2)</f>
        <v>1991787.6</v>
      </c>
      <c r="E335" s="109">
        <f>+ROUND('Alimentazione CE Costi'!F475,2)</f>
        <v>1950864.66</v>
      </c>
      <c r="F335" s="72"/>
      <c r="G335" s="245"/>
      <c r="H335" s="110"/>
      <c r="I335" s="109">
        <v>1394251.32</v>
      </c>
      <c r="J335" s="106"/>
      <c r="L335" s="110"/>
    </row>
    <row r="336" spans="1:12" ht="18.75">
      <c r="A336" s="232"/>
      <c r="B336" s="113" t="s">
        <v>786</v>
      </c>
      <c r="C336" s="114" t="s">
        <v>1551</v>
      </c>
      <c r="D336" s="109">
        <f>+ROUND('Alimentazione CE Costi'!E477,2)</f>
        <v>7199709.4800000004</v>
      </c>
      <c r="E336" s="109">
        <f>+ROUND('Alimentazione CE Costi'!F477,2)</f>
        <v>6413757.1200000001</v>
      </c>
      <c r="F336" s="72"/>
      <c r="G336" s="245"/>
      <c r="H336" s="110"/>
      <c r="I336" s="109">
        <v>6119753.0599999996</v>
      </c>
      <c r="J336" s="106"/>
      <c r="L336" s="110"/>
    </row>
    <row r="337" spans="1:12" ht="18.75">
      <c r="A337" s="232"/>
      <c r="B337" s="113" t="s">
        <v>788</v>
      </c>
      <c r="C337" s="114" t="s">
        <v>1552</v>
      </c>
      <c r="D337" s="109">
        <f>+ROUND('Alimentazione CE Costi'!E479,2)</f>
        <v>14341775.289999999</v>
      </c>
      <c r="E337" s="109">
        <f>+ROUND('Alimentazione CE Costi'!F479,2)</f>
        <v>18384826.120000001</v>
      </c>
      <c r="F337" s="72"/>
      <c r="G337" s="245"/>
      <c r="H337" s="110"/>
      <c r="I337" s="109">
        <v>10405527.07</v>
      </c>
      <c r="J337" s="106"/>
      <c r="L337" s="110"/>
    </row>
    <row r="338" spans="1:12" ht="18.75">
      <c r="A338" s="232"/>
      <c r="B338" s="113" t="s">
        <v>789</v>
      </c>
      <c r="C338" s="114" t="s">
        <v>1553</v>
      </c>
      <c r="D338" s="109">
        <f>+ROUND('Alimentazione CE Costi'!E481+'Alimentazione CE Costi'!E482+'Alimentazione CE Costi'!E483,2)</f>
        <v>724193.36</v>
      </c>
      <c r="E338" s="109">
        <f>+ROUND('Alimentazione CE Costi'!F481+'Alimentazione CE Costi'!F482+'Alimentazione CE Costi'!F483,2)</f>
        <v>562934.59</v>
      </c>
      <c r="F338" s="72"/>
      <c r="G338" s="245"/>
      <c r="H338" s="110"/>
      <c r="I338" s="109">
        <v>654654.84000000008</v>
      </c>
      <c r="J338" s="106"/>
      <c r="L338" s="110"/>
    </row>
    <row r="339" spans="1:12" ht="18.75">
      <c r="A339" s="232"/>
      <c r="B339" s="113" t="s">
        <v>794</v>
      </c>
      <c r="C339" s="114" t="s">
        <v>1554</v>
      </c>
      <c r="D339" s="109">
        <f>+ROUND('Alimentazione CE Costi'!E485,2)</f>
        <v>4031332.24</v>
      </c>
      <c r="E339" s="109">
        <f>+ROUND('Alimentazione CE Costi'!F485,2)</f>
        <v>3728471.66</v>
      </c>
      <c r="F339" s="72"/>
      <c r="G339" s="245"/>
      <c r="H339" s="110"/>
      <c r="I339" s="109">
        <v>0</v>
      </c>
      <c r="J339" s="106"/>
      <c r="L339" s="110"/>
    </row>
    <row r="340" spans="1:12" ht="18.75">
      <c r="A340" s="232"/>
      <c r="B340" s="113" t="s">
        <v>796</v>
      </c>
      <c r="C340" s="114" t="s">
        <v>1555</v>
      </c>
      <c r="D340" s="109">
        <f>+ROUND('Alimentazione CE Costi'!E487,2)</f>
        <v>4462576.28</v>
      </c>
      <c r="E340" s="109">
        <f>+ROUND('Alimentazione CE Costi'!F487,2)</f>
        <v>4781115.71</v>
      </c>
      <c r="F340" s="72"/>
      <c r="G340" s="245"/>
      <c r="H340" s="110"/>
      <c r="I340" s="109">
        <v>2350983.0099999998</v>
      </c>
      <c r="J340" s="106"/>
      <c r="L340" s="110"/>
    </row>
    <row r="341" spans="1:12" ht="18.75">
      <c r="A341" s="232"/>
      <c r="B341" s="113" t="s">
        <v>797</v>
      </c>
      <c r="C341" s="114" t="s">
        <v>1556</v>
      </c>
      <c r="D341" s="109">
        <f>+ROUND('Alimentazione CE Costi'!E489+'Alimentazione CE Costi'!E490,2)</f>
        <v>264645.90999999997</v>
      </c>
      <c r="E341" s="109">
        <f>+ROUND('Alimentazione CE Costi'!F489+'Alimentazione CE Costi'!F490,2)</f>
        <v>297926.86</v>
      </c>
      <c r="F341" s="72"/>
      <c r="G341" s="245"/>
      <c r="H341" s="110"/>
      <c r="I341" s="109">
        <v>163460.03</v>
      </c>
      <c r="J341" s="106"/>
      <c r="L341" s="110"/>
    </row>
    <row r="342" spans="1:12" ht="18.75">
      <c r="A342" s="232"/>
      <c r="B342" s="113" t="s">
        <v>801</v>
      </c>
      <c r="C342" s="114" t="s">
        <v>1557</v>
      </c>
      <c r="D342" s="109">
        <f>+ROUND('Alimentazione CE Costi'!E492,2)</f>
        <v>11951996.5</v>
      </c>
      <c r="E342" s="109">
        <f>+ROUND('Alimentazione CE Costi'!F492,2)</f>
        <v>19795675.170000002</v>
      </c>
      <c r="F342" s="72"/>
      <c r="G342" s="245"/>
      <c r="H342" s="110"/>
      <c r="I342" s="109">
        <v>8451996.5</v>
      </c>
      <c r="J342" s="106"/>
      <c r="L342" s="110"/>
    </row>
    <row r="343" spans="1:12" ht="18.75">
      <c r="A343" s="232"/>
      <c r="B343" s="113" t="s">
        <v>803</v>
      </c>
      <c r="C343" s="114" t="s">
        <v>1558</v>
      </c>
      <c r="D343" s="109">
        <f>+ROUND('Alimentazione CE Costi'!E494+'Alimentazione CE Costi'!E495+'Alimentazione CE Costi'!E496+'Alimentazione CE Costi'!E497+'Alimentazione CE Costi'!E498,2)</f>
        <v>1723453.34</v>
      </c>
      <c r="E343" s="109">
        <f>+ROUND('Alimentazione CE Costi'!F494+'Alimentazione CE Costi'!F495+'Alimentazione CE Costi'!F496+'Alimentazione CE Costi'!F497+'Alimentazione CE Costi'!F498,2)</f>
        <v>1824799.84</v>
      </c>
      <c r="F343" s="72"/>
      <c r="G343" s="245"/>
      <c r="H343" s="110"/>
      <c r="I343" s="109">
        <v>1307464.7</v>
      </c>
      <c r="J343" s="106"/>
      <c r="L343" s="110"/>
    </row>
    <row r="344" spans="1:12" ht="18.75">
      <c r="A344" s="236"/>
      <c r="B344" s="155" t="s">
        <v>808</v>
      </c>
      <c r="C344" s="156" t="s">
        <v>1559</v>
      </c>
      <c r="D344" s="154">
        <f t="shared" ref="D344" si="96">+D345+D346</f>
        <v>840966.15</v>
      </c>
      <c r="E344" s="154">
        <f t="shared" ref="E344" si="97">+E345+E346</f>
        <v>809946.47</v>
      </c>
      <c r="F344" s="72" t="s">
        <v>1835</v>
      </c>
      <c r="G344" s="245"/>
      <c r="H344" s="110"/>
      <c r="I344" s="154">
        <v>0</v>
      </c>
      <c r="J344" s="106"/>
      <c r="L344" s="110"/>
    </row>
    <row r="345" spans="1:12" ht="18.75">
      <c r="A345" s="236"/>
      <c r="B345" s="115" t="s">
        <v>809</v>
      </c>
      <c r="C345" s="116" t="s">
        <v>1560</v>
      </c>
      <c r="D345" s="109">
        <f>+ROUND('Alimentazione CE Costi'!E501,2)</f>
        <v>0</v>
      </c>
      <c r="E345" s="109">
        <f>+ROUND('Alimentazione CE Costi'!F501,2)</f>
        <v>0</v>
      </c>
      <c r="F345" s="72"/>
      <c r="G345" s="245"/>
      <c r="H345" s="120"/>
      <c r="I345" s="109">
        <v>0</v>
      </c>
      <c r="J345" s="106"/>
      <c r="L345" s="110"/>
    </row>
    <row r="346" spans="1:12" ht="25.5">
      <c r="A346" s="236"/>
      <c r="B346" s="115" t="s">
        <v>811</v>
      </c>
      <c r="C346" s="116" t="s">
        <v>1561</v>
      </c>
      <c r="D346" s="109">
        <f>+ROUND('Alimentazione CE Costi'!E503,2)</f>
        <v>840966.15</v>
      </c>
      <c r="E346" s="109">
        <f>+ROUND('Alimentazione CE Costi'!F503,2)</f>
        <v>809946.47</v>
      </c>
      <c r="F346" s="72"/>
      <c r="G346" s="245"/>
      <c r="H346" s="110"/>
      <c r="I346" s="109">
        <v>0</v>
      </c>
      <c r="J346" s="106"/>
      <c r="L346" s="110"/>
    </row>
    <row r="347" spans="1:12" ht="18.75">
      <c r="A347" s="236"/>
      <c r="B347" s="155" t="s">
        <v>812</v>
      </c>
      <c r="C347" s="156" t="s">
        <v>1562</v>
      </c>
      <c r="D347" s="154">
        <f t="shared" ref="D347" si="98">+D348+D349+D350</f>
        <v>14311640.629999999</v>
      </c>
      <c r="E347" s="154">
        <f t="shared" ref="E347" si="99">+E348+E349+E350</f>
        <v>13662123.5</v>
      </c>
      <c r="F347" s="72" t="s">
        <v>1835</v>
      </c>
      <c r="G347" s="245"/>
      <c r="H347" s="110"/>
      <c r="I347" s="154">
        <v>4705965.55</v>
      </c>
      <c r="J347" s="106"/>
      <c r="L347" s="110"/>
    </row>
    <row r="348" spans="1:12" ht="25.5">
      <c r="A348" s="236" t="s">
        <v>1248</v>
      </c>
      <c r="B348" s="115" t="s">
        <v>814</v>
      </c>
      <c r="C348" s="116" t="s">
        <v>1563</v>
      </c>
      <c r="D348" s="109">
        <f>+ROUND('Alimentazione CE Costi'!E506,2)</f>
        <v>2118887.13</v>
      </c>
      <c r="E348" s="109">
        <f>+ROUND('Alimentazione CE Costi'!F506,2)</f>
        <v>1968232.5</v>
      </c>
      <c r="F348" s="72"/>
      <c r="G348" s="245"/>
      <c r="H348" s="110"/>
      <c r="I348" s="109">
        <v>320000</v>
      </c>
      <c r="J348" s="106"/>
      <c r="L348" s="110"/>
    </row>
    <row r="349" spans="1:12" ht="25.5">
      <c r="A349" s="232"/>
      <c r="B349" s="115" t="s">
        <v>815</v>
      </c>
      <c r="C349" s="116" t="s">
        <v>1564</v>
      </c>
      <c r="D349" s="109">
        <f>+ROUND('Alimentazione CE Costi'!E508+'Alimentazione CE Costi'!E509,2)</f>
        <v>66470.13</v>
      </c>
      <c r="E349" s="109">
        <f>+ROUND('Alimentazione CE Costi'!F508+'Alimentazione CE Costi'!F509,2)</f>
        <v>135583.4</v>
      </c>
      <c r="F349" s="72"/>
      <c r="G349" s="245"/>
      <c r="H349" s="110"/>
      <c r="I349" s="109">
        <v>0</v>
      </c>
      <c r="J349" s="106"/>
      <c r="L349" s="110"/>
    </row>
    <row r="350" spans="1:12" ht="18.75">
      <c r="A350" s="236"/>
      <c r="B350" s="115" t="s">
        <v>819</v>
      </c>
      <c r="C350" s="116" t="s">
        <v>1565</v>
      </c>
      <c r="D350" s="109">
        <f>+ROUND(SUM('Alimentazione CE Costi'!E511:E525),2)</f>
        <v>12126283.369999999</v>
      </c>
      <c r="E350" s="109">
        <f>+ROUND(SUM('Alimentazione CE Costi'!F511:F525),2)</f>
        <v>11558307.6</v>
      </c>
      <c r="F350" s="72"/>
      <c r="G350" s="245"/>
      <c r="H350" s="110"/>
      <c r="I350" s="109">
        <v>4385965.55</v>
      </c>
      <c r="J350" s="106"/>
      <c r="L350" s="110"/>
    </row>
    <row r="351" spans="1:12" ht="25.5">
      <c r="A351" s="232"/>
      <c r="B351" s="163" t="s">
        <v>834</v>
      </c>
      <c r="C351" s="164" t="s">
        <v>1566</v>
      </c>
      <c r="D351" s="151">
        <f t="shared" ref="D351" si="100">+D352+D353+D354+D361</f>
        <v>2459558.37</v>
      </c>
      <c r="E351" s="151">
        <f t="shared" ref="E351" si="101">+E352+E353+E354+E361</f>
        <v>4860876.97</v>
      </c>
      <c r="F351" s="72" t="s">
        <v>1835</v>
      </c>
      <c r="G351" s="245"/>
      <c r="H351" s="110"/>
      <c r="I351" s="151">
        <v>560870.19999999995</v>
      </c>
      <c r="J351" s="106"/>
      <c r="L351" s="110"/>
    </row>
    <row r="352" spans="1:12" ht="25.5">
      <c r="A352" s="232" t="s">
        <v>1248</v>
      </c>
      <c r="B352" s="113" t="s">
        <v>836</v>
      </c>
      <c r="C352" s="114" t="s">
        <v>1567</v>
      </c>
      <c r="D352" s="109">
        <f>+ROUND('Alimentazione CE Costi'!E528,2)</f>
        <v>0</v>
      </c>
      <c r="E352" s="109">
        <f>+ROUND('Alimentazione CE Costi'!F528,2)</f>
        <v>0</v>
      </c>
      <c r="F352" s="72"/>
      <c r="G352" s="245"/>
      <c r="H352" s="110"/>
      <c r="I352" s="109">
        <v>0</v>
      </c>
      <c r="J352" s="106"/>
      <c r="L352" s="110"/>
    </row>
    <row r="353" spans="1:12" ht="25.5">
      <c r="A353" s="232"/>
      <c r="B353" s="113" t="s">
        <v>838</v>
      </c>
      <c r="C353" s="114" t="s">
        <v>1568</v>
      </c>
      <c r="D353" s="109">
        <f>+ROUND('Alimentazione CE Costi'!E530,2)</f>
        <v>0</v>
      </c>
      <c r="E353" s="109">
        <f>+ROUND('Alimentazione CE Costi'!F530,2)</f>
        <v>0</v>
      </c>
      <c r="F353" s="72"/>
      <c r="G353" s="245"/>
      <c r="H353" s="110"/>
      <c r="I353" s="109">
        <v>0</v>
      </c>
      <c r="J353" s="106"/>
      <c r="L353" s="110"/>
    </row>
    <row r="354" spans="1:12" ht="25.5">
      <c r="A354" s="232"/>
      <c r="B354" s="155" t="s">
        <v>839</v>
      </c>
      <c r="C354" s="156" t="s">
        <v>1569</v>
      </c>
      <c r="D354" s="154">
        <f t="shared" ref="D354" si="102">SUM(D355:D360)</f>
        <v>2437238.9700000002</v>
      </c>
      <c r="E354" s="154">
        <f t="shared" ref="E354" si="103">SUM(E355:E360)</f>
        <v>4860876.97</v>
      </c>
      <c r="F354" s="72" t="s">
        <v>1835</v>
      </c>
      <c r="G354" s="245"/>
      <c r="H354" s="110"/>
      <c r="I354" s="154">
        <v>560870.19999999995</v>
      </c>
      <c r="J354" s="106"/>
      <c r="L354" s="110"/>
    </row>
    <row r="355" spans="1:12" ht="18.75">
      <c r="A355" s="232"/>
      <c r="B355" s="115" t="s">
        <v>840</v>
      </c>
      <c r="C355" s="116" t="s">
        <v>1570</v>
      </c>
      <c r="D355" s="109">
        <f>+ROUND(SUM('Alimentazione CE Costi'!E533:E537),2)</f>
        <v>283612.01</v>
      </c>
      <c r="E355" s="109">
        <f>+ROUND(SUM('Alimentazione CE Costi'!F533:F537),2)</f>
        <v>255283.72</v>
      </c>
      <c r="F355" s="72"/>
      <c r="G355" s="245"/>
      <c r="H355" s="110"/>
      <c r="I355" s="109"/>
      <c r="J355" s="106"/>
      <c r="L355" s="110"/>
    </row>
    <row r="356" spans="1:12" ht="25.5">
      <c r="A356" s="232"/>
      <c r="B356" s="115" t="s">
        <v>847</v>
      </c>
      <c r="C356" s="116" t="s">
        <v>1571</v>
      </c>
      <c r="D356" s="109">
        <f>+ROUND('Alimentazione CE Costi'!E539,2)</f>
        <v>54535.64</v>
      </c>
      <c r="E356" s="109">
        <f>+ROUND('Alimentazione CE Costi'!F539,2)</f>
        <v>42622.18</v>
      </c>
      <c r="F356" s="72"/>
      <c r="G356" s="245"/>
      <c r="H356" s="110"/>
      <c r="I356" s="109">
        <v>0</v>
      </c>
      <c r="J356" s="106"/>
      <c r="L356" s="110"/>
    </row>
    <row r="357" spans="1:12" ht="25.5">
      <c r="A357" s="232"/>
      <c r="B357" s="115" t="s">
        <v>848</v>
      </c>
      <c r="C357" s="116" t="s">
        <v>1572</v>
      </c>
      <c r="D357" s="109">
        <f>+ROUND('Alimentazione CE Costi'!E541,2)</f>
        <v>0</v>
      </c>
      <c r="E357" s="109">
        <f>+ROUND('Alimentazione CE Costi'!F541,2)</f>
        <v>0</v>
      </c>
      <c r="F357" s="72"/>
      <c r="G357" s="245"/>
      <c r="H357" s="110"/>
      <c r="I357" s="109"/>
      <c r="J357" s="106"/>
      <c r="L357" s="110"/>
    </row>
    <row r="358" spans="1:12" ht="18.75">
      <c r="A358" s="232"/>
      <c r="B358" s="115" t="s">
        <v>849</v>
      </c>
      <c r="C358" s="116" t="s">
        <v>1573</v>
      </c>
      <c r="D358" s="109">
        <f>+ROUND('Alimentazione CE Costi'!E543,2)</f>
        <v>2019563.6</v>
      </c>
      <c r="E358" s="109">
        <f>+ROUND('Alimentazione CE Costi'!F543,2)</f>
        <v>4466731.7699999996</v>
      </c>
      <c r="F358" s="72"/>
      <c r="G358" s="245"/>
      <c r="H358" s="110"/>
      <c r="I358" s="109">
        <v>560870.19999999995</v>
      </c>
      <c r="J358" s="106"/>
      <c r="L358" s="110"/>
    </row>
    <row r="359" spans="1:12" ht="25.5">
      <c r="A359" s="232"/>
      <c r="B359" s="115" t="s">
        <v>850</v>
      </c>
      <c r="C359" s="116" t="s">
        <v>1574</v>
      </c>
      <c r="D359" s="119">
        <f>+ROUND('Alimentazione CE Costi'!E545+'Alimentazione CE Costi'!E546+'Alimentazione CE Costi'!E547+'Alimentazione CE Costi'!E548+'Alimentazione CE Costi'!E549,2)</f>
        <v>79527.72</v>
      </c>
      <c r="E359" s="119">
        <f>+ROUND('Alimentazione CE Costi'!F545+'Alimentazione CE Costi'!F546+'Alimentazione CE Costi'!F547+'Alimentazione CE Costi'!F548+'Alimentazione CE Costi'!F549,2)</f>
        <v>96239.3</v>
      </c>
      <c r="F359" s="72"/>
      <c r="G359" s="245"/>
      <c r="H359" s="110"/>
      <c r="I359" s="119"/>
      <c r="J359" s="106"/>
      <c r="L359" s="110"/>
    </row>
    <row r="360" spans="1:12" ht="51">
      <c r="A360" s="232"/>
      <c r="B360" s="115" t="s">
        <v>855</v>
      </c>
      <c r="C360" s="116" t="s">
        <v>1575</v>
      </c>
      <c r="D360" s="109">
        <f>+ROUND('Alimentazione CE Costi'!E551,2)</f>
        <v>0</v>
      </c>
      <c r="E360" s="109">
        <f>+ROUND('Alimentazione CE Costi'!F551,2)</f>
        <v>0</v>
      </c>
      <c r="F360" s="72"/>
      <c r="G360" s="245"/>
      <c r="H360" s="110"/>
      <c r="I360" s="109">
        <v>0</v>
      </c>
      <c r="J360" s="106"/>
      <c r="L360" s="110"/>
    </row>
    <row r="361" spans="1:12" ht="25.5">
      <c r="A361" s="232"/>
      <c r="B361" s="155" t="s">
        <v>856</v>
      </c>
      <c r="C361" s="156" t="s">
        <v>1576</v>
      </c>
      <c r="D361" s="154">
        <f t="shared" ref="D361" si="104">SUM(D362:D364)</f>
        <v>22319.4</v>
      </c>
      <c r="E361" s="154">
        <f t="shared" ref="E361" si="105">SUM(E362:E364)</f>
        <v>0</v>
      </c>
      <c r="F361" s="72" t="s">
        <v>1835</v>
      </c>
      <c r="G361" s="245"/>
      <c r="H361" s="110"/>
      <c r="I361" s="154">
        <v>0</v>
      </c>
      <c r="J361" s="106"/>
      <c r="L361" s="110"/>
    </row>
    <row r="362" spans="1:12" ht="38.25">
      <c r="A362" s="232" t="s">
        <v>1248</v>
      </c>
      <c r="B362" s="115" t="s">
        <v>858</v>
      </c>
      <c r="C362" s="116" t="s">
        <v>1577</v>
      </c>
      <c r="D362" s="109">
        <f>+ROUND('Alimentazione CE Costi'!E554,2)</f>
        <v>0</v>
      </c>
      <c r="E362" s="109">
        <f>+ROUND('Alimentazione CE Costi'!F554,2)</f>
        <v>0</v>
      </c>
      <c r="F362" s="72"/>
      <c r="G362" s="245"/>
      <c r="H362" s="110"/>
      <c r="I362" s="109">
        <v>0</v>
      </c>
      <c r="J362" s="106"/>
      <c r="L362" s="110"/>
    </row>
    <row r="363" spans="1:12" ht="38.25">
      <c r="A363" s="232"/>
      <c r="B363" s="115" t="s">
        <v>860</v>
      </c>
      <c r="C363" s="116" t="s">
        <v>1578</v>
      </c>
      <c r="D363" s="109">
        <f>+ROUND('Alimentazione CE Costi'!E556,2)</f>
        <v>0</v>
      </c>
      <c r="E363" s="109">
        <f>+ROUND('Alimentazione CE Costi'!F556,2)</f>
        <v>0</v>
      </c>
      <c r="F363" s="72"/>
      <c r="G363" s="245"/>
      <c r="H363" s="110"/>
      <c r="I363" s="109">
        <v>0</v>
      </c>
      <c r="J363" s="106"/>
      <c r="L363" s="110"/>
    </row>
    <row r="364" spans="1:12" ht="38.25">
      <c r="A364" s="232" t="s">
        <v>1297</v>
      </c>
      <c r="B364" s="115" t="s">
        <v>862</v>
      </c>
      <c r="C364" s="116" t="s">
        <v>1579</v>
      </c>
      <c r="D364" s="109">
        <f>+ROUND('Alimentazione CE Costi'!E558,2)</f>
        <v>22319.4</v>
      </c>
      <c r="E364" s="109">
        <f>+ROUND('Alimentazione CE Costi'!F558,2)</f>
        <v>0</v>
      </c>
      <c r="F364" s="72"/>
      <c r="G364" s="245"/>
      <c r="H364" s="110"/>
      <c r="I364" s="109">
        <v>0</v>
      </c>
      <c r="J364" s="106"/>
      <c r="L364" s="110"/>
    </row>
    <row r="365" spans="1:12" ht="18.75">
      <c r="A365" s="232"/>
      <c r="B365" s="163" t="s">
        <v>863</v>
      </c>
      <c r="C365" s="164" t="s">
        <v>1580</v>
      </c>
      <c r="D365" s="151">
        <f t="shared" ref="D365" si="106">+D366+D367</f>
        <v>350088.32</v>
      </c>
      <c r="E365" s="151">
        <f t="shared" ref="E365" si="107">+E366+E367</f>
        <v>333115.67</v>
      </c>
      <c r="F365" s="72" t="s">
        <v>1835</v>
      </c>
      <c r="G365" s="245"/>
      <c r="H365" s="110"/>
      <c r="I365" s="151">
        <v>0</v>
      </c>
      <c r="J365" s="106"/>
      <c r="L365" s="110"/>
    </row>
    <row r="366" spans="1:12" ht="18.75">
      <c r="A366" s="232"/>
      <c r="B366" s="113" t="s">
        <v>865</v>
      </c>
      <c r="C366" s="114" t="s">
        <v>1581</v>
      </c>
      <c r="D366" s="109">
        <f>+ROUND('Alimentazione CE Costi'!E561,2)</f>
        <v>7283</v>
      </c>
      <c r="E366" s="109">
        <f>+ROUND('Alimentazione CE Costi'!F561,2)</f>
        <v>2100</v>
      </c>
      <c r="F366" s="72"/>
      <c r="G366" s="245"/>
      <c r="H366" s="110"/>
      <c r="I366" s="109"/>
      <c r="J366" s="106"/>
      <c r="L366" s="110"/>
    </row>
    <row r="367" spans="1:12" ht="18.75">
      <c r="A367" s="232"/>
      <c r="B367" s="113" t="s">
        <v>867</v>
      </c>
      <c r="C367" s="114" t="s">
        <v>1582</v>
      </c>
      <c r="D367" s="109">
        <f>+ROUND('Alimentazione CE Costi'!E563,2)</f>
        <v>342805.32</v>
      </c>
      <c r="E367" s="109">
        <f>+ROUND('Alimentazione CE Costi'!F563,2)</f>
        <v>331015.67</v>
      </c>
      <c r="F367" s="72"/>
      <c r="G367" s="245"/>
      <c r="H367" s="110"/>
      <c r="I367" s="109">
        <v>0</v>
      </c>
      <c r="J367" s="106"/>
      <c r="L367" s="110"/>
    </row>
    <row r="368" spans="1:12" ht="25.5">
      <c r="A368" s="232"/>
      <c r="B368" s="143" t="s">
        <v>1583</v>
      </c>
      <c r="C368" s="144" t="s">
        <v>1584</v>
      </c>
      <c r="D368" s="145">
        <f t="shared" ref="D368" si="108">SUM(D369:D375)</f>
        <v>17800543.57</v>
      </c>
      <c r="E368" s="145">
        <f t="shared" ref="E368" si="109">SUM(E369:E375)</f>
        <v>16143306.540000001</v>
      </c>
      <c r="F368" s="72" t="s">
        <v>1835</v>
      </c>
      <c r="G368" s="245"/>
      <c r="H368" s="110"/>
      <c r="I368" s="145">
        <v>14483097.029999999</v>
      </c>
      <c r="J368" s="106"/>
      <c r="L368" s="110"/>
    </row>
    <row r="369" spans="1:12" ht="25.5">
      <c r="A369" s="232"/>
      <c r="B369" s="111" t="s">
        <v>869</v>
      </c>
      <c r="C369" s="112" t="s">
        <v>1585</v>
      </c>
      <c r="D369" s="109">
        <f>+ROUND('Alimentazione CE Costi'!E566,2)</f>
        <v>855540.55</v>
      </c>
      <c r="E369" s="109">
        <f>+ROUND('Alimentazione CE Costi'!F566,2)</f>
        <v>735556.98</v>
      </c>
      <c r="F369" s="72"/>
      <c r="G369" s="245"/>
      <c r="H369" s="110"/>
      <c r="I369" s="109">
        <v>534155.14</v>
      </c>
      <c r="J369" s="106"/>
      <c r="L369" s="110"/>
    </row>
    <row r="370" spans="1:12" ht="25.5">
      <c r="A370" s="236"/>
      <c r="B370" s="111" t="s">
        <v>870</v>
      </c>
      <c r="C370" s="112" t="s">
        <v>1586</v>
      </c>
      <c r="D370" s="109">
        <f>+ROUND('Alimentazione CE Costi'!E568+'Alimentazione CE Costi'!E569+'Alimentazione CE Costi'!E570,2)</f>
        <v>5889290.8300000001</v>
      </c>
      <c r="E370" s="109">
        <f>+ROUND('Alimentazione CE Costi'!F568+'Alimentazione CE Costi'!F569+'Alimentazione CE Costi'!F570,2)</f>
        <v>6032544.8300000001</v>
      </c>
      <c r="F370" s="72"/>
      <c r="G370" s="245"/>
      <c r="H370" s="110"/>
      <c r="I370" s="109">
        <v>4570078.74</v>
      </c>
      <c r="J370" s="106"/>
      <c r="L370" s="110"/>
    </row>
    <row r="371" spans="1:12" ht="25.5">
      <c r="A371" s="236"/>
      <c r="B371" s="111" t="s">
        <v>875</v>
      </c>
      <c r="C371" s="112" t="s">
        <v>1587</v>
      </c>
      <c r="D371" s="109">
        <f>+ROUND('Alimentazione CE Costi'!E572,2)</f>
        <v>7070511.8499999996</v>
      </c>
      <c r="E371" s="109">
        <f>+ROUND('Alimentazione CE Costi'!F572,2)</f>
        <v>6412742.5199999996</v>
      </c>
      <c r="F371" s="72"/>
      <c r="G371" s="245"/>
      <c r="H371" s="110"/>
      <c r="I371" s="109">
        <v>6650199.4299999997</v>
      </c>
      <c r="J371" s="106"/>
      <c r="L371" s="110"/>
    </row>
    <row r="372" spans="1:12" ht="18.75">
      <c r="A372" s="236"/>
      <c r="B372" s="111" t="s">
        <v>877</v>
      </c>
      <c r="C372" s="112" t="s">
        <v>1588</v>
      </c>
      <c r="D372" s="109">
        <f>+ROUND('Alimentazione CE Costi'!E574,2)</f>
        <v>164292.93</v>
      </c>
      <c r="E372" s="109">
        <f>+ROUND('Alimentazione CE Costi'!F574,2)</f>
        <v>141417.92000000001</v>
      </c>
      <c r="F372" s="72"/>
      <c r="G372" s="245"/>
      <c r="H372" s="110"/>
      <c r="I372" s="109">
        <v>117202.3</v>
      </c>
      <c r="J372" s="106"/>
      <c r="L372" s="110"/>
    </row>
    <row r="373" spans="1:12" ht="18.75">
      <c r="A373" s="236"/>
      <c r="B373" s="111" t="s">
        <v>879</v>
      </c>
      <c r="C373" s="112" t="s">
        <v>1589</v>
      </c>
      <c r="D373" s="109">
        <f>+ROUND('Alimentazione CE Costi'!E576,2)</f>
        <v>503203.07</v>
      </c>
      <c r="E373" s="109">
        <f>+ROUND('Alimentazione CE Costi'!F576,2)</f>
        <v>466434.81</v>
      </c>
      <c r="F373" s="72"/>
      <c r="G373" s="245"/>
      <c r="H373" s="110"/>
      <c r="I373" s="109"/>
      <c r="J373" s="106"/>
      <c r="L373" s="110"/>
    </row>
    <row r="374" spans="1:12" ht="18.75">
      <c r="A374" s="236"/>
      <c r="B374" s="111" t="s">
        <v>881</v>
      </c>
      <c r="C374" s="112" t="s">
        <v>1590</v>
      </c>
      <c r="D374" s="109">
        <f>+ROUND('Alimentazione CE Costi'!E578+'Alimentazione CE Costi'!E579+'Alimentazione CE Costi'!E580,2)</f>
        <v>3317704.34</v>
      </c>
      <c r="E374" s="109">
        <f>+ROUND('Alimentazione CE Costi'!F578+'Alimentazione CE Costi'!F579+'Alimentazione CE Costi'!F580,2)</f>
        <v>2354609.48</v>
      </c>
      <c r="F374" s="72"/>
      <c r="G374" s="245"/>
      <c r="H374" s="110"/>
      <c r="I374" s="109">
        <v>2611461.42</v>
      </c>
      <c r="J374" s="106"/>
      <c r="L374" s="110"/>
    </row>
    <row r="375" spans="1:12" ht="25.5">
      <c r="A375" s="240" t="s">
        <v>1248</v>
      </c>
      <c r="B375" s="111" t="s">
        <v>885</v>
      </c>
      <c r="C375" s="112" t="s">
        <v>1591</v>
      </c>
      <c r="D375" s="109">
        <f>+ROUND('Alimentazione CE Costi'!E582,2)</f>
        <v>0</v>
      </c>
      <c r="E375" s="109">
        <f>+ROUND('Alimentazione CE Costi'!F582,2)</f>
        <v>0</v>
      </c>
      <c r="F375" s="72"/>
      <c r="G375" s="245"/>
      <c r="H375" s="110"/>
      <c r="I375" s="109">
        <v>0</v>
      </c>
      <c r="J375" s="106"/>
      <c r="L375" s="110"/>
    </row>
    <row r="376" spans="1:12" ht="18.75">
      <c r="A376" s="232"/>
      <c r="B376" s="143" t="s">
        <v>886</v>
      </c>
      <c r="C376" s="144" t="s">
        <v>1592</v>
      </c>
      <c r="D376" s="145">
        <f t="shared" ref="D376" si="110">+D377+D378+D381+D384+D385</f>
        <v>4528917.2300000004</v>
      </c>
      <c r="E376" s="145">
        <f t="shared" ref="E376" si="111">+E377+E378+E381+E384+E385</f>
        <v>5005316.1400000006</v>
      </c>
      <c r="F376" s="72" t="s">
        <v>1835</v>
      </c>
      <c r="G376" s="245"/>
      <c r="H376" s="110"/>
      <c r="I376" s="145">
        <v>3225727.52</v>
      </c>
      <c r="J376" s="106"/>
      <c r="L376" s="110"/>
    </row>
    <row r="377" spans="1:12" ht="18.75">
      <c r="A377" s="232"/>
      <c r="B377" s="111" t="s">
        <v>887</v>
      </c>
      <c r="C377" s="112" t="s">
        <v>1593</v>
      </c>
      <c r="D377" s="109">
        <f>+ROUND('Alimentazione CE Costi'!E585+'Alimentazione CE Costi'!E586,2)</f>
        <v>338809.36</v>
      </c>
      <c r="E377" s="109">
        <f>+ROUND('Alimentazione CE Costi'!F585+'Alimentazione CE Costi'!F586,2)</f>
        <v>410686.42</v>
      </c>
      <c r="F377" s="72"/>
      <c r="G377" s="245"/>
      <c r="H377" s="110"/>
      <c r="I377" s="109"/>
      <c r="J377" s="106"/>
      <c r="L377" s="110"/>
    </row>
    <row r="378" spans="1:12" ht="18.75">
      <c r="A378" s="232"/>
      <c r="B378" s="138" t="s">
        <v>890</v>
      </c>
      <c r="C378" s="139" t="s">
        <v>1594</v>
      </c>
      <c r="D378" s="137">
        <f t="shared" ref="D378" si="112">+D379+D380</f>
        <v>3835008.7600000002</v>
      </c>
      <c r="E378" s="137">
        <f t="shared" ref="E378" si="113">+E379+E380</f>
        <v>4594629.7200000007</v>
      </c>
      <c r="F378" s="72" t="s">
        <v>1835</v>
      </c>
      <c r="G378" s="245"/>
      <c r="H378" s="110"/>
      <c r="I378" s="137">
        <v>2870628.41</v>
      </c>
      <c r="J378" s="106"/>
      <c r="L378" s="110"/>
    </row>
    <row r="379" spans="1:12" ht="18.75">
      <c r="A379" s="232"/>
      <c r="B379" s="113" t="s">
        <v>892</v>
      </c>
      <c r="C379" s="114" t="s">
        <v>1595</v>
      </c>
      <c r="D379" s="109">
        <f>+ROUND('Alimentazione CE Costi'!E589,2)</f>
        <v>2416593.16</v>
      </c>
      <c r="E379" s="109">
        <f>+ROUND('Alimentazione CE Costi'!F589,2)</f>
        <v>2749263.45</v>
      </c>
      <c r="F379" s="72"/>
      <c r="G379" s="245"/>
      <c r="H379" s="110"/>
      <c r="I379" s="109">
        <v>2005772.32</v>
      </c>
      <c r="J379" s="106"/>
      <c r="L379" s="110"/>
    </row>
    <row r="380" spans="1:12" ht="18.75">
      <c r="A380" s="232"/>
      <c r="B380" s="113" t="s">
        <v>893</v>
      </c>
      <c r="C380" s="114" t="s">
        <v>1596</v>
      </c>
      <c r="D380" s="109">
        <f>+ROUND('Alimentazione CE Costi'!E591+'Alimentazione CE Costi'!E592+'Alimentazione CE Costi'!E593+'Alimentazione CE Costi'!E594,2)</f>
        <v>1418415.6</v>
      </c>
      <c r="E380" s="109">
        <f>+ROUND('Alimentazione CE Costi'!F591+'Alimentazione CE Costi'!F592+'Alimentazione CE Costi'!F593+'Alimentazione CE Costi'!F594,2)</f>
        <v>1845366.27</v>
      </c>
      <c r="F380" s="72"/>
      <c r="G380" s="245"/>
      <c r="H380" s="110"/>
      <c r="I380" s="109">
        <v>864856.09000000008</v>
      </c>
      <c r="J380" s="106"/>
      <c r="L380" s="110"/>
    </row>
    <row r="381" spans="1:12" ht="18.75">
      <c r="A381" s="232"/>
      <c r="B381" s="138" t="s">
        <v>898</v>
      </c>
      <c r="C381" s="139" t="s">
        <v>1597</v>
      </c>
      <c r="D381" s="137">
        <f t="shared" ref="D381" si="114">+D382+D383</f>
        <v>0</v>
      </c>
      <c r="E381" s="137">
        <f t="shared" ref="E381" si="115">+E382+E383</f>
        <v>0</v>
      </c>
      <c r="F381" s="72" t="s">
        <v>1835</v>
      </c>
      <c r="G381" s="245"/>
      <c r="H381" s="110"/>
      <c r="I381" s="137">
        <v>0</v>
      </c>
      <c r="J381" s="106"/>
      <c r="L381" s="110"/>
    </row>
    <row r="382" spans="1:12" ht="18.75">
      <c r="A382" s="232"/>
      <c r="B382" s="113" t="s">
        <v>899</v>
      </c>
      <c r="C382" s="114" t="s">
        <v>1598</v>
      </c>
      <c r="D382" s="109">
        <f>+ROUND('Alimentazione CE Costi'!E597+'Alimentazione CE Costi'!E598,2)</f>
        <v>0</v>
      </c>
      <c r="E382" s="109">
        <f>+ROUND('Alimentazione CE Costi'!F597+'Alimentazione CE Costi'!F598,2)</f>
        <v>0</v>
      </c>
      <c r="F382" s="72"/>
      <c r="G382" s="245"/>
      <c r="H382" s="110"/>
      <c r="I382" s="109">
        <v>0</v>
      </c>
      <c r="J382" s="106"/>
      <c r="L382" s="110"/>
    </row>
    <row r="383" spans="1:12" ht="18.75">
      <c r="A383" s="232"/>
      <c r="B383" s="113" t="s">
        <v>900</v>
      </c>
      <c r="C383" s="114" t="s">
        <v>1599</v>
      </c>
      <c r="D383" s="109">
        <f>+ROUND('Alimentazione CE Costi'!E600+'Alimentazione CE Costi'!E601,2)</f>
        <v>0</v>
      </c>
      <c r="E383" s="109">
        <f>+ROUND('Alimentazione CE Costi'!F600+'Alimentazione CE Costi'!F601,2)</f>
        <v>0</v>
      </c>
      <c r="F383" s="72"/>
      <c r="G383" s="245"/>
      <c r="H383" s="110"/>
      <c r="I383" s="109">
        <v>0</v>
      </c>
      <c r="J383" s="106"/>
      <c r="L383" s="110"/>
    </row>
    <row r="384" spans="1:12" ht="18.75">
      <c r="A384" s="234"/>
      <c r="B384" s="111" t="s">
        <v>902</v>
      </c>
      <c r="C384" s="112" t="s">
        <v>1600</v>
      </c>
      <c r="D384" s="109">
        <f>+ROUND('Alimentazione CE Costi'!E603,2)</f>
        <v>355099.11</v>
      </c>
      <c r="E384" s="109">
        <f>+ROUND('Alimentazione CE Costi'!F603,2)</f>
        <v>0</v>
      </c>
      <c r="F384" s="356"/>
      <c r="G384" s="245"/>
      <c r="H384" s="110"/>
      <c r="I384" s="109">
        <v>355099.11</v>
      </c>
      <c r="J384" s="106"/>
      <c r="L384" s="110"/>
    </row>
    <row r="385" spans="1:12" ht="25.5">
      <c r="A385" s="241" t="s">
        <v>1248</v>
      </c>
      <c r="B385" s="111" t="s">
        <v>904</v>
      </c>
      <c r="C385" s="112" t="s">
        <v>1601</v>
      </c>
      <c r="D385" s="109">
        <f>+ROUND('Alimentazione CE Costi'!E605,2)</f>
        <v>0</v>
      </c>
      <c r="E385" s="109">
        <f>+ROUND('Alimentazione CE Costi'!F605,2)</f>
        <v>0</v>
      </c>
      <c r="F385" s="356"/>
      <c r="G385" s="245"/>
      <c r="H385" s="110"/>
      <c r="I385" s="109">
        <v>0</v>
      </c>
      <c r="J385" s="106"/>
      <c r="L385" s="110"/>
    </row>
    <row r="386" spans="1:12" ht="18.75">
      <c r="A386" s="232"/>
      <c r="B386" s="165" t="s">
        <v>1602</v>
      </c>
      <c r="C386" s="166" t="s">
        <v>1603</v>
      </c>
      <c r="D386" s="167">
        <f t="shared" ref="D386" si="116">+D387+D401+D410+D419</f>
        <v>323639509.25999999</v>
      </c>
      <c r="E386" s="167">
        <f t="shared" ref="E386" si="117">+E387+E401+E410+E419</f>
        <v>317806054.61000001</v>
      </c>
      <c r="F386" s="72" t="s">
        <v>1835</v>
      </c>
      <c r="G386" s="245"/>
      <c r="H386" s="110"/>
      <c r="I386" s="167">
        <v>211722594.71599993</v>
      </c>
      <c r="J386" s="106"/>
      <c r="L386" s="110"/>
    </row>
    <row r="387" spans="1:12" ht="18.75">
      <c r="A387" s="232"/>
      <c r="B387" s="143" t="s">
        <v>905</v>
      </c>
      <c r="C387" s="144" t="s">
        <v>1604</v>
      </c>
      <c r="D387" s="145">
        <f t="shared" ref="D387" si="118">+D388+D397</f>
        <v>252456596.69</v>
      </c>
      <c r="E387" s="145">
        <f t="shared" ref="E387" si="119">+E388+E397</f>
        <v>252486041.94</v>
      </c>
      <c r="F387" s="72" t="s">
        <v>1835</v>
      </c>
      <c r="G387" s="245"/>
      <c r="H387" s="110"/>
      <c r="I387" s="145">
        <v>173143809.48899996</v>
      </c>
      <c r="J387" s="106"/>
      <c r="L387" s="110"/>
    </row>
    <row r="388" spans="1:12" ht="18.75">
      <c r="A388" s="232"/>
      <c r="B388" s="138" t="s">
        <v>906</v>
      </c>
      <c r="C388" s="139" t="s">
        <v>1605</v>
      </c>
      <c r="D388" s="137">
        <f t="shared" ref="D388" si="120">+D389+D393</f>
        <v>106169664.7</v>
      </c>
      <c r="E388" s="137">
        <f t="shared" ref="E388" si="121">+E389+E393</f>
        <v>105459284.97</v>
      </c>
      <c r="F388" s="72" t="s">
        <v>1835</v>
      </c>
      <c r="G388" s="245"/>
      <c r="H388" s="110"/>
      <c r="I388" s="137">
        <v>70742957.096000001</v>
      </c>
      <c r="J388" s="106"/>
      <c r="L388" s="110"/>
    </row>
    <row r="389" spans="1:12" ht="18.75">
      <c r="A389" s="232"/>
      <c r="B389" s="149" t="s">
        <v>907</v>
      </c>
      <c r="C389" s="150" t="s">
        <v>1606</v>
      </c>
      <c r="D389" s="151">
        <f t="shared" ref="D389" si="122">SUM(D390:D392)</f>
        <v>94030030.090000004</v>
      </c>
      <c r="E389" s="151">
        <f t="shared" ref="E389" si="123">SUM(E390:E392)</f>
        <v>93624070.819999993</v>
      </c>
      <c r="F389" s="72" t="s">
        <v>1835</v>
      </c>
      <c r="G389" s="245"/>
      <c r="H389" s="110"/>
      <c r="I389" s="151">
        <v>65887103.251999997</v>
      </c>
      <c r="J389" s="106"/>
      <c r="L389" s="110"/>
    </row>
    <row r="390" spans="1:12" ht="25.5">
      <c r="A390" s="236"/>
      <c r="B390" s="113" t="s">
        <v>908</v>
      </c>
      <c r="C390" s="114" t="s">
        <v>1607</v>
      </c>
      <c r="D390" s="109">
        <f>+ROUND(SUM('Alimentazione CE Costi'!E610:E617),2)</f>
        <v>88838319.859999999</v>
      </c>
      <c r="E390" s="109">
        <f>+ROUND(SUM('Alimentazione CE Costi'!F610:F617),2)</f>
        <v>87555904.599999994</v>
      </c>
      <c r="F390" s="72"/>
      <c r="G390" s="245"/>
      <c r="H390" s="110"/>
      <c r="I390" s="109">
        <v>62186823.901999995</v>
      </c>
      <c r="J390" s="106"/>
      <c r="L390" s="110"/>
    </row>
    <row r="391" spans="1:12" ht="25.5">
      <c r="A391" s="236"/>
      <c r="B391" s="113" t="s">
        <v>909</v>
      </c>
      <c r="C391" s="114" t="s">
        <v>1608</v>
      </c>
      <c r="D391" s="109">
        <f>+ROUND(SUM('Alimentazione CE Costi'!E619:E626),2)</f>
        <v>5191710.2300000004</v>
      </c>
      <c r="E391" s="109">
        <f>+ROUND(SUM('Alimentazione CE Costi'!F619:F626),2)</f>
        <v>6068166.2199999997</v>
      </c>
      <c r="F391" s="72"/>
      <c r="G391" s="245"/>
      <c r="H391" s="110"/>
      <c r="I391" s="109">
        <v>3700279.35</v>
      </c>
      <c r="J391" s="106"/>
      <c r="L391" s="110"/>
    </row>
    <row r="392" spans="1:12" ht="18.75">
      <c r="A392" s="236"/>
      <c r="B392" s="113" t="s">
        <v>911</v>
      </c>
      <c r="C392" s="114" t="s">
        <v>1609</v>
      </c>
      <c r="D392" s="109">
        <f>+ROUND('Alimentazione CE Costi'!E628,2)</f>
        <v>0</v>
      </c>
      <c r="E392" s="109">
        <f>+ROUND('Alimentazione CE Costi'!F628,2)</f>
        <v>0</v>
      </c>
      <c r="F392" s="72"/>
      <c r="G392" s="245"/>
      <c r="H392" s="110"/>
      <c r="I392" s="109">
        <v>0</v>
      </c>
      <c r="J392" s="106"/>
      <c r="L392" s="110"/>
    </row>
    <row r="393" spans="1:12" ht="18.75">
      <c r="A393" s="232"/>
      <c r="B393" s="149" t="s">
        <v>912</v>
      </c>
      <c r="C393" s="150" t="s">
        <v>1610</v>
      </c>
      <c r="D393" s="151">
        <f t="shared" ref="D393" si="124">SUM(D394:D396)</f>
        <v>12139634.609999999</v>
      </c>
      <c r="E393" s="151">
        <f t="shared" ref="E393" si="125">SUM(E394:E396)</f>
        <v>11835214.15</v>
      </c>
      <c r="F393" s="72" t="s">
        <v>1835</v>
      </c>
      <c r="G393" s="245"/>
      <c r="H393" s="110"/>
      <c r="I393" s="151">
        <v>4855853.8440000005</v>
      </c>
      <c r="J393" s="106"/>
      <c r="L393" s="110"/>
    </row>
    <row r="394" spans="1:12" ht="25.5">
      <c r="A394" s="236"/>
      <c r="B394" s="113" t="s">
        <v>913</v>
      </c>
      <c r="C394" s="114" t="s">
        <v>1611</v>
      </c>
      <c r="D394" s="109">
        <f>+ROUND(SUM('Alimentazione CE Costi'!E631:E638),2)</f>
        <v>11778056.08</v>
      </c>
      <c r="E394" s="109">
        <f>+ROUND(SUM('Alimentazione CE Costi'!F631:F638),2)</f>
        <v>11539967.67</v>
      </c>
      <c r="F394" s="72"/>
      <c r="G394" s="245"/>
      <c r="H394" s="110"/>
      <c r="I394" s="109">
        <v>4711222.432</v>
      </c>
      <c r="J394" s="106"/>
      <c r="L394" s="110"/>
    </row>
    <row r="395" spans="1:12" ht="25.5">
      <c r="A395" s="236"/>
      <c r="B395" s="113" t="s">
        <v>914</v>
      </c>
      <c r="C395" s="114" t="s">
        <v>1612</v>
      </c>
      <c r="D395" s="109">
        <f>+ROUND(SUM('Alimentazione CE Costi'!E640:E647),2)</f>
        <v>361578.53</v>
      </c>
      <c r="E395" s="109">
        <f>+ROUND(SUM('Alimentazione CE Costi'!F640:F647),2)</f>
        <v>295246.48</v>
      </c>
      <c r="F395" s="72"/>
      <c r="G395" s="245"/>
      <c r="H395" s="110"/>
      <c r="I395" s="109">
        <v>144631.41200000001</v>
      </c>
      <c r="J395" s="106"/>
      <c r="L395" s="110"/>
    </row>
    <row r="396" spans="1:12" ht="18.75">
      <c r="A396" s="236"/>
      <c r="B396" s="113" t="s">
        <v>915</v>
      </c>
      <c r="C396" s="114" t="s">
        <v>1613</v>
      </c>
      <c r="D396" s="109">
        <f>+ROUND('Alimentazione CE Costi'!E649,2)</f>
        <v>0</v>
      </c>
      <c r="E396" s="109">
        <f>+ROUND('Alimentazione CE Costi'!F649,2)</f>
        <v>0</v>
      </c>
      <c r="F396" s="72"/>
      <c r="G396" s="245"/>
      <c r="H396" s="110"/>
      <c r="I396" s="109"/>
      <c r="J396" s="106"/>
      <c r="L396" s="110"/>
    </row>
    <row r="397" spans="1:12" ht="18.75">
      <c r="A397" s="232"/>
      <c r="B397" s="163" t="s">
        <v>916</v>
      </c>
      <c r="C397" s="164" t="s">
        <v>1614</v>
      </c>
      <c r="D397" s="151">
        <f t="shared" ref="D397" si="126">SUM(D398:D400)</f>
        <v>146286931.99000001</v>
      </c>
      <c r="E397" s="151">
        <f t="shared" ref="E397" si="127">SUM(E398:E400)</f>
        <v>147026756.97</v>
      </c>
      <c r="F397" s="72" t="s">
        <v>1835</v>
      </c>
      <c r="G397" s="245"/>
      <c r="H397" s="110"/>
      <c r="I397" s="151">
        <v>102400852.39299998</v>
      </c>
      <c r="J397" s="106"/>
      <c r="L397" s="110"/>
    </row>
    <row r="398" spans="1:12" ht="25.5">
      <c r="A398" s="236"/>
      <c r="B398" s="113" t="s">
        <v>917</v>
      </c>
      <c r="C398" s="114" t="s">
        <v>1615</v>
      </c>
      <c r="D398" s="109">
        <f>+ROUND(SUM('Alimentazione CE Costi'!E652:E664),2)</f>
        <v>140195882.78</v>
      </c>
      <c r="E398" s="109">
        <f>+ROUND(SUM('Alimentazione CE Costi'!F652:F664),2)</f>
        <v>140869610.75999999</v>
      </c>
      <c r="F398" s="72"/>
      <c r="G398" s="245"/>
      <c r="H398" s="110"/>
      <c r="I398" s="109">
        <v>98137117.94599998</v>
      </c>
      <c r="J398" s="106"/>
      <c r="L398" s="110"/>
    </row>
    <row r="399" spans="1:12" ht="25.5">
      <c r="A399" s="236"/>
      <c r="B399" s="113" t="s">
        <v>918</v>
      </c>
      <c r="C399" s="114" t="s">
        <v>1616</v>
      </c>
      <c r="D399" s="109">
        <f>+ROUND(SUM('Alimentazione CE Costi'!E666:E707),2)</f>
        <v>6091049.21</v>
      </c>
      <c r="E399" s="109">
        <f>+ROUND(SUM('Alimentazione CE Costi'!F666:F707),2)</f>
        <v>6157146.21</v>
      </c>
      <c r="F399" s="72"/>
      <c r="G399" s="245"/>
      <c r="H399" s="110"/>
      <c r="I399" s="109">
        <v>4263734.4469999997</v>
      </c>
      <c r="J399" s="106"/>
      <c r="L399" s="110"/>
    </row>
    <row r="400" spans="1:12" ht="18.75">
      <c r="A400" s="236"/>
      <c r="B400" s="113" t="s">
        <v>920</v>
      </c>
      <c r="C400" s="114" t="s">
        <v>1617</v>
      </c>
      <c r="D400" s="109">
        <f>+ROUND('Alimentazione CE Costi'!E709,2)</f>
        <v>0</v>
      </c>
      <c r="E400" s="109">
        <f>+ROUND('Alimentazione CE Costi'!F709,2)</f>
        <v>0</v>
      </c>
      <c r="F400" s="72"/>
      <c r="G400" s="245"/>
      <c r="H400" s="110"/>
      <c r="I400" s="109">
        <v>0</v>
      </c>
      <c r="J400" s="106"/>
      <c r="L400" s="110"/>
    </row>
    <row r="401" spans="1:12" ht="18.75">
      <c r="A401" s="232"/>
      <c r="B401" s="143" t="s">
        <v>921</v>
      </c>
      <c r="C401" s="144" t="s">
        <v>1618</v>
      </c>
      <c r="D401" s="145">
        <f t="shared" ref="D401" si="128">+D402+D406</f>
        <v>1462218.58</v>
      </c>
      <c r="E401" s="145">
        <f t="shared" ref="E401" si="129">+E402+E406</f>
        <v>1321477.6399999999</v>
      </c>
      <c r="F401" s="72" t="s">
        <v>1835</v>
      </c>
      <c r="G401" s="245"/>
      <c r="H401" s="110"/>
      <c r="I401" s="145">
        <v>980777.12599999981</v>
      </c>
      <c r="J401" s="106"/>
      <c r="L401" s="110"/>
    </row>
    <row r="402" spans="1:12" ht="25.5">
      <c r="A402" s="232"/>
      <c r="B402" s="138" t="s">
        <v>922</v>
      </c>
      <c r="C402" s="139" t="s">
        <v>1619</v>
      </c>
      <c r="D402" s="137">
        <f t="shared" ref="D402" si="130">SUM(D403:D405)</f>
        <v>1462218.58</v>
      </c>
      <c r="E402" s="137">
        <f t="shared" ref="E402" si="131">SUM(E403:E405)</f>
        <v>1321477.6399999999</v>
      </c>
      <c r="F402" s="72" t="s">
        <v>1835</v>
      </c>
      <c r="G402" s="245"/>
      <c r="H402" s="110"/>
      <c r="I402" s="137">
        <v>980777.12599999981</v>
      </c>
      <c r="J402" s="106"/>
      <c r="L402" s="110"/>
    </row>
    <row r="403" spans="1:12" ht="25.5">
      <c r="A403" s="236"/>
      <c r="B403" s="113" t="s">
        <v>923</v>
      </c>
      <c r="C403" s="114" t="s">
        <v>1620</v>
      </c>
      <c r="D403" s="109">
        <f>+ROUND(SUM('Alimentazione CE Costi'!E713:E720),2)</f>
        <v>1138173.98</v>
      </c>
      <c r="E403" s="109">
        <f>+ROUND(SUM('Alimentazione CE Costi'!F713:F720),2)</f>
        <v>936861.23</v>
      </c>
      <c r="F403" s="72"/>
      <c r="G403" s="245"/>
      <c r="H403" s="110"/>
      <c r="I403" s="109">
        <v>796721.78599999985</v>
      </c>
      <c r="J403" s="106"/>
      <c r="L403" s="110"/>
    </row>
    <row r="404" spans="1:12" ht="25.5">
      <c r="A404" s="236"/>
      <c r="B404" s="113" t="s">
        <v>924</v>
      </c>
      <c r="C404" s="114" t="s">
        <v>1621</v>
      </c>
      <c r="D404" s="109">
        <f>+ROUND(SUM('Alimentazione CE Costi'!E722:E729),2)</f>
        <v>324044.59999999998</v>
      </c>
      <c r="E404" s="109">
        <f>+ROUND(SUM('Alimentazione CE Costi'!F722:F729),2)</f>
        <v>384616.41</v>
      </c>
      <c r="F404" s="72"/>
      <c r="G404" s="245"/>
      <c r="H404" s="110"/>
      <c r="I404" s="109">
        <v>184055.34</v>
      </c>
      <c r="J404" s="106"/>
      <c r="L404" s="110"/>
    </row>
    <row r="405" spans="1:12" ht="25.5">
      <c r="A405" s="236"/>
      <c r="B405" s="113" t="s">
        <v>926</v>
      </c>
      <c r="C405" s="114" t="s">
        <v>1622</v>
      </c>
      <c r="D405" s="109">
        <f>+ROUND('Alimentazione CE Costi'!E731,2)</f>
        <v>0</v>
      </c>
      <c r="E405" s="109">
        <f>+ROUND('Alimentazione CE Costi'!F731,2)</f>
        <v>0</v>
      </c>
      <c r="F405" s="72"/>
      <c r="G405" s="245"/>
      <c r="H405" s="110"/>
      <c r="I405" s="109">
        <v>0</v>
      </c>
      <c r="J405" s="106"/>
      <c r="L405" s="110"/>
    </row>
    <row r="406" spans="1:12" ht="25.5">
      <c r="A406" s="232"/>
      <c r="B406" s="138" t="s">
        <v>927</v>
      </c>
      <c r="C406" s="139" t="s">
        <v>1623</v>
      </c>
      <c r="D406" s="137">
        <f t="shared" ref="D406" si="132">SUM(D407:D409)</f>
        <v>0</v>
      </c>
      <c r="E406" s="137">
        <f t="shared" ref="E406" si="133">SUM(E407:E409)</f>
        <v>0</v>
      </c>
      <c r="F406" s="72" t="s">
        <v>1835</v>
      </c>
      <c r="G406" s="245"/>
      <c r="H406" s="110"/>
      <c r="I406" s="137">
        <v>0</v>
      </c>
      <c r="J406" s="106"/>
      <c r="L406" s="110"/>
    </row>
    <row r="407" spans="1:12" ht="25.5">
      <c r="A407" s="236"/>
      <c r="B407" s="113" t="s">
        <v>928</v>
      </c>
      <c r="C407" s="114" t="s">
        <v>1624</v>
      </c>
      <c r="D407" s="109">
        <f>+ROUND(SUM('Alimentazione CE Costi'!E734:E746),2)</f>
        <v>0</v>
      </c>
      <c r="E407" s="109">
        <f>+ROUND(SUM('Alimentazione CE Costi'!F734:F746),2)</f>
        <v>0</v>
      </c>
      <c r="F407" s="72"/>
      <c r="G407" s="245"/>
      <c r="H407" s="110"/>
      <c r="I407" s="109"/>
      <c r="J407" s="106"/>
      <c r="L407" s="110"/>
    </row>
    <row r="408" spans="1:12" ht="25.5">
      <c r="A408" s="236"/>
      <c r="B408" s="113" t="s">
        <v>929</v>
      </c>
      <c r="C408" s="114" t="s">
        <v>1625</v>
      </c>
      <c r="D408" s="109">
        <f>+ROUND(SUM('Alimentazione CE Costi'!E748:E760),2)</f>
        <v>0</v>
      </c>
      <c r="E408" s="109">
        <f>+ROUND(SUM('Alimentazione CE Costi'!F748:F760),2)</f>
        <v>0</v>
      </c>
      <c r="F408" s="72"/>
      <c r="G408" s="245"/>
      <c r="H408" s="110"/>
      <c r="I408" s="109">
        <v>0</v>
      </c>
      <c r="J408" s="106"/>
      <c r="L408" s="110"/>
    </row>
    <row r="409" spans="1:12" ht="25.5">
      <c r="A409" s="236"/>
      <c r="B409" s="113" t="s">
        <v>931</v>
      </c>
      <c r="C409" s="114" t="s">
        <v>1626</v>
      </c>
      <c r="D409" s="109">
        <f>+ROUND('Alimentazione CE Costi'!E762,2)</f>
        <v>0</v>
      </c>
      <c r="E409" s="109">
        <f>+ROUND('Alimentazione CE Costi'!F762,2)</f>
        <v>0</v>
      </c>
      <c r="F409" s="72"/>
      <c r="G409" s="245"/>
      <c r="H409" s="110"/>
      <c r="I409" s="109">
        <v>0</v>
      </c>
      <c r="J409" s="106"/>
      <c r="L409" s="110"/>
    </row>
    <row r="410" spans="1:12" ht="18.75">
      <c r="A410" s="232"/>
      <c r="B410" s="143" t="s">
        <v>932</v>
      </c>
      <c r="C410" s="144" t="s">
        <v>1627</v>
      </c>
      <c r="D410" s="145">
        <f t="shared" ref="D410" si="134">+D411+D415</f>
        <v>51764336.099999994</v>
      </c>
      <c r="E410" s="145">
        <f t="shared" ref="E410" si="135">+E411+E415</f>
        <v>46481103.490000002</v>
      </c>
      <c r="F410" s="72" t="s">
        <v>1835</v>
      </c>
      <c r="G410" s="245"/>
      <c r="H410" s="110"/>
      <c r="I410" s="145">
        <v>34392579.528999992</v>
      </c>
      <c r="J410" s="106"/>
      <c r="L410" s="110"/>
    </row>
    <row r="411" spans="1:12" ht="18.75">
      <c r="A411" s="232"/>
      <c r="B411" s="138" t="s">
        <v>933</v>
      </c>
      <c r="C411" s="139" t="s">
        <v>1628</v>
      </c>
      <c r="D411" s="137">
        <f t="shared" ref="D411" si="136">SUM(D412:D414)</f>
        <v>193202.48</v>
      </c>
      <c r="E411" s="137">
        <f t="shared" ref="E411" si="137">SUM(E412:E414)</f>
        <v>166587.59999999998</v>
      </c>
      <c r="F411" s="72" t="s">
        <v>1835</v>
      </c>
      <c r="G411" s="245"/>
      <c r="H411" s="110"/>
      <c r="I411" s="137">
        <v>135241.73599999998</v>
      </c>
      <c r="J411" s="106"/>
      <c r="L411" s="110"/>
    </row>
    <row r="412" spans="1:12" ht="25.5">
      <c r="A412" s="236"/>
      <c r="B412" s="113" t="s">
        <v>934</v>
      </c>
      <c r="C412" s="114" t="s">
        <v>1629</v>
      </c>
      <c r="D412" s="109">
        <f>+ROUND(SUM('Alimentazione CE Costi'!E766:E773),2)</f>
        <v>139116.89000000001</v>
      </c>
      <c r="E412" s="109">
        <f>+ROUND(SUM('Alimentazione CE Costi'!F766:F773),2)</f>
        <v>85987.92</v>
      </c>
      <c r="F412" s="72"/>
      <c r="G412" s="245"/>
      <c r="H412" s="110"/>
      <c r="I412" s="109">
        <v>97381.822999999975</v>
      </c>
      <c r="J412" s="106"/>
      <c r="L412" s="110"/>
    </row>
    <row r="413" spans="1:12" ht="25.5">
      <c r="A413" s="236"/>
      <c r="B413" s="113" t="s">
        <v>935</v>
      </c>
      <c r="C413" s="114" t="s">
        <v>1630</v>
      </c>
      <c r="D413" s="109">
        <f>+ROUND(SUM('Alimentazione CE Costi'!E775:E782),2)</f>
        <v>54085.59</v>
      </c>
      <c r="E413" s="109">
        <f>+ROUND(SUM('Alimentazione CE Costi'!F775:F782),2)</f>
        <v>80599.679999999993</v>
      </c>
      <c r="F413" s="72"/>
      <c r="G413" s="245"/>
      <c r="H413" s="110"/>
      <c r="I413" s="109">
        <v>37859.913</v>
      </c>
      <c r="J413" s="106"/>
      <c r="L413" s="110"/>
    </row>
    <row r="414" spans="1:12" ht="18.75">
      <c r="A414" s="236"/>
      <c r="B414" s="113" t="s">
        <v>937</v>
      </c>
      <c r="C414" s="114" t="s">
        <v>1631</v>
      </c>
      <c r="D414" s="109">
        <f>+ROUND('Alimentazione CE Costi'!E784,2)</f>
        <v>0</v>
      </c>
      <c r="E414" s="109">
        <f>+ROUND('Alimentazione CE Costi'!F784,2)</f>
        <v>0</v>
      </c>
      <c r="F414" s="72"/>
      <c r="G414" s="245"/>
      <c r="H414" s="110"/>
      <c r="I414" s="109">
        <v>0</v>
      </c>
      <c r="J414" s="106"/>
      <c r="L414" s="110"/>
    </row>
    <row r="415" spans="1:12" ht="18.75">
      <c r="A415" s="232"/>
      <c r="B415" s="138" t="s">
        <v>938</v>
      </c>
      <c r="C415" s="139" t="s">
        <v>1632</v>
      </c>
      <c r="D415" s="137">
        <f t="shared" ref="D415" si="138">SUM(D416:D418)</f>
        <v>51571133.619999997</v>
      </c>
      <c r="E415" s="137">
        <f t="shared" ref="E415" si="139">SUM(E416:E418)</f>
        <v>46314515.890000001</v>
      </c>
      <c r="F415" s="72" t="s">
        <v>1835</v>
      </c>
      <c r="G415" s="245"/>
      <c r="H415" s="110"/>
      <c r="I415" s="137">
        <v>34257337.79299999</v>
      </c>
      <c r="J415" s="106"/>
      <c r="L415" s="110"/>
    </row>
    <row r="416" spans="1:12" ht="25.5">
      <c r="A416" s="236"/>
      <c r="B416" s="113" t="s">
        <v>939</v>
      </c>
      <c r="C416" s="114" t="s">
        <v>1633</v>
      </c>
      <c r="D416" s="109">
        <f>+ROUND(SUM('Alimentazione CE Costi'!E787:E814),2)</f>
        <v>46947355.82</v>
      </c>
      <c r="E416" s="109">
        <f>+ROUND(SUM('Alimentazione CE Costi'!F787:F814),2)</f>
        <v>41365644.240000002</v>
      </c>
      <c r="F416" s="72"/>
      <c r="G416" s="245"/>
      <c r="H416" s="110"/>
      <c r="I416" s="109">
        <v>32863149.07399999</v>
      </c>
      <c r="J416" s="106"/>
      <c r="L416" s="110"/>
    </row>
    <row r="417" spans="1:12" ht="25.5">
      <c r="A417" s="236"/>
      <c r="B417" s="113" t="s">
        <v>940</v>
      </c>
      <c r="C417" s="114" t="s">
        <v>1634</v>
      </c>
      <c r="D417" s="109">
        <f>+ROUND(SUM('Alimentazione CE Costi'!E816:E843),2)</f>
        <v>4623777.8</v>
      </c>
      <c r="E417" s="109">
        <f>+ROUND(SUM('Alimentazione CE Costi'!F816:F843),2)</f>
        <v>4948871.6500000004</v>
      </c>
      <c r="F417" s="72"/>
      <c r="G417" s="245"/>
      <c r="H417" s="110"/>
      <c r="I417" s="109">
        <v>1394188.7189999998</v>
      </c>
      <c r="J417" s="106"/>
      <c r="L417" s="110"/>
    </row>
    <row r="418" spans="1:12" ht="18.75">
      <c r="A418" s="236"/>
      <c r="B418" s="113" t="s">
        <v>942</v>
      </c>
      <c r="C418" s="114" t="s">
        <v>1635</v>
      </c>
      <c r="D418" s="109">
        <f>+ROUND('Alimentazione CE Costi'!E845,2)</f>
        <v>0</v>
      </c>
      <c r="E418" s="109">
        <f>+ROUND('Alimentazione CE Costi'!F845,2)</f>
        <v>0</v>
      </c>
      <c r="F418" s="72"/>
      <c r="G418" s="245"/>
      <c r="H418" s="110"/>
      <c r="I418" s="109">
        <v>0</v>
      </c>
      <c r="J418" s="106"/>
      <c r="L418" s="110"/>
    </row>
    <row r="419" spans="1:12" ht="18.75">
      <c r="A419" s="232"/>
      <c r="B419" s="143" t="s">
        <v>943</v>
      </c>
      <c r="C419" s="144" t="s">
        <v>1636</v>
      </c>
      <c r="D419" s="145">
        <f t="shared" ref="D419" si="140">+D420+D424</f>
        <v>17956357.890000001</v>
      </c>
      <c r="E419" s="145">
        <f t="shared" ref="E419" si="141">+E420+E424</f>
        <v>17517431.539999999</v>
      </c>
      <c r="F419" s="72" t="s">
        <v>1835</v>
      </c>
      <c r="G419" s="245"/>
      <c r="H419" s="110"/>
      <c r="I419" s="145">
        <v>3205428.5720000006</v>
      </c>
      <c r="J419" s="106"/>
      <c r="L419" s="110"/>
    </row>
    <row r="420" spans="1:12" ht="25.5">
      <c r="A420" s="232"/>
      <c r="B420" s="138" t="s">
        <v>944</v>
      </c>
      <c r="C420" s="139" t="s">
        <v>1637</v>
      </c>
      <c r="D420" s="137">
        <f t="shared" ref="D420" si="142">SUM(D421:D423)</f>
        <v>1929215.03</v>
      </c>
      <c r="E420" s="137">
        <f t="shared" ref="E420" si="143">SUM(E421:E423)</f>
        <v>1903126.5699999998</v>
      </c>
      <c r="F420" s="72" t="s">
        <v>1835</v>
      </c>
      <c r="G420" s="245"/>
      <c r="H420" s="110"/>
      <c r="I420" s="137">
        <v>0</v>
      </c>
      <c r="J420" s="106"/>
      <c r="L420" s="110"/>
    </row>
    <row r="421" spans="1:12" ht="25.5">
      <c r="A421" s="236"/>
      <c r="B421" s="113" t="s">
        <v>945</v>
      </c>
      <c r="C421" s="114" t="s">
        <v>1638</v>
      </c>
      <c r="D421" s="109">
        <f>+ROUND(SUM('Alimentazione CE Costi'!E849:E856),2)</f>
        <v>1722092.44</v>
      </c>
      <c r="E421" s="109">
        <f>+ROUND(SUM('Alimentazione CE Costi'!F849:F856),2)</f>
        <v>1747719.66</v>
      </c>
      <c r="F421" s="72"/>
      <c r="G421" s="245"/>
      <c r="H421" s="110"/>
      <c r="I421" s="109">
        <v>0</v>
      </c>
      <c r="J421" s="106"/>
      <c r="L421" s="110"/>
    </row>
    <row r="422" spans="1:12" ht="25.5">
      <c r="A422" s="236"/>
      <c r="B422" s="113" t="s">
        <v>946</v>
      </c>
      <c r="C422" s="114" t="s">
        <v>1639</v>
      </c>
      <c r="D422" s="109">
        <f>+ROUND(SUM('Alimentazione CE Costi'!E858:E865),2)</f>
        <v>207122.59</v>
      </c>
      <c r="E422" s="109">
        <f>+ROUND(SUM('Alimentazione CE Costi'!F858:F865),2)</f>
        <v>155406.91</v>
      </c>
      <c r="F422" s="72"/>
      <c r="G422" s="245"/>
      <c r="H422" s="110"/>
      <c r="I422" s="109">
        <v>0</v>
      </c>
      <c r="J422" s="106"/>
      <c r="L422" s="110"/>
    </row>
    <row r="423" spans="1:12" ht="25.5">
      <c r="A423" s="236"/>
      <c r="B423" s="113" t="s">
        <v>948</v>
      </c>
      <c r="C423" s="114" t="s">
        <v>1640</v>
      </c>
      <c r="D423" s="109">
        <f>+ROUND('Alimentazione CE Costi'!E867,2)</f>
        <v>0</v>
      </c>
      <c r="E423" s="109">
        <f>+ROUND('Alimentazione CE Costi'!F867,2)</f>
        <v>0</v>
      </c>
      <c r="F423" s="72"/>
      <c r="G423" s="245"/>
      <c r="H423" s="110"/>
      <c r="I423" s="109">
        <v>0</v>
      </c>
      <c r="J423" s="106"/>
      <c r="L423" s="110"/>
    </row>
    <row r="424" spans="1:12" ht="25.5">
      <c r="A424" s="232"/>
      <c r="B424" s="138" t="s">
        <v>949</v>
      </c>
      <c r="C424" s="139" t="s">
        <v>1641</v>
      </c>
      <c r="D424" s="137">
        <f t="shared" ref="D424" si="144">SUM(D425:D427)</f>
        <v>16027142.859999999</v>
      </c>
      <c r="E424" s="137">
        <f t="shared" ref="E424" si="145">SUM(E425:E427)</f>
        <v>15614304.969999999</v>
      </c>
      <c r="F424" s="72" t="s">
        <v>1835</v>
      </c>
      <c r="G424" s="245"/>
      <c r="H424" s="110"/>
      <c r="I424" s="137">
        <v>3205428.5720000006</v>
      </c>
      <c r="J424" s="106"/>
      <c r="L424" s="110"/>
    </row>
    <row r="425" spans="1:12" ht="25.5">
      <c r="A425" s="236"/>
      <c r="B425" s="113" t="s">
        <v>950</v>
      </c>
      <c r="C425" s="114" t="s">
        <v>1642</v>
      </c>
      <c r="D425" s="109">
        <f>+ROUND(SUM('Alimentazione CE Costi'!E870:E882),2)</f>
        <v>13047031.52</v>
      </c>
      <c r="E425" s="109">
        <f>+ROUND(SUM('Alimentazione CE Costi'!F870:F882),2)</f>
        <v>13363466.18</v>
      </c>
      <c r="F425" s="72"/>
      <c r="G425" s="245"/>
      <c r="H425" s="110"/>
      <c r="I425" s="109">
        <v>2609406.3040000005</v>
      </c>
      <c r="J425" s="106"/>
      <c r="L425" s="110"/>
    </row>
    <row r="426" spans="1:12" ht="25.5">
      <c r="A426" s="236"/>
      <c r="B426" s="113" t="s">
        <v>951</v>
      </c>
      <c r="C426" s="114" t="s">
        <v>1643</v>
      </c>
      <c r="D426" s="109">
        <f>+ROUND(SUM('Alimentazione CE Costi'!E884:E896),2)</f>
        <v>2980111.34</v>
      </c>
      <c r="E426" s="109">
        <f>+ROUND(SUM('Alimentazione CE Costi'!F884:F896),2)</f>
        <v>2250838.79</v>
      </c>
      <c r="F426" s="72"/>
      <c r="G426" s="245"/>
      <c r="H426" s="110"/>
      <c r="I426" s="109">
        <v>596022.26800000004</v>
      </c>
      <c r="J426" s="106"/>
      <c r="L426" s="110"/>
    </row>
    <row r="427" spans="1:12" ht="25.5">
      <c r="A427" s="236"/>
      <c r="B427" s="113" t="s">
        <v>953</v>
      </c>
      <c r="C427" s="114" t="s">
        <v>1644</v>
      </c>
      <c r="D427" s="109">
        <f>+ROUND('Alimentazione CE Costi'!E898,2)</f>
        <v>0</v>
      </c>
      <c r="E427" s="109">
        <f>+ROUND('Alimentazione CE Costi'!F898,2)</f>
        <v>0</v>
      </c>
      <c r="F427" s="72"/>
      <c r="G427" s="245"/>
      <c r="H427" s="110"/>
      <c r="I427" s="109">
        <v>0</v>
      </c>
      <c r="J427" s="106"/>
      <c r="L427" s="110"/>
    </row>
    <row r="428" spans="1:12" ht="18.75">
      <c r="A428" s="232"/>
      <c r="B428" s="143" t="s">
        <v>954</v>
      </c>
      <c r="C428" s="144" t="s">
        <v>1645</v>
      </c>
      <c r="D428" s="145">
        <f t="shared" ref="D428" si="146">+D429+D430+D431</f>
        <v>2313528.37</v>
      </c>
      <c r="E428" s="145">
        <f t="shared" ref="E428" si="147">+E429+E430+E431</f>
        <v>2248268.4500000002</v>
      </c>
      <c r="F428" s="72" t="s">
        <v>1835</v>
      </c>
      <c r="G428" s="245"/>
      <c r="H428" s="110"/>
      <c r="I428" s="145">
        <v>50410.2</v>
      </c>
      <c r="J428" s="106"/>
      <c r="L428" s="110"/>
    </row>
    <row r="429" spans="1:12" ht="18.75">
      <c r="A429" s="232"/>
      <c r="B429" s="111" t="s">
        <v>955</v>
      </c>
      <c r="C429" s="112" t="s">
        <v>1646</v>
      </c>
      <c r="D429" s="119">
        <f>+ROUND(SUM('Alimentazione CE Costi'!E901:E907),2)</f>
        <v>1451465.01</v>
      </c>
      <c r="E429" s="119">
        <f>+ROUND(SUM('Alimentazione CE Costi'!F901:F907),2)</f>
        <v>1292585.83</v>
      </c>
      <c r="F429" s="72"/>
      <c r="G429" s="245"/>
      <c r="H429" s="110"/>
      <c r="I429" s="119"/>
      <c r="J429" s="106"/>
      <c r="L429" s="110"/>
    </row>
    <row r="430" spans="1:12" ht="18.75">
      <c r="A430" s="232"/>
      <c r="B430" s="111" t="s">
        <v>964</v>
      </c>
      <c r="C430" s="112" t="s">
        <v>1647</v>
      </c>
      <c r="D430" s="119">
        <f>+ROUND('Alimentazione CE Costi'!E909,2)</f>
        <v>0</v>
      </c>
      <c r="E430" s="119">
        <f>+ROUND('Alimentazione CE Costi'!F909,2)</f>
        <v>0</v>
      </c>
      <c r="F430" s="72"/>
      <c r="G430" s="245"/>
      <c r="H430" s="110"/>
      <c r="I430" s="119">
        <v>0</v>
      </c>
      <c r="J430" s="106"/>
      <c r="L430" s="110"/>
    </row>
    <row r="431" spans="1:12" ht="18.75">
      <c r="A431" s="232"/>
      <c r="B431" s="138" t="s">
        <v>966</v>
      </c>
      <c r="C431" s="139" t="s">
        <v>1648</v>
      </c>
      <c r="D431" s="137">
        <f t="shared" ref="D431" si="148">+D432+D433+D434+D435</f>
        <v>862063.36</v>
      </c>
      <c r="E431" s="137">
        <f t="shared" ref="E431" si="149">+E432+E433+E434+E435</f>
        <v>955682.62</v>
      </c>
      <c r="F431" s="72" t="s">
        <v>1835</v>
      </c>
      <c r="G431" s="245"/>
      <c r="H431" s="110"/>
      <c r="I431" s="137">
        <v>50410.2</v>
      </c>
      <c r="J431" s="106"/>
      <c r="L431" s="110"/>
    </row>
    <row r="432" spans="1:12" ht="25.5">
      <c r="A432" s="232"/>
      <c r="B432" s="113" t="s">
        <v>967</v>
      </c>
      <c r="C432" s="114" t="s">
        <v>1649</v>
      </c>
      <c r="D432" s="109">
        <f>+ROUND(SUM('Alimentazione CE Costi'!E913:E923),2)</f>
        <v>764654.6</v>
      </c>
      <c r="E432" s="109">
        <f>+ROUND(SUM('Alimentazione CE Costi'!F913:F923),2)</f>
        <v>860565.38</v>
      </c>
      <c r="F432" s="72"/>
      <c r="G432" s="245"/>
      <c r="H432" s="110"/>
      <c r="I432" s="109"/>
      <c r="J432" s="106"/>
      <c r="L432" s="110"/>
    </row>
    <row r="433" spans="1:12" ht="18.75">
      <c r="A433" s="236"/>
      <c r="B433" s="113" t="s">
        <v>974</v>
      </c>
      <c r="C433" s="114" t="s">
        <v>1650</v>
      </c>
      <c r="D433" s="109">
        <f>+ROUND('Alimentazione CE Costi'!E925+'Alimentazione CE Costi'!E926+'Alimentazione CE Costi'!E927,2)</f>
        <v>97408.76</v>
      </c>
      <c r="E433" s="109">
        <f>+ROUND('Alimentazione CE Costi'!F925+'Alimentazione CE Costi'!F926+'Alimentazione CE Costi'!F927,2)</f>
        <v>95117.24</v>
      </c>
      <c r="F433" s="72"/>
      <c r="G433" s="245"/>
      <c r="H433" s="110"/>
      <c r="I433" s="109">
        <v>50410.2</v>
      </c>
      <c r="J433" s="106"/>
      <c r="L433" s="110"/>
    </row>
    <row r="434" spans="1:12" ht="25.5">
      <c r="A434" s="236" t="s">
        <v>1248</v>
      </c>
      <c r="B434" s="113" t="s">
        <v>978</v>
      </c>
      <c r="C434" s="114" t="s">
        <v>1651</v>
      </c>
      <c r="D434" s="109">
        <f>+ROUND('Alimentazione CE Costi'!E929,2)</f>
        <v>0</v>
      </c>
      <c r="E434" s="109">
        <f>+ROUND('Alimentazione CE Costi'!F929,2)</f>
        <v>0</v>
      </c>
      <c r="F434" s="72"/>
      <c r="G434" s="245"/>
      <c r="H434" s="110"/>
      <c r="I434" s="109"/>
      <c r="J434" s="106"/>
      <c r="L434" s="110"/>
    </row>
    <row r="435" spans="1:12" ht="25.5">
      <c r="A435" s="236"/>
      <c r="B435" s="113" t="s">
        <v>980</v>
      </c>
      <c r="C435" s="114" t="s">
        <v>1652</v>
      </c>
      <c r="D435" s="109">
        <f>+ROUND('Alimentazione CE Costi'!E931,2)</f>
        <v>0</v>
      </c>
      <c r="E435" s="109">
        <f>+ROUND('Alimentazione CE Costi'!F931,2)</f>
        <v>0</v>
      </c>
      <c r="F435" s="72"/>
      <c r="G435" s="245"/>
      <c r="H435" s="110"/>
      <c r="I435" s="109">
        <v>0</v>
      </c>
      <c r="J435" s="106"/>
      <c r="L435" s="110"/>
    </row>
    <row r="436" spans="1:12" ht="18.75">
      <c r="A436" s="232"/>
      <c r="B436" s="168" t="s">
        <v>1653</v>
      </c>
      <c r="C436" s="169" t="s">
        <v>1654</v>
      </c>
      <c r="D436" s="158">
        <f t="shared" ref="D436" si="150">+D437+D438</f>
        <v>26226877.969999999</v>
      </c>
      <c r="E436" s="158">
        <f t="shared" ref="E436" si="151">+E437+E438</f>
        <v>26476913.740000002</v>
      </c>
      <c r="F436" s="72" t="s">
        <v>1835</v>
      </c>
      <c r="G436" s="245"/>
      <c r="H436" s="110"/>
      <c r="I436" s="158">
        <v>20762214.631999999</v>
      </c>
      <c r="J436" s="106"/>
      <c r="L436" s="110"/>
    </row>
    <row r="437" spans="1:12" ht="18.75">
      <c r="A437" s="232"/>
      <c r="B437" s="107" t="s">
        <v>981</v>
      </c>
      <c r="C437" s="108" t="s">
        <v>1655</v>
      </c>
      <c r="D437" s="109">
        <f>+ROUND(SUM('Alimentazione CE Costi'!E933:E940),2)</f>
        <v>268000.21000000002</v>
      </c>
      <c r="E437" s="109">
        <f>+ROUND(SUM('Alimentazione CE Costi'!F933:F940),2)</f>
        <v>600938.71</v>
      </c>
      <c r="F437" s="72"/>
      <c r="G437" s="245"/>
      <c r="H437" s="110"/>
      <c r="I437" s="109">
        <v>0</v>
      </c>
      <c r="J437" s="106"/>
      <c r="L437" s="110"/>
    </row>
    <row r="438" spans="1:12" ht="18.75">
      <c r="A438" s="232"/>
      <c r="B438" s="143" t="s">
        <v>989</v>
      </c>
      <c r="C438" s="144" t="s">
        <v>1656</v>
      </c>
      <c r="D438" s="145">
        <f t="shared" ref="D438" si="152">+D439+D442</f>
        <v>25958877.759999998</v>
      </c>
      <c r="E438" s="145">
        <f t="shared" ref="E438" si="153">+E439+E442</f>
        <v>25875975.030000001</v>
      </c>
      <c r="F438" s="72" t="s">
        <v>1835</v>
      </c>
      <c r="G438" s="245"/>
      <c r="H438" s="110"/>
      <c r="I438" s="145">
        <v>20762214.631999999</v>
      </c>
      <c r="J438" s="106"/>
      <c r="L438" s="110"/>
    </row>
    <row r="439" spans="1:12" ht="18.75">
      <c r="A439" s="234"/>
      <c r="B439" s="138" t="s">
        <v>990</v>
      </c>
      <c r="C439" s="139" t="s">
        <v>1657</v>
      </c>
      <c r="D439" s="137">
        <f t="shared" ref="D439" si="154">+D440+D441</f>
        <v>16306324.27</v>
      </c>
      <c r="E439" s="137">
        <f t="shared" ref="E439" si="155">+E440+E441</f>
        <v>16231343.289999999</v>
      </c>
      <c r="F439" s="72" t="s">
        <v>1835</v>
      </c>
      <c r="G439" s="245"/>
      <c r="H439" s="110"/>
      <c r="I439" s="137">
        <v>13045059.415999999</v>
      </c>
      <c r="J439" s="106"/>
      <c r="L439" s="110"/>
    </row>
    <row r="440" spans="1:12" ht="25.5">
      <c r="A440" s="234"/>
      <c r="B440" s="113" t="s">
        <v>992</v>
      </c>
      <c r="C440" s="114" t="s">
        <v>1658</v>
      </c>
      <c r="D440" s="109">
        <f>+ROUND('Alimentazione CE Costi'!E944,2)</f>
        <v>65864.5</v>
      </c>
      <c r="E440" s="109">
        <f>+ROUND('Alimentazione CE Costi'!F944,2)</f>
        <v>65864.5</v>
      </c>
      <c r="F440" s="356"/>
      <c r="G440" s="245"/>
      <c r="H440" s="110"/>
      <c r="I440" s="109">
        <v>52691.600000000006</v>
      </c>
      <c r="J440" s="106"/>
      <c r="L440" s="110"/>
    </row>
    <row r="441" spans="1:12" ht="25.5">
      <c r="A441" s="234"/>
      <c r="B441" s="113" t="s">
        <v>994</v>
      </c>
      <c r="C441" s="114" t="s">
        <v>1659</v>
      </c>
      <c r="D441" s="109">
        <f>+ROUND('Alimentazione CE Costi'!E946,2)</f>
        <v>16240459.77</v>
      </c>
      <c r="E441" s="109">
        <f>+ROUND('Alimentazione CE Costi'!F946,2)</f>
        <v>16165478.789999999</v>
      </c>
      <c r="F441" s="356"/>
      <c r="G441" s="245"/>
      <c r="H441" s="110"/>
      <c r="I441" s="109">
        <v>12992367.816</v>
      </c>
      <c r="J441" s="106"/>
      <c r="L441" s="110"/>
    </row>
    <row r="442" spans="1:12" ht="25.5">
      <c r="A442" s="234"/>
      <c r="B442" s="107" t="s">
        <v>995</v>
      </c>
      <c r="C442" s="108" t="s">
        <v>1660</v>
      </c>
      <c r="D442" s="109">
        <f>+ROUND(SUM('Alimentazione CE Costi'!E948:E952),2)</f>
        <v>9652553.4900000002</v>
      </c>
      <c r="E442" s="109">
        <f>+ROUND(SUM('Alimentazione CE Costi'!F948:F952),2)</f>
        <v>9644631.7400000002</v>
      </c>
      <c r="F442" s="356"/>
      <c r="G442" s="245"/>
      <c r="H442" s="110"/>
      <c r="I442" s="109">
        <v>7717155.2160000009</v>
      </c>
      <c r="J442" s="106"/>
      <c r="L442" s="110"/>
    </row>
    <row r="443" spans="1:12" ht="18.75">
      <c r="A443" s="234"/>
      <c r="B443" s="143" t="s">
        <v>1001</v>
      </c>
      <c r="C443" s="144" t="s">
        <v>1661</v>
      </c>
      <c r="D443" s="145">
        <f t="shared" ref="D443" si="156">+D444+D445</f>
        <v>60420.05</v>
      </c>
      <c r="E443" s="145">
        <f t="shared" ref="E443" si="157">+E444+E445</f>
        <v>501925.01</v>
      </c>
      <c r="F443" s="72" t="s">
        <v>1835</v>
      </c>
      <c r="G443" s="245"/>
      <c r="H443" s="110"/>
      <c r="I443" s="145">
        <v>0</v>
      </c>
      <c r="J443" s="106"/>
      <c r="L443" s="110"/>
    </row>
    <row r="444" spans="1:12" ht="25.5">
      <c r="A444" s="234"/>
      <c r="B444" s="111" t="s">
        <v>1002</v>
      </c>
      <c r="C444" s="112" t="s">
        <v>1662</v>
      </c>
      <c r="D444" s="119">
        <f>+ROUND(SUM('Alimentazione CE Costi'!E956:E970),2)</f>
        <v>0</v>
      </c>
      <c r="E444" s="119">
        <f>+ROUND(SUM('Alimentazione CE Costi'!F956:F970),2)</f>
        <v>0</v>
      </c>
      <c r="F444" s="356"/>
      <c r="G444" s="245"/>
      <c r="H444" s="110"/>
      <c r="I444" s="119">
        <v>0</v>
      </c>
      <c r="J444" s="106"/>
      <c r="L444" s="110"/>
    </row>
    <row r="445" spans="1:12" ht="18.75">
      <c r="A445" s="234"/>
      <c r="B445" s="111" t="s">
        <v>1018</v>
      </c>
      <c r="C445" s="112" t="s">
        <v>1663</v>
      </c>
      <c r="D445" s="109">
        <f>+ROUND(SUM('Alimentazione CE Costi'!E972:E1014),2)</f>
        <v>60420.05</v>
      </c>
      <c r="E445" s="109">
        <f>+ROUND(SUM('Alimentazione CE Costi'!F972:F1014),2)</f>
        <v>501925.01</v>
      </c>
      <c r="F445" s="356"/>
      <c r="G445" s="245"/>
      <c r="H445" s="110"/>
      <c r="I445" s="109">
        <v>0</v>
      </c>
      <c r="J445" s="106"/>
      <c r="L445" s="110"/>
    </row>
    <row r="446" spans="1:12" ht="18.75">
      <c r="A446" s="234"/>
      <c r="B446" s="143" t="s">
        <v>1061</v>
      </c>
      <c r="C446" s="144" t="s">
        <v>1664</v>
      </c>
      <c r="D446" s="145">
        <f t="shared" ref="D446" si="158">+D447+D456</f>
        <v>-576620.35</v>
      </c>
      <c r="E446" s="145">
        <f t="shared" ref="E446" si="159">+E447+E456</f>
        <v>1785509.9000000001</v>
      </c>
      <c r="F446" s="72" t="s">
        <v>1835</v>
      </c>
      <c r="G446" s="245"/>
      <c r="H446" s="110"/>
      <c r="I446" s="145">
        <v>-461394.47000000003</v>
      </c>
      <c r="J446" s="106"/>
      <c r="L446" s="110"/>
    </row>
    <row r="447" spans="1:12" ht="18.75">
      <c r="A447" s="234"/>
      <c r="B447" s="138" t="s">
        <v>1062</v>
      </c>
      <c r="C447" s="139" t="s">
        <v>1665</v>
      </c>
      <c r="D447" s="137">
        <f t="shared" ref="D447" si="160">SUM(D448:D455)</f>
        <v>-725535.46</v>
      </c>
      <c r="E447" s="137">
        <f t="shared" ref="E447" si="161">SUM(E448:E455)</f>
        <v>1518394.1600000001</v>
      </c>
      <c r="F447" s="72" t="s">
        <v>1835</v>
      </c>
      <c r="G447" s="245"/>
      <c r="H447" s="110"/>
      <c r="I447" s="137">
        <v>-580461.09600000002</v>
      </c>
      <c r="J447" s="106"/>
      <c r="L447" s="110"/>
    </row>
    <row r="448" spans="1:12" ht="18.75">
      <c r="A448" s="234"/>
      <c r="B448" s="113" t="s">
        <v>1063</v>
      </c>
      <c r="C448" s="114" t="s">
        <v>1666</v>
      </c>
      <c r="D448" s="109">
        <f>+ROUND('Alimentazione CE Costi'!E1018,2)</f>
        <v>-441455.95</v>
      </c>
      <c r="E448" s="109">
        <f>+ROUND('Alimentazione CE Costi'!F1018,2)</f>
        <v>22153.98</v>
      </c>
      <c r="F448" s="356"/>
      <c r="G448" s="245"/>
      <c r="H448" s="110"/>
      <c r="I448" s="109">
        <v>-353164.76</v>
      </c>
      <c r="J448" s="106"/>
      <c r="L448" s="110"/>
    </row>
    <row r="449" spans="1:12" ht="18.75">
      <c r="A449" s="234"/>
      <c r="B449" s="113" t="s">
        <v>1064</v>
      </c>
      <c r="C449" s="114" t="s">
        <v>1667</v>
      </c>
      <c r="D449" s="109">
        <f>+ROUND('Alimentazione CE Costi'!E1020,2)</f>
        <v>0</v>
      </c>
      <c r="E449" s="109">
        <f>+ROUND('Alimentazione CE Costi'!F1020,2)</f>
        <v>0</v>
      </c>
      <c r="F449" s="356"/>
      <c r="G449" s="245"/>
      <c r="H449" s="110"/>
      <c r="I449" s="109">
        <v>0</v>
      </c>
      <c r="J449" s="106"/>
      <c r="L449" s="110"/>
    </row>
    <row r="450" spans="1:12" ht="18.75">
      <c r="A450" s="234"/>
      <c r="B450" s="113" t="s">
        <v>1065</v>
      </c>
      <c r="C450" s="114" t="s">
        <v>1668</v>
      </c>
      <c r="D450" s="109">
        <f>+ROUND('Alimentazione CE Costi'!E1022,2)</f>
        <v>-179210.16</v>
      </c>
      <c r="E450" s="109">
        <f>+ROUND('Alimentazione CE Costi'!F1022,2)</f>
        <v>1478152.11</v>
      </c>
      <c r="F450" s="356"/>
      <c r="G450" s="245"/>
      <c r="H450" s="110"/>
      <c r="I450" s="109">
        <v>-143368.128</v>
      </c>
      <c r="J450" s="106"/>
      <c r="L450" s="110"/>
    </row>
    <row r="451" spans="1:12" ht="18.75">
      <c r="A451" s="234"/>
      <c r="B451" s="113" t="s">
        <v>1066</v>
      </c>
      <c r="C451" s="114" t="s">
        <v>1669</v>
      </c>
      <c r="D451" s="109">
        <f>+ROUND('Alimentazione CE Costi'!E1024,2)</f>
        <v>-6788.94</v>
      </c>
      <c r="E451" s="109">
        <f>+ROUND('Alimentazione CE Costi'!F1024,2)</f>
        <v>12419.75</v>
      </c>
      <c r="F451" s="356"/>
      <c r="G451" s="245"/>
      <c r="H451" s="110"/>
      <c r="I451" s="109">
        <v>-5431.152</v>
      </c>
      <c r="J451" s="106"/>
      <c r="L451" s="110"/>
    </row>
    <row r="452" spans="1:12" ht="18.75">
      <c r="A452" s="234"/>
      <c r="B452" s="113" t="s">
        <v>1067</v>
      </c>
      <c r="C452" s="114" t="s">
        <v>1670</v>
      </c>
      <c r="D452" s="109">
        <f>+ROUND('Alimentazione CE Costi'!E1026,2)</f>
        <v>0</v>
      </c>
      <c r="E452" s="109">
        <f>+ROUND('Alimentazione CE Costi'!F1026,2)</f>
        <v>0</v>
      </c>
      <c r="F452" s="356"/>
      <c r="G452" s="245"/>
      <c r="H452" s="110"/>
      <c r="I452" s="109">
        <v>0</v>
      </c>
      <c r="J452" s="106"/>
      <c r="L452" s="110"/>
    </row>
    <row r="453" spans="1:12" ht="18.75">
      <c r="A453" s="234"/>
      <c r="B453" s="113" t="s">
        <v>1068</v>
      </c>
      <c r="C453" s="114" t="s">
        <v>1671</v>
      </c>
      <c r="D453" s="109">
        <f>+ROUND('Alimentazione CE Costi'!E1028,2)</f>
        <v>-21465.29</v>
      </c>
      <c r="E453" s="109">
        <f>+ROUND('Alimentazione CE Costi'!F1028,2)</f>
        <v>-712.95</v>
      </c>
      <c r="F453" s="356"/>
      <c r="G453" s="245"/>
      <c r="H453" s="110"/>
      <c r="I453" s="109">
        <v>-17172.232</v>
      </c>
      <c r="J453" s="106"/>
      <c r="L453" s="110"/>
    </row>
    <row r="454" spans="1:12" ht="18.75">
      <c r="A454" s="234"/>
      <c r="B454" s="113" t="s">
        <v>1069</v>
      </c>
      <c r="C454" s="114" t="s">
        <v>1672</v>
      </c>
      <c r="D454" s="109">
        <f>+ROUND('Alimentazione CE Costi'!E1030,2)</f>
        <v>40.909999999999997</v>
      </c>
      <c r="E454" s="109">
        <f>+ROUND('Alimentazione CE Costi'!F1030,2)</f>
        <v>262.68</v>
      </c>
      <c r="F454" s="356"/>
      <c r="G454" s="245"/>
      <c r="H454" s="110"/>
      <c r="I454" s="109">
        <v>0</v>
      </c>
      <c r="J454" s="106"/>
      <c r="L454" s="110"/>
    </row>
    <row r="455" spans="1:12" ht="18.75">
      <c r="A455" s="234"/>
      <c r="B455" s="113" t="s">
        <v>1070</v>
      </c>
      <c r="C455" s="114" t="s">
        <v>1673</v>
      </c>
      <c r="D455" s="109">
        <f>+ROUND('Alimentazione CE Costi'!E1032,2)</f>
        <v>-76656.03</v>
      </c>
      <c r="E455" s="109">
        <f>+ROUND('Alimentazione CE Costi'!F1032,2)</f>
        <v>6118.59</v>
      </c>
      <c r="F455" s="356"/>
      <c r="G455" s="245"/>
      <c r="H455" s="110"/>
      <c r="I455" s="109">
        <v>-61324.824000000001</v>
      </c>
      <c r="J455" s="106"/>
      <c r="L455" s="110"/>
    </row>
    <row r="456" spans="1:12" ht="18.75">
      <c r="A456" s="234"/>
      <c r="B456" s="138" t="s">
        <v>1071</v>
      </c>
      <c r="C456" s="139" t="s">
        <v>1674</v>
      </c>
      <c r="D456" s="137">
        <f t="shared" ref="D456" si="162">SUM(D457:D462)</f>
        <v>148915.10999999999</v>
      </c>
      <c r="E456" s="137">
        <f t="shared" ref="E456" si="163">SUM(E457:E462)</f>
        <v>267115.74</v>
      </c>
      <c r="F456" s="72" t="s">
        <v>1835</v>
      </c>
      <c r="G456" s="245"/>
      <c r="H456" s="110"/>
      <c r="I456" s="137">
        <v>119066.626</v>
      </c>
      <c r="J456" s="106"/>
      <c r="L456" s="110"/>
    </row>
    <row r="457" spans="1:12" ht="18.75">
      <c r="A457" s="234"/>
      <c r="B457" s="113" t="s">
        <v>1072</v>
      </c>
      <c r="C457" s="114" t="s">
        <v>1675</v>
      </c>
      <c r="D457" s="109">
        <f>+ROUND('Alimentazione CE Costi'!E1035,2)</f>
        <v>-427.24</v>
      </c>
      <c r="E457" s="109">
        <f>+ROUND('Alimentazione CE Costi'!F1035,2)</f>
        <v>1686</v>
      </c>
      <c r="F457" s="356"/>
      <c r="G457" s="245"/>
      <c r="H457" s="110"/>
      <c r="I457" s="109">
        <v>-341.79200000000003</v>
      </c>
      <c r="J457" s="106"/>
      <c r="L457" s="110"/>
    </row>
    <row r="458" spans="1:12" ht="25.5">
      <c r="A458" s="234"/>
      <c r="B458" s="113" t="s">
        <v>1073</v>
      </c>
      <c r="C458" s="114" t="s">
        <v>1676</v>
      </c>
      <c r="D458" s="109">
        <f>+ROUND('Alimentazione CE Costi'!E1037,2)</f>
        <v>130723.49</v>
      </c>
      <c r="E458" s="109">
        <f>+ROUND('Alimentazione CE Costi'!F1037,2)</f>
        <v>265608.73</v>
      </c>
      <c r="F458" s="356"/>
      <c r="G458" s="245"/>
      <c r="H458" s="110"/>
      <c r="I458" s="109">
        <v>104513.33</v>
      </c>
      <c r="J458" s="106"/>
      <c r="L458" s="110"/>
    </row>
    <row r="459" spans="1:12" ht="18.75">
      <c r="A459" s="234"/>
      <c r="B459" s="113" t="s">
        <v>1074</v>
      </c>
      <c r="C459" s="114" t="s">
        <v>1677</v>
      </c>
      <c r="D459" s="109">
        <f>+ROUND('Alimentazione CE Costi'!E1039,2)</f>
        <v>0</v>
      </c>
      <c r="E459" s="109">
        <f>+ROUND('Alimentazione CE Costi'!F1039,2)</f>
        <v>0</v>
      </c>
      <c r="F459" s="356"/>
      <c r="G459" s="245"/>
      <c r="H459" s="110"/>
      <c r="I459" s="109">
        <v>0</v>
      </c>
      <c r="J459" s="106"/>
      <c r="L459" s="110"/>
    </row>
    <row r="460" spans="1:12" ht="18.75">
      <c r="A460" s="234"/>
      <c r="B460" s="113" t="s">
        <v>1075</v>
      </c>
      <c r="C460" s="114" t="s">
        <v>1678</v>
      </c>
      <c r="D460" s="109">
        <f>+ROUND('Alimentazione CE Costi'!E1041,2)</f>
        <v>17330.919999999998</v>
      </c>
      <c r="E460" s="109">
        <f>+ROUND('Alimentazione CE Costi'!F1041,2)</f>
        <v>3934.55</v>
      </c>
      <c r="F460" s="356"/>
      <c r="G460" s="245"/>
      <c r="H460" s="110"/>
      <c r="I460" s="109">
        <v>13864.735999999999</v>
      </c>
      <c r="J460" s="106"/>
      <c r="L460" s="110"/>
    </row>
    <row r="461" spans="1:12" ht="18.75">
      <c r="A461" s="234"/>
      <c r="B461" s="113" t="s">
        <v>1076</v>
      </c>
      <c r="C461" s="114" t="s">
        <v>1679</v>
      </c>
      <c r="D461" s="109">
        <f>+ROUND('Alimentazione CE Costi'!E1043,2)</f>
        <v>-2261.58</v>
      </c>
      <c r="E461" s="109">
        <f>+ROUND('Alimentazione CE Costi'!F1043,2)</f>
        <v>-5156.6000000000004</v>
      </c>
      <c r="F461" s="356"/>
      <c r="G461" s="245"/>
      <c r="H461" s="110"/>
      <c r="I461" s="109">
        <v>-1809.2640000000001</v>
      </c>
      <c r="J461" s="106"/>
      <c r="L461" s="110"/>
    </row>
    <row r="462" spans="1:12" ht="18.75">
      <c r="A462" s="234"/>
      <c r="B462" s="113" t="s">
        <v>1077</v>
      </c>
      <c r="C462" s="114" t="s">
        <v>1680</v>
      </c>
      <c r="D462" s="109">
        <f>+ROUND('Alimentazione CE Costi'!E1045,2)</f>
        <v>3549.52</v>
      </c>
      <c r="E462" s="109">
        <f>+ROUND('Alimentazione CE Costi'!F1045,2)</f>
        <v>1043.06</v>
      </c>
      <c r="F462" s="356"/>
      <c r="G462" s="245"/>
      <c r="H462" s="110"/>
      <c r="I462" s="109">
        <v>2839.616</v>
      </c>
      <c r="J462" s="106"/>
      <c r="L462" s="110"/>
    </row>
    <row r="463" spans="1:12" ht="18.75">
      <c r="A463" s="234"/>
      <c r="B463" s="143" t="s">
        <v>1078</v>
      </c>
      <c r="C463" s="144" t="s">
        <v>1681</v>
      </c>
      <c r="D463" s="145">
        <f t="shared" ref="D463" si="164">+D464+D472+D473+D480</f>
        <v>18556788.670000002</v>
      </c>
      <c r="E463" s="145">
        <f t="shared" ref="E463" si="165">+E464+E472+E473+E480</f>
        <v>53932818.620000005</v>
      </c>
      <c r="F463" s="72" t="s">
        <v>1835</v>
      </c>
      <c r="G463" s="245"/>
      <c r="H463" s="110"/>
      <c r="I463" s="145">
        <v>1533454.4</v>
      </c>
      <c r="J463" s="106"/>
      <c r="L463" s="110"/>
    </row>
    <row r="464" spans="1:12" ht="18.75">
      <c r="A464" s="234"/>
      <c r="B464" s="138" t="s">
        <v>1079</v>
      </c>
      <c r="C464" s="139" t="s">
        <v>1682</v>
      </c>
      <c r="D464" s="137">
        <f t="shared" ref="D464" si="166">SUM(D465:D471)</f>
        <v>3158043.6700000004</v>
      </c>
      <c r="E464" s="137">
        <f t="shared" ref="E464" si="167">SUM(E465:E471)</f>
        <v>2561190.3699999996</v>
      </c>
      <c r="F464" s="72" t="s">
        <v>1835</v>
      </c>
      <c r="G464" s="245"/>
      <c r="H464" s="110"/>
      <c r="I464" s="137">
        <v>0</v>
      </c>
      <c r="J464" s="106"/>
      <c r="L464" s="110"/>
    </row>
    <row r="465" spans="1:12" ht="25.5">
      <c r="A465" s="234"/>
      <c r="B465" s="113" t="s">
        <v>1081</v>
      </c>
      <c r="C465" s="114" t="s">
        <v>1683</v>
      </c>
      <c r="D465" s="109">
        <f>+ROUND('Alimentazione CE Costi'!E1049,2)</f>
        <v>2247702.1800000002</v>
      </c>
      <c r="E465" s="109">
        <f>+ROUND('Alimentazione CE Costi'!F1049,2)</f>
        <v>824526.09</v>
      </c>
      <c r="F465" s="356"/>
      <c r="G465" s="245"/>
      <c r="H465" s="110"/>
      <c r="I465" s="109"/>
      <c r="J465" s="106"/>
      <c r="L465" s="110"/>
    </row>
    <row r="466" spans="1:12" ht="25.5">
      <c r="A466" s="234"/>
      <c r="B466" s="113" t="s">
        <v>1083</v>
      </c>
      <c r="C466" s="114" t="s">
        <v>1684</v>
      </c>
      <c r="D466" s="109">
        <f>+ROUND('Alimentazione CE Costi'!E1051,2)</f>
        <v>131868.66</v>
      </c>
      <c r="E466" s="109">
        <f>+ROUND('Alimentazione CE Costi'!F1051,2)</f>
        <v>983613.84</v>
      </c>
      <c r="F466" s="356"/>
      <c r="G466" s="245"/>
      <c r="H466" s="110"/>
      <c r="I466" s="109"/>
      <c r="J466" s="106"/>
      <c r="L466" s="110"/>
    </row>
    <row r="467" spans="1:12" ht="25.5">
      <c r="A467" s="234"/>
      <c r="B467" s="113" t="s">
        <v>1085</v>
      </c>
      <c r="C467" s="114" t="s">
        <v>1685</v>
      </c>
      <c r="D467" s="109">
        <f>+ROUND('Alimentazione CE Costi'!E1053,2)</f>
        <v>235290</v>
      </c>
      <c r="E467" s="109">
        <f>+ROUND('Alimentazione CE Costi'!F1053,2)</f>
        <v>323673</v>
      </c>
      <c r="F467" s="356"/>
      <c r="G467" s="245"/>
      <c r="H467" s="110"/>
      <c r="I467" s="109"/>
      <c r="J467" s="106"/>
      <c r="L467" s="110"/>
    </row>
    <row r="468" spans="1:12" ht="25.5">
      <c r="A468" s="234"/>
      <c r="B468" s="113" t="s">
        <v>1087</v>
      </c>
      <c r="C468" s="114" t="s">
        <v>1686</v>
      </c>
      <c r="D468" s="109">
        <f>+ROUND('Alimentazione CE Costi'!E1055,2)</f>
        <v>0</v>
      </c>
      <c r="E468" s="109">
        <f>+ROUND('Alimentazione CE Costi'!F1055,2)</f>
        <v>0</v>
      </c>
      <c r="F468" s="356"/>
      <c r="G468" s="245"/>
      <c r="H468" s="110"/>
      <c r="I468" s="109"/>
      <c r="J468" s="106"/>
      <c r="L468" s="110"/>
    </row>
    <row r="469" spans="1:12" ht="18.75">
      <c r="A469" s="234"/>
      <c r="B469" s="113" t="s">
        <v>1089</v>
      </c>
      <c r="C469" s="114" t="s">
        <v>1687</v>
      </c>
      <c r="D469" s="109">
        <f>+ROUND('Alimentazione CE Costi'!E1057,2)</f>
        <v>0</v>
      </c>
      <c r="E469" s="109">
        <f>+ROUND('Alimentazione CE Costi'!F1057,2)</f>
        <v>0</v>
      </c>
      <c r="F469" s="356"/>
      <c r="G469" s="245"/>
      <c r="H469" s="110"/>
      <c r="I469" s="109"/>
      <c r="J469" s="106"/>
      <c r="L469" s="110"/>
    </row>
    <row r="470" spans="1:12" ht="18.75">
      <c r="A470" s="234"/>
      <c r="B470" s="113" t="s">
        <v>1091</v>
      </c>
      <c r="C470" s="114" t="s">
        <v>1688</v>
      </c>
      <c r="D470" s="109">
        <f>+ROUND('Alimentazione CE Costi'!E1059+'Alimentazione CE Costi'!E1060+'Alimentazione CE Costi'!E1061,2)</f>
        <v>543182.82999999996</v>
      </c>
      <c r="E470" s="109">
        <f>+ROUND('Alimentazione CE Costi'!F1059+'Alimentazione CE Costi'!F1060+'Alimentazione CE Costi'!F1061,2)</f>
        <v>429377.44</v>
      </c>
      <c r="F470" s="356"/>
      <c r="G470" s="245"/>
      <c r="H470" s="110"/>
      <c r="I470" s="109"/>
      <c r="J470" s="106"/>
      <c r="L470" s="110"/>
    </row>
    <row r="471" spans="1:12" ht="18.75">
      <c r="A471" s="234"/>
      <c r="B471" s="113" t="s">
        <v>1095</v>
      </c>
      <c r="C471" s="114" t="s">
        <v>1689</v>
      </c>
      <c r="D471" s="109">
        <f>+ROUND('Alimentazione CE Costi'!E1063,2)</f>
        <v>0</v>
      </c>
      <c r="E471" s="109">
        <f>+ROUND('Alimentazione CE Costi'!F1063,2)</f>
        <v>0</v>
      </c>
      <c r="F471" s="356"/>
      <c r="G471" s="245"/>
      <c r="H471" s="110"/>
      <c r="I471" s="109"/>
      <c r="J471" s="106"/>
      <c r="L471" s="110"/>
    </row>
    <row r="472" spans="1:12" ht="25.5">
      <c r="A472" s="234"/>
      <c r="B472" s="111" t="s">
        <v>1096</v>
      </c>
      <c r="C472" s="112" t="s">
        <v>1690</v>
      </c>
      <c r="D472" s="109">
        <f>+ROUND('Alimentazione CE Costi'!E1065+'Alimentazione CE Costi'!E1066,2)</f>
        <v>150150.88</v>
      </c>
      <c r="E472" s="109">
        <f>+ROUND('Alimentazione CE Costi'!F1065+'Alimentazione CE Costi'!F1066,2)</f>
        <v>176073.42</v>
      </c>
      <c r="F472" s="356"/>
      <c r="G472" s="245"/>
      <c r="H472" s="110"/>
      <c r="I472" s="109">
        <v>0</v>
      </c>
      <c r="J472" s="106"/>
      <c r="L472" s="110"/>
    </row>
    <row r="473" spans="1:12" ht="25.5">
      <c r="A473" s="234"/>
      <c r="B473" s="138" t="s">
        <v>1099</v>
      </c>
      <c r="C473" s="139" t="s">
        <v>1691</v>
      </c>
      <c r="D473" s="137">
        <f t="shared" ref="D473" si="168">SUM(D474:D479)</f>
        <v>10771821.93</v>
      </c>
      <c r="E473" s="137">
        <f t="shared" ref="E473" si="169">SUM(E474:E479)</f>
        <v>44654258.160000004</v>
      </c>
      <c r="F473" s="72" t="s">
        <v>1835</v>
      </c>
      <c r="G473" s="245"/>
      <c r="H473" s="110"/>
      <c r="I473" s="137">
        <v>0</v>
      </c>
      <c r="J473" s="106"/>
      <c r="L473" s="110"/>
    </row>
    <row r="474" spans="1:12" ht="25.5">
      <c r="A474" s="234"/>
      <c r="B474" s="113" t="s">
        <v>1100</v>
      </c>
      <c r="C474" s="114" t="s">
        <v>1692</v>
      </c>
      <c r="D474" s="109">
        <f>+ROUND('Alimentazione CE Costi'!E1069,2)</f>
        <v>792881.99</v>
      </c>
      <c r="E474" s="109">
        <f>+ROUND('Alimentazione CE Costi'!F1069,2)</f>
        <v>914017.38</v>
      </c>
      <c r="F474" s="356"/>
      <c r="G474" s="245"/>
      <c r="H474" s="110"/>
      <c r="I474" s="109">
        <v>0</v>
      </c>
      <c r="J474" s="106"/>
      <c r="L474" s="110"/>
    </row>
    <row r="475" spans="1:12" ht="25.5">
      <c r="A475" s="234"/>
      <c r="B475" s="113" t="s">
        <v>1102</v>
      </c>
      <c r="C475" s="114" t="s">
        <v>1693</v>
      </c>
      <c r="D475" s="109">
        <f>+ROUND('Alimentazione CE Costi'!E1071,2)</f>
        <v>598789.61</v>
      </c>
      <c r="E475" s="109">
        <f>+ROUND('Alimentazione CE Costi'!F1071,2)</f>
        <v>0</v>
      </c>
      <c r="F475" s="356"/>
      <c r="G475" s="245"/>
      <c r="H475" s="110"/>
      <c r="I475" s="109"/>
      <c r="J475" s="106"/>
      <c r="L475" s="110"/>
    </row>
    <row r="476" spans="1:12" ht="25.5">
      <c r="A476" s="234"/>
      <c r="B476" s="113" t="s">
        <v>1104</v>
      </c>
      <c r="C476" s="114" t="s">
        <v>1694</v>
      </c>
      <c r="D476" s="109">
        <f>+ROUND('Alimentazione CE Costi'!E1073,2)</f>
        <v>6166244.54</v>
      </c>
      <c r="E476" s="109">
        <f>+ROUND('Alimentazione CE Costi'!F1073,2)</f>
        <v>9135288.5700000003</v>
      </c>
      <c r="F476" s="356"/>
      <c r="G476" s="245"/>
      <c r="H476" s="110"/>
      <c r="I476" s="109"/>
      <c r="J476" s="106"/>
      <c r="L476" s="110"/>
    </row>
    <row r="477" spans="1:12" ht="25.5">
      <c r="A477" s="234"/>
      <c r="B477" s="113" t="s">
        <v>1106</v>
      </c>
      <c r="C477" s="114" t="s">
        <v>1695</v>
      </c>
      <c r="D477" s="109">
        <f>+ROUND('Alimentazione CE Costi'!E1075,2)</f>
        <v>0</v>
      </c>
      <c r="E477" s="109">
        <f>+ROUND('Alimentazione CE Costi'!F1075,2)</f>
        <v>0</v>
      </c>
      <c r="F477" s="356"/>
      <c r="G477" s="245"/>
      <c r="H477" s="110"/>
      <c r="I477" s="109"/>
      <c r="J477" s="106"/>
      <c r="L477" s="110"/>
    </row>
    <row r="478" spans="1:12" ht="25.5">
      <c r="A478" s="234"/>
      <c r="B478" s="113" t="s">
        <v>1107</v>
      </c>
      <c r="C478" s="114" t="s">
        <v>1696</v>
      </c>
      <c r="D478" s="109">
        <f>+ROUND('Alimentazione CE Costi'!E1077+'Alimentazione CE Costi'!E1078,2)</f>
        <v>3213905.79</v>
      </c>
      <c r="E478" s="109">
        <f>+ROUND('Alimentazione CE Costi'!F1077+'Alimentazione CE Costi'!F1078,2)</f>
        <v>34604952.210000001</v>
      </c>
      <c r="F478" s="356"/>
      <c r="G478" s="245"/>
      <c r="H478" s="110"/>
      <c r="I478" s="109"/>
      <c r="J478" s="106"/>
      <c r="L478" s="110"/>
    </row>
    <row r="479" spans="1:12" ht="25.5">
      <c r="A479" s="234"/>
      <c r="B479" s="113" t="s">
        <v>1111</v>
      </c>
      <c r="C479" s="114" t="s">
        <v>1697</v>
      </c>
      <c r="D479" s="109">
        <f>+ROUND('Alimentazione CE Costi'!E1080,2)</f>
        <v>0</v>
      </c>
      <c r="E479" s="109">
        <f>+ROUND('Alimentazione CE Costi'!F1080,2)</f>
        <v>0</v>
      </c>
      <c r="F479" s="356"/>
      <c r="G479" s="245"/>
      <c r="H479" s="110"/>
      <c r="I479" s="109">
        <v>0</v>
      </c>
      <c r="J479" s="106"/>
      <c r="L479" s="110"/>
    </row>
    <row r="480" spans="1:12" ht="18.75">
      <c r="A480" s="234"/>
      <c r="B480" s="138" t="s">
        <v>1113</v>
      </c>
      <c r="C480" s="139" t="s">
        <v>1698</v>
      </c>
      <c r="D480" s="137">
        <f t="shared" ref="D480" si="170">SUM(D481:D490)</f>
        <v>4476772.1900000004</v>
      </c>
      <c r="E480" s="137">
        <f t="shared" ref="E480" si="171">SUM(E481:E490)</f>
        <v>6541296.669999999</v>
      </c>
      <c r="F480" s="72" t="s">
        <v>1835</v>
      </c>
      <c r="G480" s="245"/>
      <c r="H480" s="110"/>
      <c r="I480" s="137">
        <v>1533454.4</v>
      </c>
      <c r="J480" s="106"/>
      <c r="L480" s="110"/>
    </row>
    <row r="481" spans="1:12" ht="18.75">
      <c r="A481" s="234"/>
      <c r="B481" s="121" t="s">
        <v>1115</v>
      </c>
      <c r="C481" s="122" t="s">
        <v>1699</v>
      </c>
      <c r="D481" s="109">
        <f>+ROUND('Alimentazione CE Costi'!E1083,2)</f>
        <v>1718986</v>
      </c>
      <c r="E481" s="109">
        <f>+ROUND('Alimentazione CE Costi'!F1083,2)</f>
        <v>1766791.82</v>
      </c>
      <c r="F481" s="356"/>
      <c r="G481" s="245"/>
      <c r="H481" s="110"/>
      <c r="I481" s="109"/>
      <c r="J481" s="106"/>
      <c r="L481" s="110"/>
    </row>
    <row r="482" spans="1:12" ht="18.75">
      <c r="A482" s="234"/>
      <c r="B482" s="121" t="s">
        <v>1117</v>
      </c>
      <c r="C482" s="122" t="s">
        <v>1700</v>
      </c>
      <c r="D482" s="109">
        <f>+ROUND('Alimentazione CE Costi'!E1085,2)</f>
        <v>119368</v>
      </c>
      <c r="E482" s="109">
        <f>+ROUND('Alimentazione CE Costi'!F1085,2)</f>
        <v>124924.99</v>
      </c>
      <c r="F482" s="356"/>
      <c r="G482" s="245"/>
      <c r="H482" s="110"/>
      <c r="I482" s="109">
        <v>0</v>
      </c>
      <c r="J482" s="106"/>
      <c r="L482" s="110"/>
    </row>
    <row r="483" spans="1:12" ht="18.75">
      <c r="A483" s="234"/>
      <c r="B483" s="121" t="s">
        <v>1119</v>
      </c>
      <c r="C483" s="122" t="s">
        <v>1701</v>
      </c>
      <c r="D483" s="109">
        <f>+ROUND('Alimentazione CE Costi'!E1087,2)</f>
        <v>1434807.22</v>
      </c>
      <c r="E483" s="109">
        <f>+ROUND('Alimentazione CE Costi'!F1087,2)</f>
        <v>2869158.13</v>
      </c>
      <c r="F483" s="356"/>
      <c r="G483" s="245"/>
      <c r="H483" s="110"/>
      <c r="I483" s="109">
        <v>1147845.78</v>
      </c>
      <c r="J483" s="106"/>
      <c r="L483" s="110"/>
    </row>
    <row r="484" spans="1:12" ht="18.75">
      <c r="A484" s="234"/>
      <c r="B484" s="113" t="s">
        <v>1121</v>
      </c>
      <c r="C484" s="114" t="s">
        <v>1702</v>
      </c>
      <c r="D484" s="109">
        <f>+ROUND('Alimentazione CE Costi'!E1089,2)</f>
        <v>482010.78</v>
      </c>
      <c r="E484" s="109">
        <f>+ROUND('Alimentazione CE Costi'!F1089,2)</f>
        <v>467072.25</v>
      </c>
      <c r="F484" s="356"/>
      <c r="G484" s="245"/>
      <c r="H484" s="110"/>
      <c r="I484" s="109">
        <v>385608.62</v>
      </c>
      <c r="J484" s="106"/>
      <c r="L484" s="110"/>
    </row>
    <row r="485" spans="1:12" ht="18.75">
      <c r="A485" s="234"/>
      <c r="B485" s="113" t="s">
        <v>1123</v>
      </c>
      <c r="C485" s="114" t="s">
        <v>1703</v>
      </c>
      <c r="D485" s="109">
        <f>+ROUND('Alimentazione CE Costi'!E1091,2)</f>
        <v>0</v>
      </c>
      <c r="E485" s="109">
        <f>+ROUND('Alimentazione CE Costi'!F1091,2)</f>
        <v>0</v>
      </c>
      <c r="F485" s="356"/>
      <c r="G485" s="245"/>
      <c r="H485" s="110"/>
      <c r="I485" s="109">
        <v>0</v>
      </c>
      <c r="J485" s="106"/>
      <c r="L485" s="110"/>
    </row>
    <row r="486" spans="1:12" ht="18.75">
      <c r="A486" s="234"/>
      <c r="B486" s="113" t="s">
        <v>1125</v>
      </c>
      <c r="C486" s="114" t="s">
        <v>1704</v>
      </c>
      <c r="D486" s="109">
        <f>+ROUND('Alimentazione CE Costi'!E1093,2)</f>
        <v>0</v>
      </c>
      <c r="E486" s="109">
        <f>+ROUND('Alimentazione CE Costi'!F1093,2)</f>
        <v>0</v>
      </c>
      <c r="F486" s="356"/>
      <c r="G486" s="245"/>
      <c r="H486" s="110"/>
      <c r="I486" s="109">
        <v>0</v>
      </c>
      <c r="J486" s="106"/>
      <c r="L486" s="110"/>
    </row>
    <row r="487" spans="1:12" ht="18.75">
      <c r="A487" s="234"/>
      <c r="B487" s="113" t="s">
        <v>1127</v>
      </c>
      <c r="C487" s="114" t="s">
        <v>1705</v>
      </c>
      <c r="D487" s="109">
        <f>+ROUND('Alimentazione CE Costi'!E1095,2)</f>
        <v>0</v>
      </c>
      <c r="E487" s="109">
        <f>+ROUND('Alimentazione CE Costi'!F1095,2)</f>
        <v>0</v>
      </c>
      <c r="F487" s="356"/>
      <c r="G487" s="245"/>
      <c r="H487" s="110"/>
      <c r="I487" s="109">
        <v>0</v>
      </c>
      <c r="J487" s="106"/>
      <c r="L487" s="110"/>
    </row>
    <row r="488" spans="1:12" ht="18.75">
      <c r="A488" s="234"/>
      <c r="B488" s="113" t="s">
        <v>1129</v>
      </c>
      <c r="C488" s="114" t="s">
        <v>1706</v>
      </c>
      <c r="D488" s="109">
        <f>+ROUND('Alimentazione CE Costi'!E1097,2)</f>
        <v>0</v>
      </c>
      <c r="E488" s="109">
        <f>+ROUND('Alimentazione CE Costi'!F1097,2)</f>
        <v>0</v>
      </c>
      <c r="F488" s="356"/>
      <c r="G488" s="245"/>
      <c r="H488" s="110"/>
      <c r="I488" s="109"/>
      <c r="J488" s="106"/>
      <c r="L488" s="110"/>
    </row>
    <row r="489" spans="1:12" ht="25.5">
      <c r="A489" s="234"/>
      <c r="B489" s="113" t="s">
        <v>1131</v>
      </c>
      <c r="C489" s="114" t="s">
        <v>1707</v>
      </c>
      <c r="D489" s="109">
        <f>+ROUND('Alimentazione CE Costi'!E1099,2)</f>
        <v>262347.95</v>
      </c>
      <c r="E489" s="109">
        <f>+ROUND('Alimentazione CE Costi'!F1099,2)</f>
        <v>202941.89</v>
      </c>
      <c r="F489" s="356"/>
      <c r="G489" s="245"/>
      <c r="H489" s="110"/>
      <c r="I489" s="109"/>
      <c r="J489" s="106"/>
      <c r="L489" s="110"/>
    </row>
    <row r="490" spans="1:12" ht="18.75">
      <c r="A490" s="234"/>
      <c r="B490" s="121" t="s">
        <v>1132</v>
      </c>
      <c r="C490" s="123" t="s">
        <v>1708</v>
      </c>
      <c r="D490" s="109">
        <f>+ROUND('Alimentazione CE Costi'!E1101,2)</f>
        <v>459252.24</v>
      </c>
      <c r="E490" s="109">
        <f>+ROUND('Alimentazione CE Costi'!F1101,2)</f>
        <v>1110407.5900000001</v>
      </c>
      <c r="F490" s="356"/>
      <c r="G490" s="245"/>
      <c r="H490" s="110"/>
      <c r="I490" s="109"/>
      <c r="J490" s="106"/>
      <c r="L490" s="110"/>
    </row>
    <row r="491" spans="1:12" ht="18.75">
      <c r="A491" s="232"/>
      <c r="B491" s="146" t="s">
        <v>1709</v>
      </c>
      <c r="C491" s="147" t="s">
        <v>1710</v>
      </c>
      <c r="D491" s="148">
        <f>+D463+D446+D436+D428+D386+D376+D368+D199+D159+D443</f>
        <v>977190238.44999993</v>
      </c>
      <c r="E491" s="148">
        <f t="shared" ref="E491" si="172">+E463+E446+E436+E428+E386+E376+E368+E199+E159+E443</f>
        <v>998060664.98000002</v>
      </c>
      <c r="F491" s="72"/>
      <c r="G491" s="245"/>
      <c r="H491" s="110"/>
      <c r="I491" s="148">
        <v>456263333.58029997</v>
      </c>
      <c r="J491" s="106"/>
      <c r="L491" s="110"/>
    </row>
    <row r="492" spans="1:12" ht="18.75">
      <c r="A492" s="232"/>
      <c r="B492" s="159"/>
      <c r="C492" s="160" t="s">
        <v>1711</v>
      </c>
      <c r="D492" s="161"/>
      <c r="E492" s="161"/>
      <c r="F492" s="72"/>
      <c r="G492" s="245"/>
      <c r="H492" s="110"/>
      <c r="I492" s="161"/>
      <c r="J492" s="106"/>
      <c r="L492" s="110"/>
    </row>
    <row r="493" spans="1:12" ht="18.75">
      <c r="A493" s="232"/>
      <c r="B493" s="143" t="s">
        <v>397</v>
      </c>
      <c r="C493" s="144" t="s">
        <v>1712</v>
      </c>
      <c r="D493" s="145">
        <f t="shared" ref="D493" si="173">+D494+D495+D496</f>
        <v>5413.63</v>
      </c>
      <c r="E493" s="145">
        <f t="shared" ref="E493" si="174">+E494+E495+E496</f>
        <v>26.560000000000002</v>
      </c>
      <c r="F493" s="72" t="s">
        <v>1835</v>
      </c>
      <c r="G493" s="245"/>
      <c r="H493" s="110"/>
      <c r="I493" s="145">
        <v>0</v>
      </c>
      <c r="J493" s="106"/>
      <c r="L493" s="110"/>
    </row>
    <row r="494" spans="1:12" ht="18.75">
      <c r="A494" s="232"/>
      <c r="B494" s="111" t="s">
        <v>399</v>
      </c>
      <c r="C494" s="112" t="s">
        <v>1713</v>
      </c>
      <c r="D494" s="109">
        <f>+ROUND('Alimentazione CE Ricavi'!E320,2)</f>
        <v>0.18</v>
      </c>
      <c r="E494" s="109">
        <f>+ROUND('Alimentazione CE Ricavi'!F320,2)</f>
        <v>0.1</v>
      </c>
      <c r="F494" s="72"/>
      <c r="G494" s="245"/>
      <c r="H494" s="110"/>
      <c r="I494" s="109">
        <v>0</v>
      </c>
      <c r="J494" s="106"/>
      <c r="L494" s="110"/>
    </row>
    <row r="495" spans="1:12" ht="18.75">
      <c r="A495" s="232"/>
      <c r="B495" s="111" t="s">
        <v>400</v>
      </c>
      <c r="C495" s="112" t="s">
        <v>1714</v>
      </c>
      <c r="D495" s="109">
        <f>+ROUND('Alimentazione CE Ricavi'!E322+'Alimentazione CE Ricavi'!E323,2)</f>
        <v>0</v>
      </c>
      <c r="E495" s="109">
        <f>+ROUND('Alimentazione CE Ricavi'!F322+'Alimentazione CE Ricavi'!F323,2)</f>
        <v>0</v>
      </c>
      <c r="F495" s="72"/>
      <c r="G495" s="245"/>
      <c r="H495" s="110"/>
      <c r="I495" s="109">
        <v>0</v>
      </c>
      <c r="J495" s="106"/>
      <c r="L495" s="110"/>
    </row>
    <row r="496" spans="1:12" ht="18.75">
      <c r="A496" s="232"/>
      <c r="B496" s="111" t="s">
        <v>404</v>
      </c>
      <c r="C496" s="112" t="s">
        <v>1715</v>
      </c>
      <c r="D496" s="109">
        <f>+ROUND('Alimentazione CE Ricavi'!E325+'Alimentazione CE Ricavi'!E327+'Alimentazione CE Ricavi'!E326,2)</f>
        <v>5413.45</v>
      </c>
      <c r="E496" s="109">
        <f>+ROUND('Alimentazione CE Ricavi'!F325+'Alimentazione CE Ricavi'!F327+'Alimentazione CE Ricavi'!F326,2)</f>
        <v>26.46</v>
      </c>
      <c r="F496" s="72"/>
      <c r="G496" s="245"/>
      <c r="H496" s="110"/>
      <c r="I496" s="109">
        <v>0</v>
      </c>
      <c r="J496" s="106"/>
      <c r="L496" s="110"/>
    </row>
    <row r="497" spans="1:12" ht="18.75">
      <c r="A497" s="232"/>
      <c r="B497" s="143" t="s">
        <v>406</v>
      </c>
      <c r="C497" s="144" t="s">
        <v>1716</v>
      </c>
      <c r="D497" s="145">
        <f t="shared" ref="D497" si="175">SUM(D498:D502)</f>
        <v>0</v>
      </c>
      <c r="E497" s="145">
        <f t="shared" ref="E497" si="176">SUM(E498:E502)</f>
        <v>0</v>
      </c>
      <c r="F497" s="72" t="s">
        <v>1835</v>
      </c>
      <c r="G497" s="245"/>
      <c r="H497" s="110"/>
      <c r="I497" s="145">
        <v>0</v>
      </c>
      <c r="J497" s="106"/>
      <c r="L497" s="110"/>
    </row>
    <row r="498" spans="1:12" ht="18.75">
      <c r="A498" s="232"/>
      <c r="B498" s="111" t="s">
        <v>408</v>
      </c>
      <c r="C498" s="112" t="s">
        <v>1717</v>
      </c>
      <c r="D498" s="109">
        <f>+ROUND('Alimentazione CE Ricavi'!E330,2)</f>
        <v>0</v>
      </c>
      <c r="E498" s="109">
        <f>+ROUND('Alimentazione CE Ricavi'!F330,2)</f>
        <v>0</v>
      </c>
      <c r="F498" s="72"/>
      <c r="G498" s="245"/>
      <c r="H498" s="110"/>
      <c r="I498" s="109">
        <v>0</v>
      </c>
      <c r="J498" s="106"/>
      <c r="L498" s="110"/>
    </row>
    <row r="499" spans="1:12" ht="25.5">
      <c r="A499" s="232"/>
      <c r="B499" s="111" t="s">
        <v>410</v>
      </c>
      <c r="C499" s="112" t="s">
        <v>1718</v>
      </c>
      <c r="D499" s="109">
        <f>+ROUND('Alimentazione CE Ricavi'!E332,2)</f>
        <v>0</v>
      </c>
      <c r="E499" s="109">
        <f>+ROUND('Alimentazione CE Ricavi'!F332,2)</f>
        <v>0</v>
      </c>
      <c r="F499" s="72"/>
      <c r="G499" s="245"/>
      <c r="H499" s="110"/>
      <c r="I499" s="109">
        <v>0</v>
      </c>
      <c r="J499" s="106"/>
      <c r="L499" s="110"/>
    </row>
    <row r="500" spans="1:12" ht="25.5">
      <c r="A500" s="232"/>
      <c r="B500" s="111" t="s">
        <v>412</v>
      </c>
      <c r="C500" s="112" t="s">
        <v>1719</v>
      </c>
      <c r="D500" s="109">
        <f>+ROUND('Alimentazione CE Ricavi'!E334,2)</f>
        <v>0</v>
      </c>
      <c r="E500" s="109">
        <f>+ROUND('Alimentazione CE Ricavi'!F334,2)</f>
        <v>0</v>
      </c>
      <c r="F500" s="72"/>
      <c r="G500" s="245"/>
      <c r="H500" s="110"/>
      <c r="I500" s="109">
        <v>0</v>
      </c>
      <c r="J500" s="106"/>
      <c r="L500" s="110"/>
    </row>
    <row r="501" spans="1:12" ht="18.75">
      <c r="A501" s="232"/>
      <c r="B501" s="111" t="s">
        <v>414</v>
      </c>
      <c r="C501" s="112" t="s">
        <v>1720</v>
      </c>
      <c r="D501" s="109">
        <f>+ROUND('Alimentazione CE Ricavi'!E336,2)</f>
        <v>0</v>
      </c>
      <c r="E501" s="109">
        <f>+ROUND('Alimentazione CE Ricavi'!F336,2)</f>
        <v>0</v>
      </c>
      <c r="F501" s="72"/>
      <c r="G501" s="245"/>
      <c r="H501" s="110"/>
      <c r="I501" s="109">
        <v>0</v>
      </c>
      <c r="J501" s="106"/>
      <c r="L501" s="110"/>
    </row>
    <row r="502" spans="1:12" ht="18.75">
      <c r="A502" s="232"/>
      <c r="B502" s="111" t="s">
        <v>416</v>
      </c>
      <c r="C502" s="112" t="s">
        <v>1721</v>
      </c>
      <c r="D502" s="109">
        <f>+ROUND('Alimentazione CE Ricavi'!E338,2)</f>
        <v>0</v>
      </c>
      <c r="E502" s="109">
        <f>+ROUND('Alimentazione CE Ricavi'!F338,2)</f>
        <v>0</v>
      </c>
      <c r="F502" s="72"/>
      <c r="G502" s="245"/>
      <c r="H502" s="110"/>
      <c r="I502" s="109">
        <v>0</v>
      </c>
      <c r="J502" s="106"/>
      <c r="L502" s="110"/>
    </row>
    <row r="503" spans="1:12" ht="18.75">
      <c r="A503" s="232"/>
      <c r="B503" s="143" t="s">
        <v>1133</v>
      </c>
      <c r="C503" s="144" t="s">
        <v>1722</v>
      </c>
      <c r="D503" s="145">
        <f t="shared" ref="D503" si="177">SUM(D504:D506)</f>
        <v>162436.32999999999</v>
      </c>
      <c r="E503" s="145">
        <f t="shared" ref="E503" si="178">SUM(E504:E506)</f>
        <v>27496.43</v>
      </c>
      <c r="F503" s="72" t="s">
        <v>1835</v>
      </c>
      <c r="G503" s="245"/>
      <c r="H503" s="110"/>
      <c r="I503" s="145">
        <v>0</v>
      </c>
      <c r="J503" s="106"/>
      <c r="L503" s="110"/>
    </row>
    <row r="504" spans="1:12" ht="18.75">
      <c r="A504" s="232"/>
      <c r="B504" s="111" t="s">
        <v>1135</v>
      </c>
      <c r="C504" s="112" t="s">
        <v>1723</v>
      </c>
      <c r="D504" s="109">
        <f>+ROUND('Alimentazione CE Costi'!E1105,2)</f>
        <v>0</v>
      </c>
      <c r="E504" s="109">
        <f>+ROUND('Alimentazione CE Costi'!F1105,2)</f>
        <v>0</v>
      </c>
      <c r="F504" s="72"/>
      <c r="G504" s="245"/>
      <c r="H504" s="110"/>
      <c r="I504" s="109">
        <v>0</v>
      </c>
      <c r="J504" s="106"/>
      <c r="L504" s="110"/>
    </row>
    <row r="505" spans="1:12" ht="18.75">
      <c r="A505" s="232"/>
      <c r="B505" s="111" t="s">
        <v>1137</v>
      </c>
      <c r="C505" s="112" t="s">
        <v>1724</v>
      </c>
      <c r="D505" s="109">
        <f>+ROUND('Alimentazione CE Costi'!E1107,2)</f>
        <v>0</v>
      </c>
      <c r="E505" s="109">
        <f>+ROUND('Alimentazione CE Costi'!F1107,2)</f>
        <v>0</v>
      </c>
      <c r="F505" s="72"/>
      <c r="G505" s="245"/>
      <c r="H505" s="110"/>
      <c r="I505" s="109">
        <v>0</v>
      </c>
      <c r="J505" s="106"/>
      <c r="L505" s="110"/>
    </row>
    <row r="506" spans="1:12" ht="18.75">
      <c r="A506" s="232"/>
      <c r="B506" s="111" t="s">
        <v>1139</v>
      </c>
      <c r="C506" s="112" t="s">
        <v>1725</v>
      </c>
      <c r="D506" s="109">
        <f>+ROUND('Alimentazione CE Costi'!E1109+'Alimentazione CE Costi'!E1110,2)</f>
        <v>162436.32999999999</v>
      </c>
      <c r="E506" s="109">
        <f>+ROUND('Alimentazione CE Costi'!F1109+'Alimentazione CE Costi'!F1110,2)</f>
        <v>27496.43</v>
      </c>
      <c r="F506" s="72"/>
      <c r="G506" s="245"/>
      <c r="H506" s="110"/>
      <c r="I506" s="109">
        <v>0</v>
      </c>
      <c r="J506" s="106"/>
      <c r="L506" s="110"/>
    </row>
    <row r="507" spans="1:12" ht="18.75">
      <c r="A507" s="236"/>
      <c r="B507" s="143" t="s">
        <v>1726</v>
      </c>
      <c r="C507" s="144" t="s">
        <v>1727</v>
      </c>
      <c r="D507" s="145">
        <f t="shared" ref="D507" si="179">SUM(D508:D509)</f>
        <v>0</v>
      </c>
      <c r="E507" s="145">
        <f t="shared" ref="E507" si="180">SUM(E508:E509)</f>
        <v>0</v>
      </c>
      <c r="F507" s="72" t="s">
        <v>1835</v>
      </c>
      <c r="G507" s="245"/>
      <c r="H507" s="110"/>
      <c r="I507" s="145">
        <v>0</v>
      </c>
      <c r="J507" s="106"/>
      <c r="L507" s="110"/>
    </row>
    <row r="508" spans="1:12" ht="18.75">
      <c r="A508" s="236"/>
      <c r="B508" s="111" t="s">
        <v>1141</v>
      </c>
      <c r="C508" s="112" t="s">
        <v>1728</v>
      </c>
      <c r="D508" s="109">
        <f>+ROUND('Alimentazione CE Costi'!E1113,2)</f>
        <v>0</v>
      </c>
      <c r="E508" s="109">
        <f>+ROUND('Alimentazione CE Costi'!F1113,2)</f>
        <v>0</v>
      </c>
      <c r="F508" s="72"/>
      <c r="G508" s="245"/>
      <c r="H508" s="110"/>
      <c r="I508" s="109">
        <v>0</v>
      </c>
      <c r="J508" s="106"/>
      <c r="L508" s="110"/>
    </row>
    <row r="509" spans="1:12" ht="18.75">
      <c r="A509" s="232"/>
      <c r="B509" s="111" t="s">
        <v>1143</v>
      </c>
      <c r="C509" s="112" t="s">
        <v>1729</v>
      </c>
      <c r="D509" s="109">
        <f>+ROUND('Alimentazione CE Costi'!E1115,2)</f>
        <v>0</v>
      </c>
      <c r="E509" s="109">
        <f>+ROUND('Alimentazione CE Costi'!F1115,2)</f>
        <v>0</v>
      </c>
      <c r="F509" s="72"/>
      <c r="G509" s="245"/>
      <c r="H509" s="110"/>
      <c r="I509" s="109">
        <v>0</v>
      </c>
      <c r="J509" s="106"/>
      <c r="L509" s="110"/>
    </row>
    <row r="510" spans="1:12" ht="18.75">
      <c r="A510" s="236"/>
      <c r="B510" s="146" t="s">
        <v>1730</v>
      </c>
      <c r="C510" s="147" t="s">
        <v>1731</v>
      </c>
      <c r="D510" s="148">
        <f t="shared" ref="D510" si="181">+D493+D497-D503-D507</f>
        <v>-157022.69999999998</v>
      </c>
      <c r="E510" s="148">
        <f t="shared" ref="E510" si="182">+E493+E497-E503-E507</f>
        <v>-27469.87</v>
      </c>
      <c r="F510" s="72" t="s">
        <v>1835</v>
      </c>
      <c r="G510" s="245"/>
      <c r="H510" s="110"/>
      <c r="I510" s="148">
        <v>0</v>
      </c>
      <c r="J510" s="106"/>
      <c r="L510" s="110"/>
    </row>
    <row r="511" spans="1:12" ht="18.75">
      <c r="A511" s="232"/>
      <c r="B511" s="159"/>
      <c r="C511" s="160" t="s">
        <v>1732</v>
      </c>
      <c r="D511" s="161"/>
      <c r="E511" s="161"/>
      <c r="F511" s="72"/>
      <c r="G511" s="245"/>
      <c r="H511" s="110"/>
      <c r="I511" s="161"/>
      <c r="J511" s="106"/>
      <c r="L511" s="110"/>
    </row>
    <row r="512" spans="1:12" ht="18.75">
      <c r="A512" s="232"/>
      <c r="B512" s="107" t="s">
        <v>418</v>
      </c>
      <c r="C512" s="108" t="s">
        <v>1733</v>
      </c>
      <c r="D512" s="109">
        <f>+ROUND('Alimentazione CE Ricavi'!E341,2)</f>
        <v>0</v>
      </c>
      <c r="E512" s="109">
        <f>+ROUND('Alimentazione CE Ricavi'!F341,2)</f>
        <v>0</v>
      </c>
      <c r="F512" s="72"/>
      <c r="G512" s="245"/>
      <c r="H512" s="110"/>
      <c r="I512" s="109">
        <v>0</v>
      </c>
      <c r="J512" s="106"/>
      <c r="L512" s="110"/>
    </row>
    <row r="513" spans="1:12" ht="18.75">
      <c r="A513" s="232"/>
      <c r="B513" s="107" t="s">
        <v>1145</v>
      </c>
      <c r="C513" s="108" t="s">
        <v>1734</v>
      </c>
      <c r="D513" s="109">
        <f>+ROUND('Alimentazione CE Costi'!E1118,2)</f>
        <v>0</v>
      </c>
      <c r="E513" s="109">
        <f>+ROUND('Alimentazione CE Costi'!F1118,2)</f>
        <v>0</v>
      </c>
      <c r="F513" s="72"/>
      <c r="G513" s="245"/>
      <c r="H513" s="110"/>
      <c r="I513" s="109">
        <v>0</v>
      </c>
      <c r="J513" s="106"/>
      <c r="L513" s="110"/>
    </row>
    <row r="514" spans="1:12" ht="18.75">
      <c r="A514" s="232"/>
      <c r="B514" s="146" t="s">
        <v>1735</v>
      </c>
      <c r="C514" s="147" t="s">
        <v>1736</v>
      </c>
      <c r="D514" s="148">
        <f t="shared" ref="D514" si="183">+D512-D513</f>
        <v>0</v>
      </c>
      <c r="E514" s="148">
        <f t="shared" ref="E514" si="184">+E512-E513</f>
        <v>0</v>
      </c>
      <c r="F514" s="72" t="s">
        <v>1835</v>
      </c>
      <c r="G514" s="245"/>
      <c r="H514" s="110"/>
      <c r="I514" s="148">
        <v>0</v>
      </c>
      <c r="J514" s="106"/>
      <c r="L514" s="110"/>
    </row>
    <row r="515" spans="1:12" ht="18.75">
      <c r="A515" s="232"/>
      <c r="B515" s="159"/>
      <c r="C515" s="160" t="s">
        <v>1737</v>
      </c>
      <c r="D515" s="161"/>
      <c r="E515" s="161"/>
      <c r="F515" s="72"/>
      <c r="G515" s="245"/>
      <c r="H515" s="110"/>
      <c r="I515" s="161"/>
      <c r="J515" s="106"/>
      <c r="L515" s="110"/>
    </row>
    <row r="516" spans="1:12" ht="18.75">
      <c r="A516" s="232"/>
      <c r="B516" s="143" t="s">
        <v>419</v>
      </c>
      <c r="C516" s="144" t="s">
        <v>1738</v>
      </c>
      <c r="D516" s="145">
        <f t="shared" ref="D516" si="185">+D517+D518</f>
        <v>10169611.73</v>
      </c>
      <c r="E516" s="145">
        <f t="shared" ref="E516" si="186">+E517+E518</f>
        <v>20738005.530000001</v>
      </c>
      <c r="F516" s="72" t="s">
        <v>1835</v>
      </c>
      <c r="G516" s="245"/>
      <c r="H516" s="110"/>
      <c r="I516" s="145">
        <v>963883.19</v>
      </c>
      <c r="J516" s="106"/>
      <c r="L516" s="110"/>
    </row>
    <row r="517" spans="1:12" ht="18.75">
      <c r="A517" s="232"/>
      <c r="B517" s="111" t="s">
        <v>421</v>
      </c>
      <c r="C517" s="112" t="s">
        <v>1739</v>
      </c>
      <c r="D517" s="109">
        <f>+ROUND('Alimentazione CE Ricavi'!E345,2)</f>
        <v>0</v>
      </c>
      <c r="E517" s="109">
        <f>+ROUND('Alimentazione CE Ricavi'!F345,2)</f>
        <v>0.16</v>
      </c>
      <c r="F517" s="72"/>
      <c r="G517" s="245"/>
      <c r="H517" s="110"/>
      <c r="I517" s="109">
        <v>0</v>
      </c>
      <c r="J517" s="106"/>
      <c r="L517" s="110"/>
    </row>
    <row r="518" spans="1:12" ht="18.75">
      <c r="A518" s="232"/>
      <c r="B518" s="138" t="s">
        <v>423</v>
      </c>
      <c r="C518" s="139" t="s">
        <v>1740</v>
      </c>
      <c r="D518" s="137">
        <f t="shared" ref="D518" si="187">+D519+D520+D531+D541</f>
        <v>10169611.73</v>
      </c>
      <c r="E518" s="137">
        <f t="shared" ref="E518" si="188">+E519+E520+E531+E541</f>
        <v>20738005.370000001</v>
      </c>
      <c r="F518" s="72" t="s">
        <v>1835</v>
      </c>
      <c r="G518" s="245"/>
      <c r="H518" s="110"/>
      <c r="I518" s="137">
        <v>963883.19</v>
      </c>
      <c r="J518" s="106"/>
      <c r="L518" s="110"/>
    </row>
    <row r="519" spans="1:12" ht="18.75">
      <c r="A519" s="232"/>
      <c r="B519" s="113" t="s">
        <v>425</v>
      </c>
      <c r="C519" s="114" t="s">
        <v>1741</v>
      </c>
      <c r="D519" s="109">
        <f>+ROUND('Alimentazione CE Ricavi'!E348,2)</f>
        <v>1972766.37</v>
      </c>
      <c r="E519" s="109">
        <f>+ROUND('Alimentazione CE Ricavi'!F348,2)</f>
        <v>658905.35</v>
      </c>
      <c r="F519" s="72"/>
      <c r="G519" s="245"/>
      <c r="H519" s="110"/>
      <c r="I519" s="109">
        <v>963883.19</v>
      </c>
      <c r="J519" s="106"/>
      <c r="L519" s="110"/>
    </row>
    <row r="520" spans="1:12" ht="18.75">
      <c r="A520" s="232"/>
      <c r="B520" s="149" t="s">
        <v>426</v>
      </c>
      <c r="C520" s="150" t="s">
        <v>1742</v>
      </c>
      <c r="D520" s="151">
        <f t="shared" ref="D520" si="189">+D521+D522+D523</f>
        <v>3144453.7699999996</v>
      </c>
      <c r="E520" s="151">
        <f t="shared" ref="E520" si="190">+E521+E522+E523</f>
        <v>15640991.939999999</v>
      </c>
      <c r="F520" s="72" t="s">
        <v>1835</v>
      </c>
      <c r="G520" s="245"/>
      <c r="H520" s="110"/>
      <c r="I520" s="151">
        <v>0</v>
      </c>
      <c r="J520" s="106"/>
      <c r="L520" s="110"/>
    </row>
    <row r="521" spans="1:12" ht="18.75">
      <c r="A521" s="234"/>
      <c r="B521" s="113" t="s">
        <v>428</v>
      </c>
      <c r="C521" s="114" t="s">
        <v>1743</v>
      </c>
      <c r="D521" s="109">
        <f>+ROUND('Alimentazione CE Ricavi'!E351,2)</f>
        <v>0</v>
      </c>
      <c r="E521" s="109">
        <f>+ROUND('Alimentazione CE Ricavi'!F351,2)</f>
        <v>14018790.699999999</v>
      </c>
      <c r="F521" s="356"/>
      <c r="G521" s="245"/>
      <c r="H521" s="110"/>
      <c r="I521" s="109"/>
      <c r="J521" s="106"/>
      <c r="L521" s="110"/>
    </row>
    <row r="522" spans="1:12" ht="25.5">
      <c r="A522" s="234" t="s">
        <v>1248</v>
      </c>
      <c r="B522" s="113" t="s">
        <v>430</v>
      </c>
      <c r="C522" s="114" t="s">
        <v>1744</v>
      </c>
      <c r="D522" s="109">
        <f>+ROUND('Alimentazione CE Ricavi'!E353,2)</f>
        <v>699690.22</v>
      </c>
      <c r="E522" s="109">
        <f>+ROUND('Alimentazione CE Ricavi'!F353,2)</f>
        <v>74633.38</v>
      </c>
      <c r="F522" s="356"/>
      <c r="G522" s="245"/>
      <c r="H522" s="110"/>
      <c r="I522" s="109">
        <v>0</v>
      </c>
      <c r="J522" s="106"/>
      <c r="L522" s="110"/>
    </row>
    <row r="523" spans="1:12" ht="18.75">
      <c r="A523" s="234"/>
      <c r="B523" s="155" t="s">
        <v>431</v>
      </c>
      <c r="C523" s="156" t="s">
        <v>1745</v>
      </c>
      <c r="D523" s="154">
        <f t="shared" ref="D523" si="191">SUM(D524:D530)</f>
        <v>2444763.5499999998</v>
      </c>
      <c r="E523" s="154">
        <f t="shared" ref="E523" si="192">SUM(E524:E530)</f>
        <v>1547567.86</v>
      </c>
      <c r="F523" s="72" t="s">
        <v>1835</v>
      </c>
      <c r="G523" s="245"/>
      <c r="H523" s="110"/>
      <c r="I523" s="154">
        <v>0</v>
      </c>
      <c r="J523" s="106"/>
      <c r="L523" s="110"/>
    </row>
    <row r="524" spans="1:12" ht="25.5">
      <c r="A524" s="234" t="s">
        <v>1293</v>
      </c>
      <c r="B524" s="115" t="s">
        <v>433</v>
      </c>
      <c r="C524" s="116" t="s">
        <v>1746</v>
      </c>
      <c r="D524" s="109">
        <f>+ROUND('Alimentazione CE Ricavi'!E356,2)</f>
        <v>881.07</v>
      </c>
      <c r="E524" s="109">
        <f>+ROUND('Alimentazione CE Ricavi'!F356,2)</f>
        <v>694.29</v>
      </c>
      <c r="F524" s="356"/>
      <c r="G524" s="245"/>
      <c r="H524" s="110"/>
      <c r="I524" s="109">
        <v>0</v>
      </c>
      <c r="J524" s="106"/>
      <c r="L524" s="110"/>
    </row>
    <row r="525" spans="1:12" ht="25.5">
      <c r="A525" s="234"/>
      <c r="B525" s="115" t="s">
        <v>435</v>
      </c>
      <c r="C525" s="116" t="s">
        <v>1747</v>
      </c>
      <c r="D525" s="109">
        <f>+ROUND('Alimentazione CE Ricavi'!E358,2)</f>
        <v>27002.71</v>
      </c>
      <c r="E525" s="109">
        <f>+ROUND('Alimentazione CE Ricavi'!F358,2)</f>
        <v>62016.52</v>
      </c>
      <c r="F525" s="356"/>
      <c r="G525" s="245"/>
      <c r="H525" s="110"/>
      <c r="I525" s="109">
        <v>0</v>
      </c>
      <c r="J525" s="106"/>
      <c r="L525" s="110"/>
    </row>
    <row r="526" spans="1:12" ht="25.5">
      <c r="A526" s="234"/>
      <c r="B526" s="115" t="s">
        <v>437</v>
      </c>
      <c r="C526" s="116" t="s">
        <v>1748</v>
      </c>
      <c r="D526" s="109">
        <f>+ROUND('Alimentazione CE Ricavi'!E360,2)</f>
        <v>3602.17</v>
      </c>
      <c r="E526" s="109">
        <f>+ROUND('Alimentazione CE Ricavi'!F360,2)</f>
        <v>45409.07</v>
      </c>
      <c r="F526" s="356"/>
      <c r="G526" s="245"/>
      <c r="H526" s="110"/>
      <c r="I526" s="109">
        <v>0</v>
      </c>
      <c r="J526" s="106"/>
      <c r="L526" s="110"/>
    </row>
    <row r="527" spans="1:12" ht="25.5">
      <c r="A527" s="234"/>
      <c r="B527" s="115" t="s">
        <v>439</v>
      </c>
      <c r="C527" s="116" t="s">
        <v>1749</v>
      </c>
      <c r="D527" s="109">
        <f>+ROUND('Alimentazione CE Ricavi'!E362,2)</f>
        <v>15926.24</v>
      </c>
      <c r="E527" s="109">
        <f>+ROUND('Alimentazione CE Ricavi'!F362,2)</f>
        <v>1245.94</v>
      </c>
      <c r="F527" s="356"/>
      <c r="G527" s="245"/>
      <c r="H527" s="110"/>
      <c r="I527" s="109">
        <v>0</v>
      </c>
      <c r="J527" s="106"/>
      <c r="L527" s="110"/>
    </row>
    <row r="528" spans="1:12" ht="25.5">
      <c r="A528" s="234"/>
      <c r="B528" s="115" t="s">
        <v>441</v>
      </c>
      <c r="C528" s="116" t="s">
        <v>1750</v>
      </c>
      <c r="D528" s="109">
        <f>+ROUND('Alimentazione CE Ricavi'!E364,2)</f>
        <v>63457.59</v>
      </c>
      <c r="E528" s="109">
        <f>+ROUND('Alimentazione CE Ricavi'!F364,2)</f>
        <v>5385.25</v>
      </c>
      <c r="F528" s="356"/>
      <c r="G528" s="245"/>
      <c r="H528" s="110"/>
      <c r="I528" s="109"/>
      <c r="J528" s="106"/>
      <c r="L528" s="110"/>
    </row>
    <row r="529" spans="1:12" ht="25.5">
      <c r="A529" s="234"/>
      <c r="B529" s="115" t="s">
        <v>443</v>
      </c>
      <c r="C529" s="116" t="s">
        <v>1751</v>
      </c>
      <c r="D529" s="109">
        <f>+ROUND('Alimentazione CE Ricavi'!E366,2)</f>
        <v>270485.89</v>
      </c>
      <c r="E529" s="109">
        <f>+ROUND('Alimentazione CE Ricavi'!F366,2)</f>
        <v>132636.03</v>
      </c>
      <c r="F529" s="356"/>
      <c r="G529" s="245"/>
      <c r="H529" s="110"/>
      <c r="I529" s="109">
        <v>0</v>
      </c>
      <c r="J529" s="106"/>
      <c r="L529" s="110"/>
    </row>
    <row r="530" spans="1:12" ht="18.75">
      <c r="A530" s="234"/>
      <c r="B530" s="115" t="s">
        <v>445</v>
      </c>
      <c r="C530" s="116" t="s">
        <v>1752</v>
      </c>
      <c r="D530" s="109">
        <f>+ROUND('Alimentazione CE Ricavi'!E368,2)</f>
        <v>2063407.88</v>
      </c>
      <c r="E530" s="109">
        <f>+ROUND('Alimentazione CE Ricavi'!F368,2)</f>
        <v>1300180.76</v>
      </c>
      <c r="F530" s="356"/>
      <c r="G530" s="245"/>
      <c r="H530" s="110"/>
      <c r="I530" s="109">
        <v>0</v>
      </c>
      <c r="J530" s="106"/>
      <c r="L530" s="110"/>
    </row>
    <row r="531" spans="1:12" ht="18.75">
      <c r="A531" s="234"/>
      <c r="B531" s="149" t="s">
        <v>1753</v>
      </c>
      <c r="C531" s="150" t="s">
        <v>1754</v>
      </c>
      <c r="D531" s="151">
        <f t="shared" ref="D531" si="193">+D532+D533</f>
        <v>5045011.3600000003</v>
      </c>
      <c r="E531" s="151">
        <f t="shared" ref="E531" si="194">+E532+E533</f>
        <v>4435928.21</v>
      </c>
      <c r="F531" s="72" t="s">
        <v>1835</v>
      </c>
      <c r="G531" s="245"/>
      <c r="H531" s="110"/>
      <c r="I531" s="151">
        <v>0</v>
      </c>
      <c r="J531" s="106"/>
      <c r="L531" s="110"/>
    </row>
    <row r="532" spans="1:12" ht="25.5">
      <c r="A532" s="232" t="s">
        <v>1248</v>
      </c>
      <c r="B532" s="113" t="s">
        <v>447</v>
      </c>
      <c r="C532" s="114" t="s">
        <v>1755</v>
      </c>
      <c r="D532" s="109">
        <f>+ROUND('Alimentazione CE Ricavi'!E371,2)</f>
        <v>3943.65</v>
      </c>
      <c r="E532" s="109">
        <f>+ROUND('Alimentazione CE Ricavi'!F371,2)</f>
        <v>0</v>
      </c>
      <c r="F532" s="72"/>
      <c r="G532" s="245"/>
      <c r="H532" s="110"/>
      <c r="I532" s="109">
        <v>0</v>
      </c>
      <c r="J532" s="106"/>
      <c r="L532" s="110"/>
    </row>
    <row r="533" spans="1:12" ht="18.75">
      <c r="A533" s="232"/>
      <c r="B533" s="155" t="s">
        <v>1756</v>
      </c>
      <c r="C533" s="156" t="s">
        <v>1757</v>
      </c>
      <c r="D533" s="154">
        <f t="shared" ref="D533" si="195">SUM(D534:D540)</f>
        <v>5041067.71</v>
      </c>
      <c r="E533" s="154">
        <f t="shared" ref="E533" si="196">SUM(E534:E540)</f>
        <v>4435928.21</v>
      </c>
      <c r="F533" s="72" t="s">
        <v>1835</v>
      </c>
      <c r="G533" s="245"/>
      <c r="H533" s="110"/>
      <c r="I533" s="154">
        <v>0</v>
      </c>
      <c r="J533" s="106"/>
      <c r="L533" s="110"/>
    </row>
    <row r="534" spans="1:12" ht="25.5">
      <c r="A534" s="232" t="s">
        <v>1293</v>
      </c>
      <c r="B534" s="115" t="s">
        <v>449</v>
      </c>
      <c r="C534" s="116" t="s">
        <v>1758</v>
      </c>
      <c r="D534" s="109">
        <f>+ROUND('Alimentazione CE Ricavi'!E374,2)</f>
        <v>0</v>
      </c>
      <c r="E534" s="109">
        <f>+ROUND('Alimentazione CE Ricavi'!F374,2)</f>
        <v>0</v>
      </c>
      <c r="F534" s="72"/>
      <c r="G534" s="245"/>
      <c r="H534" s="110"/>
      <c r="I534" s="109">
        <v>0</v>
      </c>
      <c r="J534" s="106"/>
      <c r="L534" s="110"/>
    </row>
    <row r="535" spans="1:12" ht="18.75">
      <c r="A535" s="232"/>
      <c r="B535" s="115" t="s">
        <v>451</v>
      </c>
      <c r="C535" s="116" t="s">
        <v>1759</v>
      </c>
      <c r="D535" s="109">
        <f>+ROUND('Alimentazione CE Ricavi'!E376,2)</f>
        <v>899.81</v>
      </c>
      <c r="E535" s="109">
        <f>+ROUND('Alimentazione CE Ricavi'!F376,2)</f>
        <v>767.37</v>
      </c>
      <c r="F535" s="72"/>
      <c r="G535" s="245"/>
      <c r="H535" s="110"/>
      <c r="I535" s="109">
        <v>0</v>
      </c>
      <c r="J535" s="106"/>
      <c r="L535" s="110"/>
    </row>
    <row r="536" spans="1:12" ht="25.5">
      <c r="A536" s="232"/>
      <c r="B536" s="115" t="s">
        <v>453</v>
      </c>
      <c r="C536" s="116" t="s">
        <v>1760</v>
      </c>
      <c r="D536" s="109">
        <f>+ROUND('Alimentazione CE Ricavi'!E378,2)</f>
        <v>48.61</v>
      </c>
      <c r="E536" s="109">
        <f>+ROUND('Alimentazione CE Ricavi'!F378,2)</f>
        <v>3682.63</v>
      </c>
      <c r="F536" s="72"/>
      <c r="G536" s="245"/>
      <c r="H536" s="110"/>
      <c r="I536" s="109">
        <v>0</v>
      </c>
      <c r="J536" s="106"/>
      <c r="L536" s="110"/>
    </row>
    <row r="537" spans="1:12" ht="25.5">
      <c r="A537" s="232"/>
      <c r="B537" s="115" t="s">
        <v>455</v>
      </c>
      <c r="C537" s="116" t="s">
        <v>1761</v>
      </c>
      <c r="D537" s="109">
        <f>+ROUND('Alimentazione CE Ricavi'!E380,2)</f>
        <v>0.02</v>
      </c>
      <c r="E537" s="109">
        <f>+ROUND('Alimentazione CE Ricavi'!F380,2)</f>
        <v>0</v>
      </c>
      <c r="F537" s="72"/>
      <c r="G537" s="245"/>
      <c r="H537" s="110"/>
      <c r="I537" s="109"/>
      <c r="J537" s="106"/>
      <c r="L537" s="110"/>
    </row>
    <row r="538" spans="1:12" ht="25.5">
      <c r="A538" s="232"/>
      <c r="B538" s="115" t="s">
        <v>457</v>
      </c>
      <c r="C538" s="116" t="s">
        <v>1762</v>
      </c>
      <c r="D538" s="109">
        <f>+ROUND('Alimentazione CE Ricavi'!E382,2)</f>
        <v>0</v>
      </c>
      <c r="E538" s="109">
        <f>+ROUND('Alimentazione CE Ricavi'!F382,2)</f>
        <v>1276871.18</v>
      </c>
      <c r="F538" s="72"/>
      <c r="G538" s="245"/>
      <c r="H538" s="110"/>
      <c r="I538" s="109">
        <v>0</v>
      </c>
      <c r="J538" s="106"/>
      <c r="L538" s="110"/>
    </row>
    <row r="539" spans="1:12" ht="25.5">
      <c r="A539" s="232"/>
      <c r="B539" s="115" t="s">
        <v>459</v>
      </c>
      <c r="C539" s="116" t="s">
        <v>1763</v>
      </c>
      <c r="D539" s="109">
        <f>+ROUND('Alimentazione CE Ricavi'!E384,2)</f>
        <v>1279107.56</v>
      </c>
      <c r="E539" s="109">
        <f>+ROUND('Alimentazione CE Ricavi'!F384,2)</f>
        <v>155159.79</v>
      </c>
      <c r="F539" s="72"/>
      <c r="G539" s="245"/>
      <c r="H539" s="110"/>
      <c r="I539" s="109"/>
      <c r="J539" s="106"/>
      <c r="L539" s="110"/>
    </row>
    <row r="540" spans="1:12" ht="18.75">
      <c r="A540" s="232"/>
      <c r="B540" s="115" t="s">
        <v>461</v>
      </c>
      <c r="C540" s="116" t="s">
        <v>1764</v>
      </c>
      <c r="D540" s="109">
        <f>+ROUND('Alimentazione CE Ricavi'!E386,2)</f>
        <v>3761011.71</v>
      </c>
      <c r="E540" s="109">
        <f>+ROUND('Alimentazione CE Ricavi'!F386,2)</f>
        <v>2999447.24</v>
      </c>
      <c r="F540" s="72"/>
      <c r="G540" s="245"/>
      <c r="H540" s="110"/>
      <c r="I540" s="109">
        <v>0</v>
      </c>
      <c r="J540" s="106"/>
      <c r="L540" s="110"/>
    </row>
    <row r="541" spans="1:12" ht="18.75">
      <c r="A541" s="232"/>
      <c r="B541" s="113" t="s">
        <v>462</v>
      </c>
      <c r="C541" s="114" t="s">
        <v>1765</v>
      </c>
      <c r="D541" s="109">
        <f>+ROUND('Alimentazione CE Ricavi'!E388,2)</f>
        <v>7380.23</v>
      </c>
      <c r="E541" s="109">
        <f>+ROUND('Alimentazione CE Ricavi'!F388,2)</f>
        <v>2179.87</v>
      </c>
      <c r="F541" s="72"/>
      <c r="G541" s="245"/>
      <c r="H541" s="110"/>
      <c r="I541" s="109"/>
      <c r="J541" s="106"/>
      <c r="L541" s="110"/>
    </row>
    <row r="542" spans="1:12" ht="18.75">
      <c r="A542" s="232"/>
      <c r="B542" s="143" t="s">
        <v>1146</v>
      </c>
      <c r="C542" s="144" t="s">
        <v>1766</v>
      </c>
      <c r="D542" s="145">
        <f t="shared" ref="D542" si="197">+D543+D544</f>
        <v>2542528.04</v>
      </c>
      <c r="E542" s="145">
        <f t="shared" ref="E542" si="198">+E543+E544</f>
        <v>4226621.5600000015</v>
      </c>
      <c r="F542" s="72"/>
      <c r="G542" s="245"/>
      <c r="H542" s="110"/>
      <c r="I542" s="145">
        <v>997403.81700000004</v>
      </c>
      <c r="J542" s="106"/>
      <c r="L542" s="110"/>
    </row>
    <row r="543" spans="1:12" ht="18.75">
      <c r="A543" s="232"/>
      <c r="B543" s="111" t="s">
        <v>1148</v>
      </c>
      <c r="C543" s="112" t="s">
        <v>1767</v>
      </c>
      <c r="D543" s="109">
        <f>+ROUND('Alimentazione CE Costi'!E1122,2)</f>
        <v>0</v>
      </c>
      <c r="E543" s="109">
        <f>+ROUND('Alimentazione CE Costi'!F1122,2)</f>
        <v>14247.17</v>
      </c>
      <c r="F543" s="72"/>
      <c r="G543" s="245"/>
      <c r="H543" s="110"/>
      <c r="I543" s="109">
        <v>0</v>
      </c>
      <c r="J543" s="106"/>
      <c r="L543" s="110"/>
    </row>
    <row r="544" spans="1:12" ht="18.75">
      <c r="A544" s="232"/>
      <c r="B544" s="138" t="s">
        <v>1150</v>
      </c>
      <c r="C544" s="139" t="s">
        <v>1768</v>
      </c>
      <c r="D544" s="137">
        <f t="shared" ref="D544" si="199">+D545+D546+D547+D562+D573</f>
        <v>2542528.04</v>
      </c>
      <c r="E544" s="137">
        <f t="shared" ref="E544" si="200">+E545+E546+E547+E562+E573</f>
        <v>4212374.3900000015</v>
      </c>
      <c r="F544" s="72"/>
      <c r="G544" s="245"/>
      <c r="H544" s="110"/>
      <c r="I544" s="137">
        <v>997403.81700000004</v>
      </c>
      <c r="J544" s="106"/>
      <c r="L544" s="110"/>
    </row>
    <row r="545" spans="1:12" ht="18.75">
      <c r="A545" s="232"/>
      <c r="B545" s="113" t="s">
        <v>1152</v>
      </c>
      <c r="C545" s="114" t="s">
        <v>1769</v>
      </c>
      <c r="D545" s="109">
        <f>+ROUND('Alimentazione CE Costi'!E1125,2)</f>
        <v>0</v>
      </c>
      <c r="E545" s="109">
        <f>+ROUND('Alimentazione CE Costi'!F1125,2)</f>
        <v>0</v>
      </c>
      <c r="F545" s="72"/>
      <c r="G545" s="245"/>
      <c r="H545" s="110"/>
      <c r="I545" s="109">
        <v>0</v>
      </c>
      <c r="J545" s="106"/>
      <c r="L545" s="110"/>
    </row>
    <row r="546" spans="1:12" ht="18.75">
      <c r="A546" s="232"/>
      <c r="B546" s="113" t="s">
        <v>1154</v>
      </c>
      <c r="C546" s="114" t="s">
        <v>1770</v>
      </c>
      <c r="D546" s="109">
        <f>+ROUND('Alimentazione CE Costi'!E1127,2)</f>
        <v>0</v>
      </c>
      <c r="E546" s="109">
        <f>+ROUND('Alimentazione CE Costi'!F1127,2)</f>
        <v>0</v>
      </c>
      <c r="F546" s="72"/>
      <c r="G546" s="245"/>
      <c r="H546" s="110"/>
      <c r="I546" s="109">
        <v>0</v>
      </c>
      <c r="J546" s="106"/>
      <c r="L546" s="110"/>
    </row>
    <row r="547" spans="1:12" ht="18.75">
      <c r="A547" s="232"/>
      <c r="B547" s="149" t="s">
        <v>1155</v>
      </c>
      <c r="C547" s="150" t="s">
        <v>1771</v>
      </c>
      <c r="D547" s="151">
        <f t="shared" ref="D547" si="201">+D548+D551</f>
        <v>1661197.3800000001</v>
      </c>
      <c r="E547" s="151">
        <f t="shared" ref="E547" si="202">+E548+E551</f>
        <v>2649515.6100000003</v>
      </c>
      <c r="F547" s="72"/>
      <c r="G547" s="245"/>
      <c r="H547" s="110"/>
      <c r="I547" s="151">
        <v>997403.81700000004</v>
      </c>
      <c r="J547" s="106"/>
      <c r="L547" s="110"/>
    </row>
    <row r="548" spans="1:12" ht="25.5">
      <c r="A548" s="232" t="s">
        <v>1248</v>
      </c>
      <c r="B548" s="155" t="s">
        <v>1156</v>
      </c>
      <c r="C548" s="156" t="s">
        <v>1772</v>
      </c>
      <c r="D548" s="154">
        <f t="shared" ref="D548" si="203">+D549+D550</f>
        <v>73800.2</v>
      </c>
      <c r="E548" s="154">
        <f t="shared" ref="E548" si="204">+E549+E550</f>
        <v>7198.23</v>
      </c>
      <c r="F548" s="72"/>
      <c r="G548" s="245"/>
      <c r="H548" s="110"/>
      <c r="I548" s="154">
        <v>0</v>
      </c>
      <c r="J548" s="106"/>
      <c r="L548" s="110"/>
    </row>
    <row r="549" spans="1:12" ht="25.5">
      <c r="A549" s="232" t="s">
        <v>1248</v>
      </c>
      <c r="B549" s="115" t="s">
        <v>1158</v>
      </c>
      <c r="C549" s="116" t="s">
        <v>1773</v>
      </c>
      <c r="D549" s="109">
        <f>+ROUND('Alimentazione CE Costi'!E1131,2)</f>
        <v>0</v>
      </c>
      <c r="E549" s="109">
        <f>+ROUND('Alimentazione CE Costi'!F1131,2)</f>
        <v>0</v>
      </c>
      <c r="F549" s="72"/>
      <c r="G549" s="245"/>
      <c r="H549" s="110"/>
      <c r="I549" s="109"/>
      <c r="J549" s="106"/>
      <c r="L549" s="110"/>
    </row>
    <row r="550" spans="1:12" ht="25.5">
      <c r="A550" s="232" t="s">
        <v>1248</v>
      </c>
      <c r="B550" s="115" t="s">
        <v>1160</v>
      </c>
      <c r="C550" s="116" t="s">
        <v>1774</v>
      </c>
      <c r="D550" s="109">
        <f>+ROUND('Alimentazione CE Costi'!E1133,2)</f>
        <v>73800.2</v>
      </c>
      <c r="E550" s="109">
        <f>+ROUND('Alimentazione CE Costi'!F1133,2)</f>
        <v>7198.23</v>
      </c>
      <c r="F550" s="72"/>
      <c r="G550" s="245"/>
      <c r="H550" s="110"/>
      <c r="I550" s="109">
        <v>0</v>
      </c>
      <c r="J550" s="106"/>
      <c r="L550" s="110"/>
    </row>
    <row r="551" spans="1:12" ht="18.75">
      <c r="A551" s="232"/>
      <c r="B551" s="155" t="s">
        <v>1161</v>
      </c>
      <c r="C551" s="156" t="s">
        <v>1775</v>
      </c>
      <c r="D551" s="154">
        <f t="shared" ref="D551" si="205">+D552+D553+D557+D558+D559+D560+D561</f>
        <v>1587397.1800000002</v>
      </c>
      <c r="E551" s="154">
        <f t="shared" ref="E551" si="206">+E552+E553+E557+E558+E559+E560+E561</f>
        <v>2642317.3800000004</v>
      </c>
      <c r="F551" s="72"/>
      <c r="G551" s="245"/>
      <c r="H551" s="110"/>
      <c r="I551" s="154">
        <v>997403.81700000004</v>
      </c>
      <c r="J551" s="106"/>
      <c r="L551" s="110"/>
    </row>
    <row r="552" spans="1:12" ht="25.5">
      <c r="A552" s="232" t="s">
        <v>1293</v>
      </c>
      <c r="B552" s="115" t="s">
        <v>1163</v>
      </c>
      <c r="C552" s="116" t="s">
        <v>1776</v>
      </c>
      <c r="D552" s="109">
        <f>+ROUND('Alimentazione CE Costi'!E1136,2)</f>
        <v>15089.96</v>
      </c>
      <c r="E552" s="109">
        <f>+ROUND('Alimentazione CE Costi'!F1136,2)</f>
        <v>12339.49</v>
      </c>
      <c r="F552" s="72"/>
      <c r="G552" s="245"/>
      <c r="H552" s="110"/>
      <c r="I552" s="109">
        <v>0</v>
      </c>
      <c r="J552" s="106"/>
      <c r="L552" s="110"/>
    </row>
    <row r="553" spans="1:12" ht="25.5">
      <c r="A553" s="232"/>
      <c r="B553" s="170" t="s">
        <v>1164</v>
      </c>
      <c r="C553" s="171" t="s">
        <v>1777</v>
      </c>
      <c r="D553" s="172">
        <f t="shared" ref="D553" si="207">+D554+D555+D556</f>
        <v>618462.51</v>
      </c>
      <c r="E553" s="172">
        <f t="shared" ref="E553" si="208">+E554+E555+E556</f>
        <v>120689.82999999999</v>
      </c>
      <c r="F553" s="72"/>
      <c r="G553" s="245"/>
      <c r="H553" s="110"/>
      <c r="I553" s="172">
        <v>432923.75699999998</v>
      </c>
      <c r="J553" s="106"/>
      <c r="L553" s="110"/>
    </row>
    <row r="554" spans="1:12" ht="25.5">
      <c r="A554" s="232"/>
      <c r="B554" s="113" t="s">
        <v>1166</v>
      </c>
      <c r="C554" s="114" t="s">
        <v>1778</v>
      </c>
      <c r="D554" s="109">
        <f>+ROUND('Alimentazione CE Costi'!E1139,2)</f>
        <v>22253.65</v>
      </c>
      <c r="E554" s="109">
        <f>+ROUND('Alimentazione CE Costi'!F1139,2)</f>
        <v>61560.99</v>
      </c>
      <c r="F554" s="72"/>
      <c r="G554" s="245"/>
      <c r="H554" s="110"/>
      <c r="I554" s="109">
        <v>15577.555</v>
      </c>
      <c r="J554" s="106"/>
      <c r="L554" s="110"/>
    </row>
    <row r="555" spans="1:12" ht="25.5">
      <c r="A555" s="232"/>
      <c r="B555" s="113" t="s">
        <v>1168</v>
      </c>
      <c r="C555" s="114" t="s">
        <v>1779</v>
      </c>
      <c r="D555" s="109">
        <f>+ROUND('Alimentazione CE Costi'!E1141,2)</f>
        <v>297.62</v>
      </c>
      <c r="E555" s="109">
        <f>+ROUND('Alimentazione CE Costi'!F1141,2)</f>
        <v>1042.0999999999999</v>
      </c>
      <c r="F555" s="72"/>
      <c r="G555" s="245"/>
      <c r="H555" s="110"/>
      <c r="I555" s="109">
        <v>208.334</v>
      </c>
      <c r="J555" s="106"/>
      <c r="L555" s="110"/>
    </row>
    <row r="556" spans="1:12" ht="25.5">
      <c r="A556" s="232"/>
      <c r="B556" s="113" t="s">
        <v>1170</v>
      </c>
      <c r="C556" s="114" t="s">
        <v>1780</v>
      </c>
      <c r="D556" s="109">
        <f>+ROUND('Alimentazione CE Costi'!E1143,2)</f>
        <v>595911.24</v>
      </c>
      <c r="E556" s="109">
        <f>+ROUND('Alimentazione CE Costi'!F1143,2)</f>
        <v>58086.74</v>
      </c>
      <c r="F556" s="72"/>
      <c r="G556" s="245"/>
      <c r="H556" s="110"/>
      <c r="I556" s="109">
        <v>417137.86799999996</v>
      </c>
      <c r="J556" s="106"/>
      <c r="L556" s="110"/>
    </row>
    <row r="557" spans="1:12" ht="25.5">
      <c r="A557" s="232"/>
      <c r="B557" s="115" t="s">
        <v>1172</v>
      </c>
      <c r="C557" s="116" t="s">
        <v>1781</v>
      </c>
      <c r="D557" s="109">
        <f>+ROUND('Alimentazione CE Costi'!E1145,2)</f>
        <v>274.37</v>
      </c>
      <c r="E557" s="109">
        <f>+ROUND('Alimentazione CE Costi'!F1145,2)</f>
        <v>1045418.81</v>
      </c>
      <c r="F557" s="72"/>
      <c r="G557" s="245"/>
      <c r="H557" s="110"/>
      <c r="I557" s="109">
        <v>0</v>
      </c>
      <c r="J557" s="106"/>
      <c r="L557" s="110"/>
    </row>
    <row r="558" spans="1:12" ht="25.5">
      <c r="A558" s="232"/>
      <c r="B558" s="115" t="s">
        <v>1174</v>
      </c>
      <c r="C558" s="116" t="s">
        <v>1782</v>
      </c>
      <c r="D558" s="109">
        <f>+ROUND('Alimentazione CE Costi'!E1147,2)</f>
        <v>164.15</v>
      </c>
      <c r="E558" s="109">
        <f>+ROUND('Alimentazione CE Costi'!F1147,2)</f>
        <v>282.39</v>
      </c>
      <c r="F558" s="72"/>
      <c r="G558" s="245"/>
      <c r="H558" s="110"/>
      <c r="I558" s="109">
        <v>0</v>
      </c>
      <c r="J558" s="106"/>
      <c r="L558" s="110"/>
    </row>
    <row r="559" spans="1:12" ht="25.5">
      <c r="A559" s="232"/>
      <c r="B559" s="115" t="s">
        <v>1176</v>
      </c>
      <c r="C559" s="116" t="s">
        <v>1783</v>
      </c>
      <c r="D559" s="109">
        <f>+ROUND('Alimentazione CE Costi'!E1149,2)</f>
        <v>0</v>
      </c>
      <c r="E559" s="109">
        <f>+ROUND('Alimentazione CE Costi'!F1149,2)</f>
        <v>0</v>
      </c>
      <c r="F559" s="72"/>
      <c r="G559" s="245"/>
      <c r="H559" s="110"/>
      <c r="I559" s="109"/>
      <c r="J559" s="106"/>
      <c r="L559" s="110"/>
    </row>
    <row r="560" spans="1:12" ht="25.5">
      <c r="A560" s="232"/>
      <c r="B560" s="115" t="s">
        <v>1178</v>
      </c>
      <c r="C560" s="116" t="s">
        <v>1784</v>
      </c>
      <c r="D560" s="109">
        <f>+ROUND('Alimentazione CE Costi'!E1151,2)</f>
        <v>705600.07</v>
      </c>
      <c r="E560" s="109">
        <f>+ROUND('Alimentazione CE Costi'!F1151,2)</f>
        <v>1280542.26</v>
      </c>
      <c r="F560" s="72"/>
      <c r="G560" s="245"/>
      <c r="H560" s="110"/>
      <c r="I560" s="109">
        <v>564480.06000000006</v>
      </c>
      <c r="J560" s="106"/>
      <c r="L560" s="110"/>
    </row>
    <row r="561" spans="1:12" ht="18.75">
      <c r="A561" s="232"/>
      <c r="B561" s="115" t="s">
        <v>1180</v>
      </c>
      <c r="C561" s="116" t="s">
        <v>1785</v>
      </c>
      <c r="D561" s="109">
        <f>+ROUND('Alimentazione CE Costi'!E1153,2)</f>
        <v>247806.12</v>
      </c>
      <c r="E561" s="109">
        <f>+ROUND('Alimentazione CE Costi'!F1153,2)</f>
        <v>183044.6</v>
      </c>
      <c r="F561" s="72"/>
      <c r="G561" s="245"/>
      <c r="H561" s="110"/>
      <c r="I561" s="109">
        <v>0</v>
      </c>
      <c r="J561" s="106"/>
      <c r="L561" s="110"/>
    </row>
    <row r="562" spans="1:12" ht="18.75">
      <c r="A562" s="232"/>
      <c r="B562" s="149" t="s">
        <v>1181</v>
      </c>
      <c r="C562" s="150" t="s">
        <v>1786</v>
      </c>
      <c r="D562" s="151">
        <f t="shared" ref="D562" si="209">+D563+D564+D565</f>
        <v>878816.95000000007</v>
      </c>
      <c r="E562" s="151">
        <f t="shared" ref="E562" si="210">+E563+E564+E565</f>
        <v>1560826.9200000004</v>
      </c>
      <c r="F562" s="72"/>
      <c r="G562" s="245"/>
      <c r="H562" s="110"/>
      <c r="I562" s="151">
        <v>0</v>
      </c>
      <c r="J562" s="106"/>
      <c r="L562" s="110"/>
    </row>
    <row r="563" spans="1:12" ht="18.75">
      <c r="A563" s="234"/>
      <c r="B563" s="113" t="s">
        <v>1183</v>
      </c>
      <c r="C563" s="114" t="s">
        <v>1787</v>
      </c>
      <c r="D563" s="109">
        <f>+ROUND('Alimentazione CE Costi'!E1156,2)</f>
        <v>0</v>
      </c>
      <c r="E563" s="109">
        <f>+ROUND('Alimentazione CE Costi'!F1156,2)</f>
        <v>0</v>
      </c>
      <c r="F563" s="356"/>
      <c r="G563" s="245"/>
      <c r="H563" s="110"/>
      <c r="I563" s="109"/>
      <c r="J563" s="106"/>
      <c r="L563" s="110"/>
    </row>
    <row r="564" spans="1:12" ht="25.5">
      <c r="A564" s="234" t="s">
        <v>1248</v>
      </c>
      <c r="B564" s="113" t="s">
        <v>1185</v>
      </c>
      <c r="C564" s="114" t="s">
        <v>1788</v>
      </c>
      <c r="D564" s="109">
        <f>+ROUND('Alimentazione CE Costi'!E1158,2)</f>
        <v>0</v>
      </c>
      <c r="E564" s="109">
        <f>+ROUND('Alimentazione CE Costi'!F1158,2)</f>
        <v>1091.6199999999999</v>
      </c>
      <c r="F564" s="356"/>
      <c r="G564" s="245"/>
      <c r="H564" s="110"/>
      <c r="I564" s="109">
        <v>0</v>
      </c>
      <c r="J564" s="106"/>
      <c r="L564" s="110"/>
    </row>
    <row r="565" spans="1:12" ht="18.75">
      <c r="A565" s="234"/>
      <c r="B565" s="155" t="s">
        <v>1186</v>
      </c>
      <c r="C565" s="156" t="s">
        <v>1789</v>
      </c>
      <c r="D565" s="154">
        <f t="shared" ref="D565" si="211">SUM(D566:D572)</f>
        <v>878816.95000000007</v>
      </c>
      <c r="E565" s="154">
        <f t="shared" ref="E565" si="212">SUM(E566:E572)</f>
        <v>1559735.3000000003</v>
      </c>
      <c r="F565" s="72"/>
      <c r="G565" s="245"/>
      <c r="H565" s="110"/>
      <c r="I565" s="154">
        <v>0</v>
      </c>
      <c r="J565" s="106"/>
      <c r="L565" s="110"/>
    </row>
    <row r="566" spans="1:12" ht="25.5">
      <c r="A566" s="234" t="s">
        <v>1293</v>
      </c>
      <c r="B566" s="115" t="s">
        <v>1188</v>
      </c>
      <c r="C566" s="116" t="s">
        <v>1790</v>
      </c>
      <c r="D566" s="109">
        <f>+ROUND('Alimentazione CE Costi'!E1161,2)</f>
        <v>207.76</v>
      </c>
      <c r="E566" s="109">
        <f>+ROUND('Alimentazione CE Costi'!F1161,2)</f>
        <v>2219.6999999999998</v>
      </c>
      <c r="F566" s="356"/>
      <c r="G566" s="245"/>
      <c r="H566" s="110"/>
      <c r="I566" s="109">
        <v>0</v>
      </c>
      <c r="J566" s="106"/>
      <c r="L566" s="110"/>
    </row>
    <row r="567" spans="1:12" ht="25.5">
      <c r="A567" s="234"/>
      <c r="B567" s="115" t="s">
        <v>1190</v>
      </c>
      <c r="C567" s="116" t="s">
        <v>1791</v>
      </c>
      <c r="D567" s="109">
        <f>+ROUND('Alimentazione CE Costi'!E1163,2)</f>
        <v>0</v>
      </c>
      <c r="E567" s="109">
        <f>+ROUND('Alimentazione CE Costi'!F1163,2)</f>
        <v>226.87</v>
      </c>
      <c r="F567" s="356"/>
      <c r="G567" s="245"/>
      <c r="H567" s="110"/>
      <c r="I567" s="109">
        <v>0</v>
      </c>
      <c r="J567" s="106"/>
      <c r="L567" s="110"/>
    </row>
    <row r="568" spans="1:12" ht="25.5">
      <c r="A568" s="234"/>
      <c r="B568" s="115" t="s">
        <v>1192</v>
      </c>
      <c r="C568" s="116" t="s">
        <v>1792</v>
      </c>
      <c r="D568" s="109">
        <f>+ROUND('Alimentazione CE Costi'!E1165,2)</f>
        <v>0</v>
      </c>
      <c r="E568" s="109">
        <f>+ROUND('Alimentazione CE Costi'!F1165,2)</f>
        <v>115.86</v>
      </c>
      <c r="F568" s="356"/>
      <c r="G568" s="245"/>
      <c r="H568" s="110"/>
      <c r="I568" s="109">
        <v>0</v>
      </c>
      <c r="J568" s="106"/>
      <c r="L568" s="110"/>
    </row>
    <row r="569" spans="1:12" ht="25.5">
      <c r="A569" s="234"/>
      <c r="B569" s="115" t="s">
        <v>1194</v>
      </c>
      <c r="C569" s="116" t="s">
        <v>1793</v>
      </c>
      <c r="D569" s="109">
        <f>+ROUND('Alimentazione CE Costi'!E1167,2)</f>
        <v>0</v>
      </c>
      <c r="E569" s="109">
        <f>+ROUND('Alimentazione CE Costi'!F1167,2)</f>
        <v>0</v>
      </c>
      <c r="F569" s="356"/>
      <c r="G569" s="245"/>
      <c r="H569" s="110"/>
      <c r="I569" s="109">
        <v>0</v>
      </c>
      <c r="J569" s="106"/>
      <c r="L569" s="110"/>
    </row>
    <row r="570" spans="1:12" ht="25.5">
      <c r="A570" s="234"/>
      <c r="B570" s="115" t="s">
        <v>1196</v>
      </c>
      <c r="C570" s="116" t="s">
        <v>1794</v>
      </c>
      <c r="D570" s="109">
        <f>+ROUND('Alimentazione CE Costi'!E1169,2)</f>
        <v>0</v>
      </c>
      <c r="E570" s="109">
        <f>+ROUND('Alimentazione CE Costi'!F1169,2)</f>
        <v>969089.76</v>
      </c>
      <c r="F570" s="356"/>
      <c r="G570" s="245"/>
      <c r="H570" s="110"/>
      <c r="I570" s="109">
        <v>0</v>
      </c>
      <c r="J570" s="106"/>
      <c r="L570" s="110"/>
    </row>
    <row r="571" spans="1:12" ht="25.5">
      <c r="A571" s="234"/>
      <c r="B571" s="115" t="s">
        <v>1198</v>
      </c>
      <c r="C571" s="116" t="s">
        <v>1795</v>
      </c>
      <c r="D571" s="109">
        <f>+ROUND('Alimentazione CE Costi'!E1171,2)</f>
        <v>257.27999999999997</v>
      </c>
      <c r="E571" s="109">
        <f>+ROUND('Alimentazione CE Costi'!F1171,2)</f>
        <v>7009.05</v>
      </c>
      <c r="F571" s="356"/>
      <c r="G571" s="245"/>
      <c r="H571" s="110"/>
      <c r="I571" s="109"/>
      <c r="J571" s="106"/>
      <c r="L571" s="110"/>
    </row>
    <row r="572" spans="1:12" ht="18.75">
      <c r="A572" s="234"/>
      <c r="B572" s="115" t="s">
        <v>1200</v>
      </c>
      <c r="C572" s="116" t="s">
        <v>1796</v>
      </c>
      <c r="D572" s="109">
        <f>+ROUND('Alimentazione CE Costi'!E1173,2)</f>
        <v>878351.91</v>
      </c>
      <c r="E572" s="109">
        <f>+ROUND('Alimentazione CE Costi'!F1173,2)</f>
        <v>581074.06000000006</v>
      </c>
      <c r="F572" s="356"/>
      <c r="G572" s="245"/>
      <c r="H572" s="110"/>
      <c r="I572" s="109"/>
      <c r="J572" s="106"/>
      <c r="L572" s="110"/>
    </row>
    <row r="573" spans="1:12" ht="18.75">
      <c r="A573" s="232"/>
      <c r="B573" s="113" t="s">
        <v>1201</v>
      </c>
      <c r="C573" s="114" t="s">
        <v>1797</v>
      </c>
      <c r="D573" s="109">
        <f>+ROUND('Alimentazione CE Costi'!E1175,2)</f>
        <v>2513.71</v>
      </c>
      <c r="E573" s="109">
        <f>+ROUND('Alimentazione CE Costi'!F1175,2)</f>
        <v>2031.86</v>
      </c>
      <c r="F573" s="72"/>
      <c r="G573" s="245"/>
      <c r="H573" s="124"/>
      <c r="I573" s="109">
        <v>0</v>
      </c>
      <c r="J573" s="106"/>
      <c r="L573" s="110"/>
    </row>
    <row r="574" spans="1:12" ht="18.75">
      <c r="A574" s="232"/>
      <c r="B574" s="146" t="s">
        <v>1798</v>
      </c>
      <c r="C574" s="147" t="s">
        <v>1799</v>
      </c>
      <c r="D574" s="148">
        <f t="shared" ref="D574" si="213">+D516-D542</f>
        <v>7627083.6900000004</v>
      </c>
      <c r="E574" s="148">
        <f t="shared" ref="E574" si="214">+E516-E542</f>
        <v>16511383.969999999</v>
      </c>
      <c r="F574" s="72"/>
      <c r="G574" s="245"/>
      <c r="H574" s="124"/>
      <c r="I574" s="148">
        <v>-33520.627000000095</v>
      </c>
      <c r="J574" s="106"/>
      <c r="L574" s="110"/>
    </row>
    <row r="575" spans="1:12" ht="25.5">
      <c r="A575" s="232"/>
      <c r="B575" s="107" t="s">
        <v>1800</v>
      </c>
      <c r="C575" s="108" t="s">
        <v>1801</v>
      </c>
      <c r="D575" s="109">
        <f>+D157-D491+D510+D514+D574</f>
        <v>22935359.649999969</v>
      </c>
      <c r="E575" s="109">
        <f t="shared" ref="E575" si="215">+E157-E491+E510+E514+E574</f>
        <v>22675801.599999998</v>
      </c>
      <c r="F575" s="72"/>
      <c r="G575" s="245"/>
      <c r="H575" s="125"/>
      <c r="I575" s="109">
        <v>15543255.068200026</v>
      </c>
      <c r="J575" s="106"/>
      <c r="L575" s="110"/>
    </row>
    <row r="576" spans="1:12" ht="18.75">
      <c r="A576" s="234"/>
      <c r="B576" s="159"/>
      <c r="C576" s="160" t="s">
        <v>1802</v>
      </c>
      <c r="D576" s="161"/>
      <c r="E576" s="161"/>
      <c r="F576" s="356"/>
      <c r="G576" s="245"/>
      <c r="H576" s="126"/>
      <c r="I576" s="161"/>
      <c r="J576" s="106"/>
      <c r="L576" s="110"/>
    </row>
    <row r="577" spans="1:21" ht="18.75">
      <c r="A577" s="232"/>
      <c r="B577" s="143" t="s">
        <v>1202</v>
      </c>
      <c r="C577" s="144" t="s">
        <v>1803</v>
      </c>
      <c r="D577" s="145">
        <f t="shared" ref="D577" si="216">+D578+D579+D580+D581</f>
        <v>22414148.82</v>
      </c>
      <c r="E577" s="145">
        <f t="shared" ref="E577" si="217">+E578+E579+E580+E581</f>
        <v>22084389.600000001</v>
      </c>
      <c r="F577" s="72"/>
      <c r="G577" s="245"/>
      <c r="H577" s="127"/>
      <c r="I577" s="145">
        <v>15689904.174000001</v>
      </c>
      <c r="J577" s="106"/>
      <c r="L577" s="110"/>
    </row>
    <row r="578" spans="1:21" ht="18.75">
      <c r="A578" s="236"/>
      <c r="B578" s="111" t="s">
        <v>1204</v>
      </c>
      <c r="C578" s="112" t="s">
        <v>1804</v>
      </c>
      <c r="D578" s="109">
        <f>+ROUND('Alimentazione CE Costi'!E1179,2)</f>
        <v>21768752.780000001</v>
      </c>
      <c r="E578" s="109">
        <f>+ROUND('Alimentazione CE Costi'!F1179,2)</f>
        <v>21454486.32</v>
      </c>
      <c r="F578" s="72"/>
      <c r="G578" s="245"/>
      <c r="H578" s="126"/>
      <c r="I578" s="109">
        <v>15238126.946</v>
      </c>
      <c r="J578" s="106"/>
      <c r="L578" s="110"/>
    </row>
    <row r="579" spans="1:21" ht="25.5">
      <c r="A579" s="236"/>
      <c r="B579" s="111" t="s">
        <v>1206</v>
      </c>
      <c r="C579" s="112" t="s">
        <v>1805</v>
      </c>
      <c r="D579" s="109">
        <f>+ROUND('Alimentazione CE Costi'!E1181,2)</f>
        <v>187316.65</v>
      </c>
      <c r="E579" s="109">
        <f>+ROUND('Alimentazione CE Costi'!F1181,2)</f>
        <v>227085.82</v>
      </c>
      <c r="F579" s="72"/>
      <c r="G579" s="245"/>
      <c r="H579" s="124"/>
      <c r="I579" s="109">
        <v>131121.655</v>
      </c>
      <c r="J579" s="106"/>
      <c r="L579" s="110"/>
    </row>
    <row r="580" spans="1:21" ht="25.5">
      <c r="A580" s="236"/>
      <c r="B580" s="111" t="s">
        <v>1208</v>
      </c>
      <c r="C580" s="112" t="s">
        <v>1806</v>
      </c>
      <c r="D580" s="109">
        <f>+ROUND('Alimentazione CE Costi'!E1183,2)</f>
        <v>458079.39</v>
      </c>
      <c r="E580" s="109">
        <f>+ROUND('Alimentazione CE Costi'!F1183,2)</f>
        <v>402817.46</v>
      </c>
      <c r="F580" s="72"/>
      <c r="G580" s="245"/>
      <c r="H580" s="126"/>
      <c r="I580" s="109">
        <v>320655.57299999997</v>
      </c>
      <c r="J580" s="106"/>
      <c r="L580" s="110"/>
    </row>
    <row r="581" spans="1:21" ht="18.75">
      <c r="A581" s="236"/>
      <c r="B581" s="111" t="s">
        <v>1210</v>
      </c>
      <c r="C581" s="112" t="s">
        <v>1807</v>
      </c>
      <c r="D581" s="109">
        <f>+ROUND('Alimentazione CE Costi'!E1185,2)</f>
        <v>0</v>
      </c>
      <c r="E581" s="109">
        <f>+ROUND('Alimentazione CE Costi'!F1185,2)</f>
        <v>0</v>
      </c>
      <c r="F581" s="72"/>
      <c r="G581" s="245"/>
      <c r="H581" s="126"/>
      <c r="I581" s="109">
        <v>0</v>
      </c>
      <c r="J581" s="106"/>
      <c r="L581" s="110"/>
    </row>
    <row r="582" spans="1:21" ht="18.75">
      <c r="A582" s="232"/>
      <c r="B582" s="143" t="s">
        <v>1211</v>
      </c>
      <c r="C582" s="144" t="s">
        <v>1808</v>
      </c>
      <c r="D582" s="145">
        <f t="shared" ref="D582" si="218">+D583+D584</f>
        <v>521210.83</v>
      </c>
      <c r="E582" s="145">
        <f t="shared" ref="E582" si="219">+E583+E584</f>
        <v>591412</v>
      </c>
      <c r="F582" s="72"/>
      <c r="G582" s="245"/>
      <c r="H582" s="126"/>
      <c r="I582" s="145">
        <v>0</v>
      </c>
      <c r="J582" s="106"/>
      <c r="L582" s="110"/>
    </row>
    <row r="583" spans="1:21" ht="18.75">
      <c r="A583" s="232"/>
      <c r="B583" s="111" t="s">
        <v>1213</v>
      </c>
      <c r="C583" s="112" t="s">
        <v>1809</v>
      </c>
      <c r="D583" s="109">
        <f>+ROUND('Alimentazione CE Costi'!E1188,2)</f>
        <v>521210.83</v>
      </c>
      <c r="E583" s="109">
        <f>+ROUND('Alimentazione CE Costi'!F1188,2)</f>
        <v>591412</v>
      </c>
      <c r="F583" s="72"/>
      <c r="G583" s="245"/>
      <c r="H583" s="127"/>
      <c r="I583" s="109">
        <v>0</v>
      </c>
      <c r="J583" s="106"/>
      <c r="L583" s="110"/>
    </row>
    <row r="584" spans="1:21" ht="18.75">
      <c r="A584" s="232"/>
      <c r="B584" s="111" t="s">
        <v>1215</v>
      </c>
      <c r="C584" s="112" t="s">
        <v>1810</v>
      </c>
      <c r="D584" s="109">
        <f>+ROUND('Alimentazione CE Costi'!E1190,2)</f>
        <v>0</v>
      </c>
      <c r="E584" s="109">
        <f>+ROUND('Alimentazione CE Costi'!F1190,2)</f>
        <v>0</v>
      </c>
      <c r="F584" s="72"/>
      <c r="G584" s="245"/>
      <c r="H584" s="126"/>
      <c r="I584" s="109">
        <v>0</v>
      </c>
      <c r="J584" s="106"/>
      <c r="L584" s="110"/>
      <c r="M584" s="124"/>
      <c r="N584" s="124"/>
      <c r="O584" s="124"/>
      <c r="P584" s="124"/>
      <c r="Q584" s="124"/>
      <c r="R584" s="124"/>
      <c r="S584" s="124"/>
      <c r="T584" s="124"/>
      <c r="U584" s="124"/>
    </row>
    <row r="585" spans="1:21" ht="25.5">
      <c r="A585" s="234"/>
      <c r="B585" s="107" t="s">
        <v>1217</v>
      </c>
      <c r="C585" s="108" t="s">
        <v>1811</v>
      </c>
      <c r="D585" s="109">
        <f>+ROUND('Alimentazione CE Costi'!E1192,2)</f>
        <v>0</v>
      </c>
      <c r="E585" s="109">
        <f>+ROUND('Alimentazione CE Costi'!F1192,2)</f>
        <v>0</v>
      </c>
      <c r="F585" s="356"/>
      <c r="G585" s="245"/>
      <c r="H585" s="128"/>
      <c r="I585" s="109"/>
      <c r="J585" s="106"/>
      <c r="L585" s="110"/>
      <c r="M585" s="124"/>
      <c r="N585" s="124"/>
      <c r="O585" s="124"/>
      <c r="P585" s="124"/>
      <c r="Q585" s="124"/>
      <c r="R585" s="124"/>
      <c r="S585" s="124"/>
      <c r="T585" s="124"/>
      <c r="U585" s="124"/>
    </row>
    <row r="586" spans="1:21" ht="18.75">
      <c r="A586" s="234"/>
      <c r="B586" s="146" t="s">
        <v>1812</v>
      </c>
      <c r="C586" s="147" t="s">
        <v>1813</v>
      </c>
      <c r="D586" s="148">
        <f t="shared" ref="D586" si="220">+D577+D582+D585</f>
        <v>22935359.649999999</v>
      </c>
      <c r="E586" s="148">
        <f t="shared" ref="E586" si="221">+E577+E582+E585</f>
        <v>22675801.600000001</v>
      </c>
      <c r="F586" s="72"/>
      <c r="G586" s="245"/>
      <c r="H586" s="129"/>
      <c r="I586" s="148">
        <v>15689904.174000001</v>
      </c>
      <c r="J586" s="106"/>
      <c r="L586" s="110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1:21" ht="19.5" thickBot="1">
      <c r="A587" s="242"/>
      <c r="B587" s="173" t="s">
        <v>1814</v>
      </c>
      <c r="C587" s="174" t="s">
        <v>1815</v>
      </c>
      <c r="D587" s="175">
        <f t="shared" ref="D587" si="222">+D575-D586</f>
        <v>-2.9802322387695313E-8</v>
      </c>
      <c r="E587" s="175">
        <f t="shared" ref="E587" si="223">+E575-E586</f>
        <v>0</v>
      </c>
      <c r="F587" s="72"/>
      <c r="G587" s="245"/>
      <c r="H587" s="129"/>
      <c r="I587" s="175">
        <v>-146649.10579997487</v>
      </c>
      <c r="J587" s="106"/>
      <c r="L587" s="110"/>
      <c r="M587" s="126"/>
      <c r="N587" s="126"/>
      <c r="O587" s="126"/>
      <c r="P587" s="126"/>
      <c r="Q587" s="126"/>
      <c r="R587" s="126"/>
      <c r="S587" s="126"/>
      <c r="T587" s="126"/>
      <c r="U587" s="126"/>
    </row>
    <row r="588" spans="1:21" s="261" customFormat="1">
      <c r="A588" s="131"/>
      <c r="B588" s="130"/>
      <c r="C588" s="131"/>
      <c r="D588" s="131"/>
      <c r="E588" s="131"/>
      <c r="F588" s="131"/>
      <c r="G588" s="131"/>
      <c r="H588" s="131"/>
      <c r="I588" s="134"/>
      <c r="J588" s="134"/>
      <c r="K588" s="134"/>
      <c r="L588" s="134"/>
      <c r="M588" s="134"/>
      <c r="N588" s="134"/>
      <c r="O588" s="134"/>
      <c r="P588" s="423"/>
    </row>
    <row r="589" spans="1:21" s="261" customFormat="1">
      <c r="A589" s="131"/>
      <c r="B589" s="88" t="s">
        <v>1816</v>
      </c>
      <c r="C589" s="131"/>
      <c r="D589" s="131"/>
      <c r="E589" s="131"/>
      <c r="F589" s="131"/>
      <c r="G589" s="131"/>
      <c r="H589" s="131"/>
      <c r="I589" s="88"/>
      <c r="J589" s="88"/>
      <c r="K589" s="88"/>
      <c r="L589" s="88"/>
      <c r="M589" s="88"/>
      <c r="N589" s="88"/>
      <c r="O589" s="88"/>
      <c r="P589" s="423"/>
    </row>
    <row r="590" spans="1:21" s="261" customFormat="1" ht="15">
      <c r="A590" s="424"/>
      <c r="B590" s="59"/>
      <c r="C590" s="132"/>
      <c r="D590" s="132"/>
      <c r="E590" s="132"/>
      <c r="F590" s="132"/>
      <c r="G590" s="132"/>
      <c r="H590" s="132"/>
      <c r="I590" s="134"/>
      <c r="J590" s="134"/>
      <c r="K590" s="134"/>
      <c r="L590" s="134"/>
      <c r="M590" s="134"/>
      <c r="N590" s="134"/>
      <c r="O590" s="134"/>
      <c r="P590" s="425"/>
    </row>
    <row r="591" spans="1:21" s="261" customFormat="1">
      <c r="A591" s="424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426"/>
    </row>
    <row r="592" spans="1:21" s="261" customFormat="1">
      <c r="A592" s="424"/>
      <c r="B592" s="133" t="s">
        <v>1817</v>
      </c>
      <c r="C592" s="134"/>
      <c r="D592" s="134" t="s">
        <v>1818</v>
      </c>
      <c r="E592" s="134"/>
      <c r="G592" s="134"/>
      <c r="H592" s="134"/>
      <c r="I592" s="134"/>
      <c r="L592" s="134"/>
      <c r="M592" s="134"/>
      <c r="N592" s="88"/>
      <c r="O592" s="88"/>
      <c r="P592" s="358"/>
    </row>
    <row r="593" spans="1:19" s="261" customFormat="1">
      <c r="A593" s="131"/>
      <c r="B593" s="88"/>
      <c r="C593" s="88"/>
      <c r="D593" s="88"/>
      <c r="E593" s="88"/>
      <c r="F593" s="88"/>
      <c r="G593" s="88"/>
      <c r="H593" s="88"/>
      <c r="I593" s="88"/>
      <c r="L593" s="88"/>
      <c r="M593" s="88"/>
      <c r="N593" s="88"/>
      <c r="O593" s="88"/>
      <c r="P593" s="426"/>
    </row>
    <row r="594" spans="1:19" s="261" customFormat="1" ht="15">
      <c r="A594" s="131"/>
      <c r="B594" s="133" t="s">
        <v>1819</v>
      </c>
      <c r="C594" s="131"/>
      <c r="D594" s="127" t="s">
        <v>1819</v>
      </c>
      <c r="E594" s="134"/>
      <c r="F594" s="134"/>
      <c r="G594" s="134"/>
      <c r="H594" s="134"/>
      <c r="I594" s="134"/>
      <c r="L594" s="134"/>
      <c r="M594" s="134"/>
      <c r="N594" s="134"/>
      <c r="O594" s="134"/>
      <c r="P594" s="427"/>
    </row>
    <row r="595" spans="1:19" s="261" customFormat="1">
      <c r="A595" s="131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426"/>
    </row>
    <row r="596" spans="1:19" s="261" customFormat="1">
      <c r="A596" s="131"/>
      <c r="B596" s="88"/>
      <c r="C596" s="88"/>
      <c r="D596" s="127" t="s">
        <v>1820</v>
      </c>
      <c r="E596" s="88"/>
      <c r="J596" s="134"/>
      <c r="K596" s="134"/>
      <c r="L596" s="134"/>
      <c r="M596" s="134"/>
      <c r="N596" s="134"/>
      <c r="O596" s="134"/>
      <c r="P596" s="426"/>
    </row>
    <row r="597" spans="1:19" s="261" customFormat="1" ht="15">
      <c r="A597" s="131"/>
      <c r="B597" s="88"/>
      <c r="C597" s="88"/>
      <c r="E597" s="134"/>
      <c r="F597" s="134"/>
      <c r="M597" s="135"/>
      <c r="N597" s="135"/>
      <c r="P597" s="426"/>
    </row>
    <row r="598" spans="1:19" s="261" customFormat="1" ht="15">
      <c r="A598" s="60"/>
      <c r="B598" s="59"/>
      <c r="C598" s="134"/>
      <c r="D598" s="127" t="s">
        <v>1819</v>
      </c>
      <c r="E598" s="88"/>
      <c r="F598" s="88"/>
      <c r="M598" s="135"/>
      <c r="N598" s="135"/>
      <c r="P598" s="427"/>
    </row>
    <row r="599" spans="1:19" s="261" customFormat="1" ht="15">
      <c r="A599" s="60"/>
      <c r="B599" s="88"/>
      <c r="C599" s="88"/>
      <c r="D599" s="88"/>
      <c r="E599" s="88"/>
      <c r="M599" s="135"/>
      <c r="N599" s="135"/>
      <c r="P599" s="426"/>
    </row>
    <row r="600" spans="1:19" s="261" customFormat="1" ht="15">
      <c r="A600" s="60"/>
      <c r="C600" s="135"/>
      <c r="D600" s="135"/>
      <c r="E600" s="135"/>
      <c r="F600" s="134"/>
      <c r="G600" s="134"/>
      <c r="H600" s="134"/>
      <c r="M600" s="135"/>
      <c r="N600" s="135"/>
      <c r="Q600" s="60"/>
    </row>
    <row r="601" spans="1:19" s="261" customFormat="1" ht="15">
      <c r="M601" s="135"/>
      <c r="N601" s="135"/>
    </row>
    <row r="602" spans="1:19" s="261" customFormat="1" ht="15">
      <c r="O602" s="135"/>
      <c r="P602" s="135"/>
      <c r="Q602" s="135"/>
      <c r="R602" s="135"/>
      <c r="S602" s="135"/>
    </row>
    <row r="603" spans="1:19" ht="15">
      <c r="O603" s="136"/>
      <c r="P603" s="136"/>
      <c r="Q603" s="136"/>
      <c r="R603" s="136"/>
      <c r="S603" s="136"/>
    </row>
    <row r="604" spans="1:19" ht="15">
      <c r="O604" s="136"/>
      <c r="P604" s="136"/>
      <c r="Q604" s="136"/>
      <c r="R604" s="136"/>
      <c r="S604" s="136"/>
    </row>
    <row r="605" spans="1:19" ht="15">
      <c r="O605" s="136"/>
      <c r="P605" s="136"/>
      <c r="Q605" s="136"/>
      <c r="R605" s="136"/>
      <c r="S605" s="136"/>
    </row>
    <row r="606" spans="1:19" ht="15">
      <c r="O606" s="136"/>
      <c r="P606" s="136"/>
      <c r="Q606" s="136"/>
      <c r="R606" s="136"/>
      <c r="S606" s="136"/>
    </row>
    <row r="607" spans="1:19" ht="15">
      <c r="O607" s="136"/>
      <c r="P607" s="136"/>
      <c r="Q607" s="136"/>
      <c r="R607" s="136"/>
      <c r="S607" s="136"/>
    </row>
    <row r="608" spans="1:19" ht="15">
      <c r="O608" s="136"/>
      <c r="P608" s="136"/>
      <c r="Q608" s="136"/>
      <c r="R608" s="136"/>
      <c r="S608" s="136"/>
    </row>
    <row r="609" spans="15:19" ht="15">
      <c r="O609" s="136"/>
      <c r="P609" s="136"/>
      <c r="Q609" s="136"/>
      <c r="R609" s="136"/>
      <c r="S609" s="136"/>
    </row>
    <row r="610" spans="15:19" ht="15">
      <c r="O610" s="136"/>
      <c r="P610" s="136"/>
      <c r="Q610" s="136"/>
      <c r="R610" s="136"/>
      <c r="S610" s="136"/>
    </row>
    <row r="611" spans="15:19" ht="15">
      <c r="O611" s="136"/>
      <c r="P611" s="136"/>
      <c r="Q611" s="136"/>
      <c r="R611" s="136"/>
      <c r="S611" s="136"/>
    </row>
    <row r="612" spans="15:19" ht="15">
      <c r="O612" s="136"/>
      <c r="P612" s="136"/>
      <c r="Q612" s="136"/>
      <c r="R612" s="136"/>
      <c r="S612" s="136"/>
    </row>
    <row r="613" spans="15:19" ht="15">
      <c r="O613" s="136"/>
      <c r="P613" s="136"/>
      <c r="Q613" s="136"/>
      <c r="R613" s="136"/>
      <c r="S613" s="136"/>
    </row>
    <row r="614" spans="15:19" ht="15">
      <c r="O614" s="136"/>
      <c r="P614" s="136"/>
      <c r="Q614" s="136"/>
      <c r="R614" s="136"/>
      <c r="S614" s="136"/>
    </row>
    <row r="615" spans="15:19" ht="15">
      <c r="O615" s="136"/>
      <c r="P615" s="136"/>
      <c r="Q615" s="136"/>
      <c r="R615" s="136"/>
      <c r="S615" s="136"/>
    </row>
    <row r="616" spans="15:19" ht="15">
      <c r="O616" s="136"/>
      <c r="P616" s="136"/>
      <c r="Q616" s="136"/>
      <c r="R616" s="136"/>
      <c r="S616" s="136"/>
    </row>
    <row r="617" spans="15:19" ht="15">
      <c r="O617" s="136"/>
      <c r="P617" s="136"/>
      <c r="Q617" s="136"/>
      <c r="R617" s="136"/>
      <c r="S617" s="136"/>
    </row>
    <row r="618" spans="15:19" ht="15">
      <c r="O618" s="136"/>
      <c r="P618" s="136"/>
      <c r="Q618" s="136"/>
      <c r="R618" s="136"/>
      <c r="S618" s="136"/>
    </row>
    <row r="619" spans="15:19" ht="15">
      <c r="O619" s="136"/>
      <c r="P619" s="136"/>
      <c r="Q619" s="136"/>
      <c r="R619" s="136"/>
      <c r="S619" s="136"/>
    </row>
    <row r="620" spans="15:19" ht="15">
      <c r="O620" s="136"/>
      <c r="P620" s="136"/>
      <c r="Q620" s="136"/>
      <c r="R620" s="136"/>
      <c r="S620" s="136"/>
    </row>
    <row r="621" spans="15:19" ht="15">
      <c r="O621" s="136"/>
      <c r="P621" s="136"/>
      <c r="Q621" s="136"/>
      <c r="R621" s="136"/>
      <c r="S621" s="136"/>
    </row>
    <row r="622" spans="15:19" ht="15">
      <c r="O622" s="136"/>
      <c r="P622" s="136"/>
      <c r="Q622" s="136"/>
      <c r="R622" s="136"/>
      <c r="S622" s="136"/>
    </row>
    <row r="623" spans="15:19" ht="15">
      <c r="O623" s="136"/>
      <c r="P623" s="136"/>
      <c r="Q623" s="136"/>
      <c r="R623" s="136"/>
      <c r="S623" s="136"/>
    </row>
    <row r="624" spans="15:19" ht="15">
      <c r="O624" s="136"/>
      <c r="P624" s="136"/>
      <c r="Q624" s="136"/>
      <c r="R624" s="136"/>
      <c r="S624" s="136"/>
    </row>
    <row r="625" spans="15:19" ht="15">
      <c r="O625" s="136"/>
      <c r="P625" s="136"/>
      <c r="Q625" s="136"/>
      <c r="R625" s="136"/>
      <c r="S625" s="136"/>
    </row>
    <row r="626" spans="15:19" ht="15">
      <c r="O626" s="136"/>
      <c r="P626" s="136"/>
      <c r="Q626" s="136"/>
      <c r="R626" s="136"/>
      <c r="S626" s="136"/>
    </row>
    <row r="627" spans="15:19" ht="15">
      <c r="O627" s="136"/>
      <c r="P627" s="136"/>
      <c r="Q627" s="136"/>
      <c r="R627" s="136"/>
      <c r="S627" s="136"/>
    </row>
    <row r="628" spans="15:19" ht="15">
      <c r="O628" s="136"/>
      <c r="P628" s="136"/>
      <c r="Q628" s="136"/>
      <c r="R628" s="136"/>
      <c r="S628" s="136"/>
    </row>
    <row r="629" spans="15:19" ht="15">
      <c r="O629" s="136"/>
      <c r="P629" s="136"/>
      <c r="Q629" s="136"/>
      <c r="R629" s="136"/>
      <c r="S629" s="136"/>
    </row>
    <row r="630" spans="15:19" ht="15">
      <c r="O630" s="136"/>
      <c r="P630" s="136"/>
      <c r="Q630" s="136"/>
      <c r="R630" s="136"/>
      <c r="S630" s="136"/>
    </row>
    <row r="631" spans="15:19" ht="15">
      <c r="O631" s="136"/>
      <c r="P631" s="136"/>
      <c r="Q631" s="136"/>
      <c r="R631" s="136"/>
      <c r="S631" s="136"/>
    </row>
    <row r="632" spans="15:19" ht="15">
      <c r="O632" s="136"/>
      <c r="P632" s="136"/>
      <c r="Q632" s="136"/>
      <c r="R632" s="136"/>
      <c r="S632" s="136"/>
    </row>
    <row r="633" spans="15:19" ht="15">
      <c r="O633" s="136"/>
      <c r="P633" s="136"/>
      <c r="Q633" s="136"/>
      <c r="R633" s="136"/>
      <c r="S633" s="136"/>
    </row>
    <row r="634" spans="15:19" ht="15">
      <c r="O634" s="136"/>
      <c r="P634" s="136"/>
      <c r="Q634" s="136"/>
      <c r="R634" s="136"/>
      <c r="S634" s="136"/>
    </row>
    <row r="635" spans="15:19" ht="15">
      <c r="O635" s="136"/>
      <c r="P635" s="136"/>
      <c r="Q635" s="136"/>
      <c r="R635" s="136"/>
      <c r="S635" s="136"/>
    </row>
    <row r="636" spans="15:19" ht="15">
      <c r="O636" s="136"/>
      <c r="P636" s="136"/>
      <c r="Q636" s="136"/>
      <c r="R636" s="136"/>
      <c r="S636" s="136"/>
    </row>
    <row r="637" spans="15:19" ht="15">
      <c r="O637" s="136"/>
      <c r="P637" s="136"/>
      <c r="Q637" s="136"/>
      <c r="R637" s="136"/>
      <c r="S637" s="136"/>
    </row>
    <row r="638" spans="15:19" ht="15">
      <c r="O638" s="136"/>
      <c r="P638" s="136"/>
      <c r="Q638" s="136"/>
      <c r="R638" s="136"/>
      <c r="S638" s="136"/>
    </row>
    <row r="639" spans="15:19" ht="15">
      <c r="O639" s="136"/>
      <c r="P639" s="136"/>
      <c r="Q639" s="136"/>
      <c r="R639" s="136"/>
      <c r="S639" s="136"/>
    </row>
    <row r="640" spans="15:19" ht="15">
      <c r="O640" s="136"/>
      <c r="P640" s="136"/>
      <c r="Q640" s="136"/>
      <c r="R640" s="136"/>
      <c r="S640" s="136"/>
    </row>
    <row r="641" spans="15:19" ht="15">
      <c r="O641" s="136"/>
      <c r="P641" s="136"/>
      <c r="Q641" s="136"/>
      <c r="R641" s="136"/>
      <c r="S641" s="136"/>
    </row>
    <row r="642" spans="15:19" ht="15">
      <c r="O642" s="136"/>
      <c r="P642" s="136"/>
      <c r="Q642" s="136"/>
      <c r="R642" s="136"/>
      <c r="S642" s="136"/>
    </row>
    <row r="643" spans="15:19" ht="15">
      <c r="O643" s="136"/>
      <c r="P643" s="136"/>
      <c r="Q643" s="136"/>
      <c r="R643" s="136"/>
      <c r="S643" s="136"/>
    </row>
    <row r="644" spans="15:19" ht="15">
      <c r="O644" s="136"/>
      <c r="P644" s="136"/>
      <c r="Q644" s="136"/>
      <c r="R644" s="136"/>
      <c r="S644" s="136"/>
    </row>
    <row r="645" spans="15:19" ht="15">
      <c r="O645" s="136"/>
      <c r="P645" s="136"/>
      <c r="Q645" s="136"/>
      <c r="R645" s="136"/>
      <c r="S645" s="136"/>
    </row>
    <row r="646" spans="15:19" ht="15">
      <c r="O646" s="136"/>
      <c r="P646" s="136"/>
      <c r="Q646" s="136"/>
      <c r="R646" s="136"/>
      <c r="S646" s="136"/>
    </row>
    <row r="647" spans="15:19" ht="15">
      <c r="O647" s="136"/>
      <c r="P647" s="136"/>
      <c r="Q647" s="136"/>
      <c r="R647" s="136"/>
      <c r="S647" s="136"/>
    </row>
    <row r="648" spans="15:19" ht="15">
      <c r="O648" s="136"/>
      <c r="P648" s="136"/>
      <c r="Q648" s="136"/>
      <c r="R648" s="136"/>
      <c r="S648" s="136"/>
    </row>
    <row r="649" spans="15:19" ht="15">
      <c r="O649" s="136"/>
      <c r="P649" s="136"/>
      <c r="Q649" s="136"/>
      <c r="R649" s="136"/>
      <c r="S649" s="136"/>
    </row>
    <row r="650" spans="15:19" ht="15">
      <c r="O650" s="136"/>
      <c r="P650" s="136"/>
      <c r="Q650" s="136"/>
      <c r="R650" s="136"/>
      <c r="S650" s="136"/>
    </row>
  </sheetData>
  <mergeCells count="2">
    <mergeCell ref="A17:U17"/>
    <mergeCell ref="D22:E22"/>
  </mergeCells>
  <printOptions horizontalCentered="1"/>
  <pageMargins left="0" right="0" top="0.19685039370078741" bottom="0.19685039370078741" header="0.31496062992125984" footer="0.31496062992125984"/>
  <pageSetup paperSize="9" scale="50" fitToHeight="1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3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5.5703125" style="265" customWidth="1"/>
    <col min="2" max="2" width="30.42578125" style="265" customWidth="1"/>
    <col min="3" max="3" width="52.28515625" style="340" customWidth="1"/>
    <col min="4" max="4" width="9.5703125" customWidth="1"/>
    <col min="5" max="6" width="16" style="258" customWidth="1"/>
  </cols>
  <sheetData>
    <row r="1" spans="1:6" s="341" customFormat="1" ht="26.25" thickBot="1">
      <c r="A1" s="408" t="s">
        <v>120</v>
      </c>
      <c r="B1" s="360" t="s">
        <v>2233</v>
      </c>
      <c r="C1" s="360" t="s">
        <v>121</v>
      </c>
      <c r="D1" s="360" t="s">
        <v>1936</v>
      </c>
      <c r="E1" s="361" t="s">
        <v>3632</v>
      </c>
      <c r="F1" s="361" t="s">
        <v>3633</v>
      </c>
    </row>
    <row r="2" spans="1:6">
      <c r="A2" s="409" t="s">
        <v>1963</v>
      </c>
      <c r="B2" s="400" t="s">
        <v>2234</v>
      </c>
      <c r="C2" s="400" t="s">
        <v>2235</v>
      </c>
      <c r="D2" s="401"/>
      <c r="E2" s="402"/>
      <c r="F2" s="402"/>
    </row>
    <row r="3" spans="1:6">
      <c r="A3" s="377" t="s">
        <v>1966</v>
      </c>
      <c r="B3" s="363" t="s">
        <v>463</v>
      </c>
      <c r="C3" s="363" t="s">
        <v>2236</v>
      </c>
      <c r="D3" s="378"/>
      <c r="E3" s="391"/>
      <c r="F3" s="391"/>
    </row>
    <row r="4" spans="1:6">
      <c r="A4" s="377" t="s">
        <v>1968</v>
      </c>
      <c r="B4" s="363" t="s">
        <v>464</v>
      </c>
      <c r="C4" s="363" t="s">
        <v>2237</v>
      </c>
      <c r="D4" s="378"/>
      <c r="E4" s="391"/>
      <c r="F4" s="391"/>
    </row>
    <row r="5" spans="1:6">
      <c r="A5" s="377" t="s">
        <v>1970</v>
      </c>
      <c r="B5" s="363" t="s">
        <v>465</v>
      </c>
      <c r="C5" s="363" t="s">
        <v>2238</v>
      </c>
      <c r="D5" s="378"/>
      <c r="E5" s="391"/>
      <c r="F5" s="391"/>
    </row>
    <row r="6" spans="1:6" ht="25.5">
      <c r="A6" s="377" t="s">
        <v>1972</v>
      </c>
      <c r="B6" s="363" t="s">
        <v>466</v>
      </c>
      <c r="C6" s="363" t="s">
        <v>2239</v>
      </c>
      <c r="D6" s="378"/>
      <c r="E6" s="391"/>
      <c r="F6" s="391"/>
    </row>
    <row r="7" spans="1:6" ht="24">
      <c r="A7" s="366">
        <v>7</v>
      </c>
      <c r="B7" s="366" t="s">
        <v>2240</v>
      </c>
      <c r="C7" s="367" t="s">
        <v>467</v>
      </c>
      <c r="D7" s="379"/>
      <c r="E7" s="394">
        <v>1835332.46</v>
      </c>
      <c r="F7" s="394">
        <v>9107656.9900000002</v>
      </c>
    </row>
    <row r="8" spans="1:6">
      <c r="A8" s="366">
        <v>7</v>
      </c>
      <c r="B8" s="366" t="s">
        <v>2241</v>
      </c>
      <c r="C8" s="367" t="s">
        <v>1937</v>
      </c>
      <c r="D8" s="379"/>
      <c r="E8" s="394">
        <v>8250598.1500000004</v>
      </c>
      <c r="F8" s="394"/>
    </row>
    <row r="9" spans="1:6">
      <c r="A9" s="377" t="s">
        <v>1972</v>
      </c>
      <c r="B9" s="363" t="s">
        <v>469</v>
      </c>
      <c r="C9" s="363" t="s">
        <v>1378</v>
      </c>
      <c r="D9" s="378"/>
      <c r="E9" s="391"/>
      <c r="F9" s="391"/>
    </row>
    <row r="10" spans="1:6">
      <c r="A10" s="366" t="s">
        <v>1975</v>
      </c>
      <c r="B10" s="366" t="s">
        <v>2242</v>
      </c>
      <c r="C10" s="367" t="s">
        <v>468</v>
      </c>
      <c r="D10" s="379"/>
      <c r="E10" s="394">
        <v>339513.27</v>
      </c>
      <c r="F10" s="394">
        <v>286636.09999999998</v>
      </c>
    </row>
    <row r="11" spans="1:6" ht="24">
      <c r="A11" s="366">
        <v>7</v>
      </c>
      <c r="B11" s="366" t="s">
        <v>2243</v>
      </c>
      <c r="C11" s="367" t="s">
        <v>1938</v>
      </c>
      <c r="D11" s="379"/>
      <c r="E11" s="394">
        <v>92681.33</v>
      </c>
      <c r="F11" s="394"/>
    </row>
    <row r="12" spans="1:6">
      <c r="A12" s="377" t="s">
        <v>1972</v>
      </c>
      <c r="B12" s="363" t="s">
        <v>471</v>
      </c>
      <c r="C12" s="363" t="s">
        <v>1379</v>
      </c>
      <c r="D12" s="378"/>
      <c r="E12" s="391"/>
      <c r="F12" s="391"/>
    </row>
    <row r="13" spans="1:6">
      <c r="A13" s="366" t="s">
        <v>1975</v>
      </c>
      <c r="B13" s="366" t="s">
        <v>2244</v>
      </c>
      <c r="C13" s="367" t="s">
        <v>470</v>
      </c>
      <c r="D13" s="379"/>
      <c r="E13" s="394">
        <v>1337769.51</v>
      </c>
      <c r="F13" s="394">
        <v>1266566.6499999999</v>
      </c>
    </row>
    <row r="14" spans="1:6">
      <c r="A14" s="377" t="s">
        <v>1972</v>
      </c>
      <c r="B14" s="363" t="s">
        <v>472</v>
      </c>
      <c r="C14" s="363" t="s">
        <v>1380</v>
      </c>
      <c r="D14" s="378"/>
      <c r="E14" s="391"/>
      <c r="F14" s="391"/>
    </row>
    <row r="15" spans="1:6" ht="38.25">
      <c r="A15" s="377" t="s">
        <v>1975</v>
      </c>
      <c r="B15" s="363" t="s">
        <v>474</v>
      </c>
      <c r="C15" s="363" t="s">
        <v>1381</v>
      </c>
      <c r="D15" s="378" t="s">
        <v>1248</v>
      </c>
      <c r="E15" s="391"/>
      <c r="F15" s="391"/>
    </row>
    <row r="16" spans="1:6" ht="24">
      <c r="A16" s="366" t="s">
        <v>2091</v>
      </c>
      <c r="B16" s="366" t="s">
        <v>2245</v>
      </c>
      <c r="C16" s="367" t="s">
        <v>473</v>
      </c>
      <c r="D16" s="379" t="s">
        <v>1248</v>
      </c>
      <c r="E16" s="394"/>
      <c r="F16" s="394"/>
    </row>
    <row r="17" spans="1:6" ht="38.25">
      <c r="A17" s="377" t="s">
        <v>1975</v>
      </c>
      <c r="B17" s="363" t="s">
        <v>476</v>
      </c>
      <c r="C17" s="363" t="s">
        <v>2246</v>
      </c>
      <c r="D17" s="378"/>
      <c r="E17" s="391"/>
      <c r="F17" s="391"/>
    </row>
    <row r="18" spans="1:6" ht="24">
      <c r="A18" s="366" t="s">
        <v>2091</v>
      </c>
      <c r="B18" s="366" t="s">
        <v>2247</v>
      </c>
      <c r="C18" s="367" t="s">
        <v>475</v>
      </c>
      <c r="D18" s="379"/>
      <c r="E18" s="394"/>
      <c r="F18" s="394"/>
    </row>
    <row r="19" spans="1:6" ht="25.5">
      <c r="A19" s="377" t="s">
        <v>1975</v>
      </c>
      <c r="B19" s="363" t="s">
        <v>478</v>
      </c>
      <c r="C19" s="363" t="s">
        <v>1383</v>
      </c>
      <c r="D19" s="378"/>
      <c r="E19" s="391"/>
      <c r="F19" s="391"/>
    </row>
    <row r="20" spans="1:6">
      <c r="A20" s="366" t="s">
        <v>2091</v>
      </c>
      <c r="B20" s="366" t="s">
        <v>2248</v>
      </c>
      <c r="C20" s="367" t="s">
        <v>477</v>
      </c>
      <c r="D20" s="379"/>
      <c r="E20" s="394"/>
      <c r="F20" s="394"/>
    </row>
    <row r="21" spans="1:6">
      <c r="A21" s="377" t="s">
        <v>1970</v>
      </c>
      <c r="B21" s="363" t="s">
        <v>479</v>
      </c>
      <c r="C21" s="363" t="s">
        <v>2249</v>
      </c>
      <c r="D21" s="378"/>
      <c r="E21" s="391"/>
      <c r="F21" s="391"/>
    </row>
    <row r="22" spans="1:6" ht="25.5">
      <c r="A22" s="377" t="s">
        <v>1972</v>
      </c>
      <c r="B22" s="363" t="s">
        <v>480</v>
      </c>
      <c r="C22" s="363" t="s">
        <v>1385</v>
      </c>
      <c r="D22" s="378" t="s">
        <v>1248</v>
      </c>
      <c r="E22" s="391"/>
      <c r="F22" s="391"/>
    </row>
    <row r="23" spans="1:6" ht="24">
      <c r="A23" s="366" t="s">
        <v>1975</v>
      </c>
      <c r="B23" s="366" t="s">
        <v>2250</v>
      </c>
      <c r="C23" s="367" t="s">
        <v>2251</v>
      </c>
      <c r="D23" s="379" t="s">
        <v>1248</v>
      </c>
      <c r="E23" s="394"/>
      <c r="F23" s="394"/>
    </row>
    <row r="24" spans="1:6" ht="25.5">
      <c r="A24" s="377" t="s">
        <v>1972</v>
      </c>
      <c r="B24" s="363" t="s">
        <v>481</v>
      </c>
      <c r="C24" s="363" t="s">
        <v>1386</v>
      </c>
      <c r="D24" s="378"/>
      <c r="E24" s="391"/>
      <c r="F24" s="391"/>
    </row>
    <row r="25" spans="1:6" ht="24">
      <c r="A25" s="366" t="s">
        <v>1975</v>
      </c>
      <c r="B25" s="366" t="s">
        <v>2252</v>
      </c>
      <c r="C25" s="367" t="s">
        <v>2253</v>
      </c>
      <c r="D25" s="379"/>
      <c r="E25" s="394"/>
      <c r="F25" s="394">
        <v>502618</v>
      </c>
    </row>
    <row r="26" spans="1:6">
      <c r="A26" s="377" t="s">
        <v>1972</v>
      </c>
      <c r="B26" s="363" t="s">
        <v>483</v>
      </c>
      <c r="C26" s="363" t="s">
        <v>1387</v>
      </c>
      <c r="D26" s="378"/>
      <c r="E26" s="391"/>
      <c r="F26" s="391"/>
    </row>
    <row r="27" spans="1:6">
      <c r="A27" s="366" t="s">
        <v>1975</v>
      </c>
      <c r="B27" s="366" t="s">
        <v>2254</v>
      </c>
      <c r="C27" s="367" t="s">
        <v>482</v>
      </c>
      <c r="D27" s="379"/>
      <c r="E27" s="394"/>
      <c r="F27" s="394"/>
    </row>
    <row r="28" spans="1:6">
      <c r="A28" s="377" t="s">
        <v>1970</v>
      </c>
      <c r="B28" s="363" t="s">
        <v>485</v>
      </c>
      <c r="C28" s="363" t="s">
        <v>1388</v>
      </c>
      <c r="D28" s="378"/>
      <c r="E28" s="391"/>
      <c r="F28" s="391"/>
    </row>
    <row r="29" spans="1:6">
      <c r="A29" s="377" t="s">
        <v>1972</v>
      </c>
      <c r="B29" s="363" t="s">
        <v>486</v>
      </c>
      <c r="C29" s="363" t="s">
        <v>2255</v>
      </c>
      <c r="D29" s="378"/>
      <c r="E29" s="391"/>
      <c r="F29" s="391"/>
    </row>
    <row r="30" spans="1:6">
      <c r="A30" s="366" t="s">
        <v>1975</v>
      </c>
      <c r="B30" s="366" t="s">
        <v>2256</v>
      </c>
      <c r="C30" s="367" t="s">
        <v>484</v>
      </c>
      <c r="D30" s="379"/>
      <c r="E30" s="394">
        <v>21492831.34</v>
      </c>
      <c r="F30" s="394">
        <v>22709245.199999999</v>
      </c>
    </row>
    <row r="31" spans="1:6">
      <c r="A31" s="366">
        <v>7</v>
      </c>
      <c r="B31" s="366" t="s">
        <v>2257</v>
      </c>
      <c r="C31" s="367" t="s">
        <v>1939</v>
      </c>
      <c r="D31" s="379"/>
      <c r="E31" s="394">
        <v>4369888.53</v>
      </c>
      <c r="F31" s="394"/>
    </row>
    <row r="32" spans="1:6">
      <c r="A32" s="377" t="s">
        <v>1972</v>
      </c>
      <c r="B32" s="363" t="s">
        <v>488</v>
      </c>
      <c r="C32" s="363" t="s">
        <v>2258</v>
      </c>
      <c r="D32" s="378"/>
      <c r="E32" s="391"/>
      <c r="F32" s="391"/>
    </row>
    <row r="33" spans="1:6">
      <c r="A33" s="366" t="s">
        <v>1975</v>
      </c>
      <c r="B33" s="366" t="s">
        <v>2259</v>
      </c>
      <c r="C33" s="367" t="s">
        <v>487</v>
      </c>
      <c r="D33" s="379"/>
      <c r="E33" s="394">
        <v>3314285.21</v>
      </c>
      <c r="F33" s="394">
        <v>2946640.27</v>
      </c>
    </row>
    <row r="34" spans="1:6" ht="24">
      <c r="A34" s="366">
        <v>7</v>
      </c>
      <c r="B34" s="366" t="s">
        <v>2260</v>
      </c>
      <c r="C34" s="367" t="s">
        <v>1940</v>
      </c>
      <c r="D34" s="379"/>
      <c r="E34" s="394">
        <v>8332.16</v>
      </c>
      <c r="F34" s="394"/>
    </row>
    <row r="35" spans="1:6">
      <c r="A35" s="377" t="s">
        <v>1972</v>
      </c>
      <c r="B35" s="363" t="s">
        <v>490</v>
      </c>
      <c r="C35" s="363" t="s">
        <v>2261</v>
      </c>
      <c r="D35" s="378"/>
      <c r="E35" s="391"/>
      <c r="F35" s="391"/>
    </row>
    <row r="36" spans="1:6">
      <c r="A36" s="366" t="s">
        <v>1975</v>
      </c>
      <c r="B36" s="366" t="s">
        <v>2262</v>
      </c>
      <c r="C36" s="367" t="s">
        <v>489</v>
      </c>
      <c r="D36" s="379"/>
      <c r="E36" s="394">
        <v>14016406.18</v>
      </c>
      <c r="F36" s="394">
        <v>17643612.59</v>
      </c>
    </row>
    <row r="37" spans="1:6" ht="24">
      <c r="A37" s="366">
        <v>7</v>
      </c>
      <c r="B37" s="366" t="s">
        <v>2263</v>
      </c>
      <c r="C37" s="367" t="s">
        <v>1941</v>
      </c>
      <c r="D37" s="379"/>
      <c r="E37" s="394">
        <v>94981.34</v>
      </c>
      <c r="F37" s="394"/>
    </row>
    <row r="38" spans="1:6">
      <c r="A38" s="377" t="s">
        <v>1970</v>
      </c>
      <c r="B38" s="363" t="s">
        <v>492</v>
      </c>
      <c r="C38" s="363" t="s">
        <v>2264</v>
      </c>
      <c r="D38" s="378"/>
      <c r="E38" s="391"/>
      <c r="F38" s="391"/>
    </row>
    <row r="39" spans="1:6">
      <c r="A39" s="366" t="s">
        <v>1972</v>
      </c>
      <c r="B39" s="366" t="s">
        <v>2265</v>
      </c>
      <c r="C39" s="367" t="s">
        <v>491</v>
      </c>
      <c r="D39" s="379"/>
      <c r="E39" s="394">
        <v>19876.54</v>
      </c>
      <c r="F39" s="394">
        <v>103141.57</v>
      </c>
    </row>
    <row r="40" spans="1:6">
      <c r="A40" s="366">
        <v>6</v>
      </c>
      <c r="B40" s="366" t="s">
        <v>2266</v>
      </c>
      <c r="C40" s="367" t="s">
        <v>1942</v>
      </c>
      <c r="D40" s="379"/>
      <c r="E40" s="394">
        <v>51218.76</v>
      </c>
      <c r="F40" s="394"/>
    </row>
    <row r="41" spans="1:6">
      <c r="A41" s="377" t="s">
        <v>1970</v>
      </c>
      <c r="B41" s="363" t="s">
        <v>494</v>
      </c>
      <c r="C41" s="363" t="s">
        <v>2267</v>
      </c>
      <c r="D41" s="378"/>
      <c r="E41" s="391"/>
      <c r="F41" s="391"/>
    </row>
    <row r="42" spans="1:6">
      <c r="A42" s="366" t="s">
        <v>1972</v>
      </c>
      <c r="B42" s="366" t="s">
        <v>2268</v>
      </c>
      <c r="C42" s="367" t="s">
        <v>493</v>
      </c>
      <c r="D42" s="379"/>
      <c r="E42" s="394">
        <v>175.96</v>
      </c>
      <c r="F42" s="394">
        <v>386803.57</v>
      </c>
    </row>
    <row r="43" spans="1:6" ht="24">
      <c r="A43" s="366">
        <v>6</v>
      </c>
      <c r="B43" s="366" t="s">
        <v>2269</v>
      </c>
      <c r="C43" s="367" t="s">
        <v>1943</v>
      </c>
      <c r="D43" s="379"/>
      <c r="E43" s="394">
        <v>454006.37</v>
      </c>
      <c r="F43" s="394"/>
    </row>
    <row r="44" spans="1:6">
      <c r="A44" s="377" t="s">
        <v>1970</v>
      </c>
      <c r="B44" s="363" t="s">
        <v>496</v>
      </c>
      <c r="C44" s="363" t="s">
        <v>2270</v>
      </c>
      <c r="D44" s="378"/>
      <c r="E44" s="391"/>
      <c r="F44" s="391"/>
    </row>
    <row r="45" spans="1:6">
      <c r="A45" s="366" t="s">
        <v>1972</v>
      </c>
      <c r="B45" s="366" t="s">
        <v>2271</v>
      </c>
      <c r="C45" s="367" t="s">
        <v>495</v>
      </c>
      <c r="D45" s="379"/>
      <c r="E45" s="394">
        <v>74681.69</v>
      </c>
      <c r="F45" s="394">
        <v>50109.51</v>
      </c>
    </row>
    <row r="46" spans="1:6">
      <c r="A46" s="366">
        <v>6</v>
      </c>
      <c r="B46" s="366" t="s">
        <v>2272</v>
      </c>
      <c r="C46" s="367" t="s">
        <v>1944</v>
      </c>
      <c r="D46" s="379"/>
      <c r="E46" s="394">
        <v>493.68</v>
      </c>
      <c r="F46" s="394"/>
    </row>
    <row r="47" spans="1:6">
      <c r="A47" s="377" t="s">
        <v>1970</v>
      </c>
      <c r="B47" s="363" t="s">
        <v>498</v>
      </c>
      <c r="C47" s="363" t="s">
        <v>2273</v>
      </c>
      <c r="D47" s="378"/>
      <c r="E47" s="391"/>
      <c r="F47" s="391"/>
    </row>
    <row r="48" spans="1:6">
      <c r="A48" s="366" t="s">
        <v>1972</v>
      </c>
      <c r="B48" s="366" t="s">
        <v>2274</v>
      </c>
      <c r="C48" s="367" t="s">
        <v>497</v>
      </c>
      <c r="D48" s="379"/>
      <c r="E48" s="394">
        <v>258.27</v>
      </c>
      <c r="F48" s="394">
        <v>1525.7</v>
      </c>
    </row>
    <row r="49" spans="1:6" ht="24">
      <c r="A49" s="366">
        <v>6</v>
      </c>
      <c r="B49" s="366" t="s">
        <v>2275</v>
      </c>
      <c r="C49" s="367" t="s">
        <v>1945</v>
      </c>
      <c r="D49" s="379"/>
      <c r="E49" s="394">
        <v>384.65</v>
      </c>
      <c r="F49" s="394"/>
    </row>
    <row r="50" spans="1:6">
      <c r="A50" s="377" t="s">
        <v>1970</v>
      </c>
      <c r="B50" s="363" t="s">
        <v>500</v>
      </c>
      <c r="C50" s="363" t="s">
        <v>2276</v>
      </c>
      <c r="D50" s="378"/>
      <c r="E50" s="391"/>
      <c r="F50" s="391"/>
    </row>
    <row r="51" spans="1:6">
      <c r="A51" s="366" t="s">
        <v>1972</v>
      </c>
      <c r="B51" s="366" t="s">
        <v>2277</v>
      </c>
      <c r="C51" s="367" t="s">
        <v>499</v>
      </c>
      <c r="D51" s="379"/>
      <c r="E51" s="394">
        <v>1135930.99</v>
      </c>
      <c r="F51" s="394">
        <v>1206944.51</v>
      </c>
    </row>
    <row r="52" spans="1:6" ht="24">
      <c r="A52" s="366">
        <v>6</v>
      </c>
      <c r="B52" s="366" t="s">
        <v>2278</v>
      </c>
      <c r="C52" s="367" t="s">
        <v>1946</v>
      </c>
      <c r="D52" s="379"/>
      <c r="E52" s="394">
        <v>87661.56</v>
      </c>
      <c r="F52" s="394"/>
    </row>
    <row r="53" spans="1:6" ht="25.5">
      <c r="A53" s="377" t="s">
        <v>1970</v>
      </c>
      <c r="B53" s="363" t="s">
        <v>501</v>
      </c>
      <c r="C53" s="363" t="s">
        <v>2279</v>
      </c>
      <c r="D53" s="378" t="s">
        <v>1248</v>
      </c>
      <c r="E53" s="391"/>
      <c r="F53" s="391"/>
    </row>
    <row r="54" spans="1:6">
      <c r="A54" s="377" t="s">
        <v>1972</v>
      </c>
      <c r="B54" s="363" t="s">
        <v>502</v>
      </c>
      <c r="C54" s="363" t="s">
        <v>1398</v>
      </c>
      <c r="D54" s="378" t="s">
        <v>1248</v>
      </c>
      <c r="E54" s="391"/>
      <c r="F54" s="391"/>
    </row>
    <row r="55" spans="1:6" ht="24">
      <c r="A55" s="366" t="s">
        <v>1975</v>
      </c>
      <c r="B55" s="366" t="s">
        <v>2280</v>
      </c>
      <c r="C55" s="367" t="s">
        <v>2281</v>
      </c>
      <c r="D55" s="379" t="s">
        <v>1248</v>
      </c>
      <c r="E55" s="394">
        <v>82611915.959999993</v>
      </c>
      <c r="F55" s="394">
        <v>74988769.519999996</v>
      </c>
    </row>
    <row r="56" spans="1:6">
      <c r="A56" s="366" t="s">
        <v>1975</v>
      </c>
      <c r="B56" s="366" t="s">
        <v>2282</v>
      </c>
      <c r="C56" s="367" t="s">
        <v>2283</v>
      </c>
      <c r="D56" s="379" t="s">
        <v>1248</v>
      </c>
      <c r="E56" s="394">
        <v>813045.58</v>
      </c>
      <c r="F56" s="394">
        <v>465035.35</v>
      </c>
    </row>
    <row r="57" spans="1:6" ht="24">
      <c r="A57" s="366" t="s">
        <v>1975</v>
      </c>
      <c r="B57" s="366" t="s">
        <v>2284</v>
      </c>
      <c r="C57" s="367" t="s">
        <v>2285</v>
      </c>
      <c r="D57" s="379" t="s">
        <v>1248</v>
      </c>
      <c r="E57" s="394"/>
      <c r="F57" s="394"/>
    </row>
    <row r="58" spans="1:6">
      <c r="A58" s="377" t="s">
        <v>1972</v>
      </c>
      <c r="B58" s="363" t="s">
        <v>2286</v>
      </c>
      <c r="C58" s="363" t="s">
        <v>2287</v>
      </c>
      <c r="D58" s="378" t="s">
        <v>1248</v>
      </c>
      <c r="E58" s="391"/>
      <c r="F58" s="391"/>
    </row>
    <row r="59" spans="1:6">
      <c r="A59" s="366" t="s">
        <v>1975</v>
      </c>
      <c r="B59" s="369" t="s">
        <v>2288</v>
      </c>
      <c r="C59" s="367" t="s">
        <v>2289</v>
      </c>
      <c r="D59" s="379" t="s">
        <v>1248</v>
      </c>
      <c r="E59" s="394"/>
      <c r="F59" s="394"/>
    </row>
    <row r="60" spans="1:6">
      <c r="A60" s="377" t="s">
        <v>1972</v>
      </c>
      <c r="B60" s="363" t="s">
        <v>503</v>
      </c>
      <c r="C60" s="363" t="s">
        <v>1399</v>
      </c>
      <c r="D60" s="378" t="s">
        <v>1248</v>
      </c>
      <c r="E60" s="391"/>
      <c r="F60" s="391"/>
    </row>
    <row r="61" spans="1:6">
      <c r="A61" s="366" t="s">
        <v>1975</v>
      </c>
      <c r="B61" s="366" t="s">
        <v>2290</v>
      </c>
      <c r="C61" s="367" t="s">
        <v>2291</v>
      </c>
      <c r="D61" s="379" t="s">
        <v>1248</v>
      </c>
      <c r="E61" s="394">
        <v>25029069.350000001</v>
      </c>
      <c r="F61" s="394">
        <v>21965359.129999999</v>
      </c>
    </row>
    <row r="62" spans="1:6" ht="24">
      <c r="A62" s="366" t="s">
        <v>1975</v>
      </c>
      <c r="B62" s="366" t="s">
        <v>2292</v>
      </c>
      <c r="C62" s="367" t="s">
        <v>2293</v>
      </c>
      <c r="D62" s="379" t="s">
        <v>1248</v>
      </c>
      <c r="E62" s="394">
        <v>652612.76</v>
      </c>
      <c r="F62" s="394">
        <v>5960</v>
      </c>
    </row>
    <row r="63" spans="1:6" ht="24">
      <c r="A63" s="366" t="s">
        <v>1975</v>
      </c>
      <c r="B63" s="366" t="s">
        <v>2294</v>
      </c>
      <c r="C63" s="367" t="s">
        <v>2295</v>
      </c>
      <c r="D63" s="379" t="s">
        <v>1248</v>
      </c>
      <c r="E63" s="394">
        <v>618167.38</v>
      </c>
      <c r="F63" s="394">
        <v>557537.44999999995</v>
      </c>
    </row>
    <row r="64" spans="1:6">
      <c r="A64" s="377" t="s">
        <v>1972</v>
      </c>
      <c r="B64" s="363" t="s">
        <v>504</v>
      </c>
      <c r="C64" s="363" t="s">
        <v>1400</v>
      </c>
      <c r="D64" s="378" t="s">
        <v>1248</v>
      </c>
      <c r="E64" s="391"/>
      <c r="F64" s="391"/>
    </row>
    <row r="65" spans="1:6">
      <c r="A65" s="366" t="s">
        <v>1975</v>
      </c>
      <c r="B65" s="366" t="s">
        <v>2296</v>
      </c>
      <c r="C65" s="367" t="s">
        <v>2297</v>
      </c>
      <c r="D65" s="379" t="s">
        <v>1248</v>
      </c>
      <c r="E65" s="394">
        <v>871729.59</v>
      </c>
      <c r="F65" s="394">
        <v>789787.51</v>
      </c>
    </row>
    <row r="66" spans="1:6">
      <c r="A66" s="377" t="s">
        <v>1972</v>
      </c>
      <c r="B66" s="363" t="s">
        <v>505</v>
      </c>
      <c r="C66" s="363" t="s">
        <v>1401</v>
      </c>
      <c r="D66" s="378" t="s">
        <v>1248</v>
      </c>
      <c r="E66" s="391"/>
      <c r="F66" s="391"/>
    </row>
    <row r="67" spans="1:6" ht="24">
      <c r="A67" s="366" t="s">
        <v>1975</v>
      </c>
      <c r="B67" s="366" t="s">
        <v>2298</v>
      </c>
      <c r="C67" s="367" t="s">
        <v>2299</v>
      </c>
      <c r="D67" s="379" t="s">
        <v>1248</v>
      </c>
      <c r="E67" s="394">
        <v>4565901.76</v>
      </c>
      <c r="F67" s="394">
        <v>3867739.92</v>
      </c>
    </row>
    <row r="68" spans="1:6">
      <c r="A68" s="377" t="s">
        <v>1972</v>
      </c>
      <c r="B68" s="363" t="s">
        <v>506</v>
      </c>
      <c r="C68" s="363" t="s">
        <v>1402</v>
      </c>
      <c r="D68" s="378" t="s">
        <v>1248</v>
      </c>
      <c r="E68" s="391"/>
      <c r="F68" s="391"/>
    </row>
    <row r="69" spans="1:6">
      <c r="A69" s="366" t="s">
        <v>1975</v>
      </c>
      <c r="B69" s="366" t="s">
        <v>2300</v>
      </c>
      <c r="C69" s="367" t="s">
        <v>2301</v>
      </c>
      <c r="D69" s="379" t="s">
        <v>1248</v>
      </c>
      <c r="E69" s="394">
        <v>278.83999999999997</v>
      </c>
      <c r="F69" s="394"/>
    </row>
    <row r="70" spans="1:6">
      <c r="A70" s="377" t="s">
        <v>1972</v>
      </c>
      <c r="B70" s="363" t="s">
        <v>507</v>
      </c>
      <c r="C70" s="363" t="s">
        <v>1403</v>
      </c>
      <c r="D70" s="378" t="s">
        <v>1248</v>
      </c>
      <c r="E70" s="391"/>
      <c r="F70" s="391"/>
    </row>
    <row r="71" spans="1:6" ht="24">
      <c r="A71" s="366" t="s">
        <v>1975</v>
      </c>
      <c r="B71" s="366" t="s">
        <v>2302</v>
      </c>
      <c r="C71" s="367" t="s">
        <v>2303</v>
      </c>
      <c r="D71" s="379" t="s">
        <v>1248</v>
      </c>
      <c r="E71" s="394">
        <v>2365.73</v>
      </c>
      <c r="F71" s="394">
        <v>4573.58</v>
      </c>
    </row>
    <row r="72" spans="1:6">
      <c r="A72" s="377" t="s">
        <v>1972</v>
      </c>
      <c r="B72" s="363" t="s">
        <v>508</v>
      </c>
      <c r="C72" s="363" t="s">
        <v>1404</v>
      </c>
      <c r="D72" s="378" t="s">
        <v>1248</v>
      </c>
      <c r="E72" s="391"/>
      <c r="F72" s="391"/>
    </row>
    <row r="73" spans="1:6">
      <c r="A73" s="366" t="s">
        <v>1975</v>
      </c>
      <c r="B73" s="366" t="s">
        <v>2304</v>
      </c>
      <c r="C73" s="367" t="s">
        <v>2305</v>
      </c>
      <c r="D73" s="379" t="s">
        <v>1248</v>
      </c>
      <c r="E73" s="394">
        <v>553928.55000000005</v>
      </c>
      <c r="F73" s="394">
        <v>946809.16</v>
      </c>
    </row>
    <row r="74" spans="1:6">
      <c r="A74" s="377" t="s">
        <v>1968</v>
      </c>
      <c r="B74" s="363" t="s">
        <v>509</v>
      </c>
      <c r="C74" s="363" t="s">
        <v>2306</v>
      </c>
      <c r="D74" s="378"/>
      <c r="E74" s="391"/>
      <c r="F74" s="391"/>
    </row>
    <row r="75" spans="1:6">
      <c r="A75" s="377" t="s">
        <v>1970</v>
      </c>
      <c r="B75" s="363" t="s">
        <v>511</v>
      </c>
      <c r="C75" s="363" t="s">
        <v>2307</v>
      </c>
      <c r="D75" s="378"/>
      <c r="E75" s="391"/>
      <c r="F75" s="391"/>
    </row>
    <row r="76" spans="1:6">
      <c r="A76" s="366">
        <v>6</v>
      </c>
      <c r="B76" s="366" t="s">
        <v>2308</v>
      </c>
      <c r="C76" s="367" t="s">
        <v>510</v>
      </c>
      <c r="D76" s="379"/>
      <c r="E76" s="394">
        <v>75256.67</v>
      </c>
      <c r="F76" s="394">
        <v>66917.679999999993</v>
      </c>
    </row>
    <row r="77" spans="1:6">
      <c r="A77" s="366">
        <v>6</v>
      </c>
      <c r="B77" s="366" t="s">
        <v>2309</v>
      </c>
      <c r="C77" s="367" t="s">
        <v>1947</v>
      </c>
      <c r="D77" s="379"/>
      <c r="E77" s="394">
        <v>6.83</v>
      </c>
      <c r="F77" s="394"/>
    </row>
    <row r="78" spans="1:6" ht="25.5">
      <c r="A78" s="377" t="s">
        <v>1970</v>
      </c>
      <c r="B78" s="363" t="s">
        <v>513</v>
      </c>
      <c r="C78" s="363" t="s">
        <v>2310</v>
      </c>
      <c r="D78" s="378"/>
      <c r="E78" s="391"/>
      <c r="F78" s="391"/>
    </row>
    <row r="79" spans="1:6">
      <c r="A79" s="366" t="s">
        <v>1972</v>
      </c>
      <c r="B79" s="366" t="s">
        <v>2311</v>
      </c>
      <c r="C79" s="367" t="s">
        <v>512</v>
      </c>
      <c r="D79" s="379"/>
      <c r="E79" s="394">
        <v>156916.54999999999</v>
      </c>
      <c r="F79" s="394">
        <v>506456.16</v>
      </c>
    </row>
    <row r="80" spans="1:6" ht="24">
      <c r="A80" s="366">
        <v>6</v>
      </c>
      <c r="B80" s="366" t="s">
        <v>2312</v>
      </c>
      <c r="C80" s="367" t="s">
        <v>1948</v>
      </c>
      <c r="D80" s="379"/>
      <c r="E80" s="394">
        <v>163396</v>
      </c>
      <c r="F80" s="394"/>
    </row>
    <row r="81" spans="1:6">
      <c r="A81" s="377" t="s">
        <v>1970</v>
      </c>
      <c r="B81" s="363" t="s">
        <v>515</v>
      </c>
      <c r="C81" s="363" t="s">
        <v>2313</v>
      </c>
      <c r="D81" s="378"/>
      <c r="E81" s="391"/>
      <c r="F81" s="391"/>
    </row>
    <row r="82" spans="1:6">
      <c r="A82" s="366" t="s">
        <v>1972</v>
      </c>
      <c r="B82" s="366" t="s">
        <v>2314</v>
      </c>
      <c r="C82" s="367" t="s">
        <v>514</v>
      </c>
      <c r="D82" s="379"/>
      <c r="E82" s="394">
        <v>479757.87</v>
      </c>
      <c r="F82" s="394">
        <v>470352.49</v>
      </c>
    </row>
    <row r="83" spans="1:6" ht="24">
      <c r="A83" s="366">
        <v>6</v>
      </c>
      <c r="B83" s="366" t="s">
        <v>2315</v>
      </c>
      <c r="C83" s="367" t="s">
        <v>1949</v>
      </c>
      <c r="D83" s="379"/>
      <c r="E83" s="394"/>
      <c r="F83" s="394"/>
    </row>
    <row r="84" spans="1:6">
      <c r="A84" s="377" t="s">
        <v>1970</v>
      </c>
      <c r="B84" s="363" t="s">
        <v>516</v>
      </c>
      <c r="C84" s="363" t="s">
        <v>2316</v>
      </c>
      <c r="D84" s="378"/>
      <c r="E84" s="391"/>
      <c r="F84" s="391"/>
    </row>
    <row r="85" spans="1:6">
      <c r="A85" s="366">
        <v>6</v>
      </c>
      <c r="B85" s="366" t="s">
        <v>2317</v>
      </c>
      <c r="C85" s="367" t="s">
        <v>517</v>
      </c>
      <c r="D85" s="379"/>
      <c r="E85" s="394">
        <v>458190.3</v>
      </c>
      <c r="F85" s="394">
        <v>470087.77</v>
      </c>
    </row>
    <row r="86" spans="1:6">
      <c r="A86" s="366">
        <v>6</v>
      </c>
      <c r="B86" s="366" t="s">
        <v>2318</v>
      </c>
      <c r="C86" s="367" t="s">
        <v>518</v>
      </c>
      <c r="D86" s="379"/>
      <c r="E86" s="394">
        <v>55194.64</v>
      </c>
      <c r="F86" s="394">
        <v>63413</v>
      </c>
    </row>
    <row r="87" spans="1:6">
      <c r="A87" s="366">
        <v>6</v>
      </c>
      <c r="B87" s="366" t="s">
        <v>2319</v>
      </c>
      <c r="C87" s="367" t="s">
        <v>519</v>
      </c>
      <c r="D87" s="379"/>
      <c r="E87" s="394">
        <v>96976.43</v>
      </c>
      <c r="F87" s="394">
        <v>80055.34</v>
      </c>
    </row>
    <row r="88" spans="1:6" ht="24">
      <c r="A88" s="366">
        <v>6</v>
      </c>
      <c r="B88" s="366" t="s">
        <v>2320</v>
      </c>
      <c r="C88" s="367" t="s">
        <v>1950</v>
      </c>
      <c r="D88" s="379"/>
      <c r="E88" s="394">
        <v>89796.38</v>
      </c>
      <c r="F88" s="394"/>
    </row>
    <row r="89" spans="1:6">
      <c r="A89" s="377" t="s">
        <v>1970</v>
      </c>
      <c r="B89" s="363" t="s">
        <v>520</v>
      </c>
      <c r="C89" s="363" t="s">
        <v>2321</v>
      </c>
      <c r="D89" s="378"/>
      <c r="E89" s="391"/>
      <c r="F89" s="391"/>
    </row>
    <row r="90" spans="1:6">
      <c r="A90" s="366">
        <v>6</v>
      </c>
      <c r="B90" s="366" t="s">
        <v>2322</v>
      </c>
      <c r="C90" s="367" t="s">
        <v>521</v>
      </c>
      <c r="D90" s="379"/>
      <c r="E90" s="394">
        <v>744852.37</v>
      </c>
      <c r="F90" s="394">
        <v>523756.65</v>
      </c>
    </row>
    <row r="91" spans="1:6">
      <c r="A91" s="366">
        <v>6</v>
      </c>
      <c r="B91" s="366" t="s">
        <v>2323</v>
      </c>
      <c r="C91" s="367" t="s">
        <v>522</v>
      </c>
      <c r="D91" s="379"/>
      <c r="E91" s="394">
        <v>760445.43</v>
      </c>
      <c r="F91" s="394">
        <v>679344.25</v>
      </c>
    </row>
    <row r="92" spans="1:6" ht="24">
      <c r="A92" s="366">
        <v>6</v>
      </c>
      <c r="B92" s="366" t="s">
        <v>2324</v>
      </c>
      <c r="C92" s="367" t="s">
        <v>1951</v>
      </c>
      <c r="D92" s="379"/>
      <c r="E92" s="394">
        <v>413.17</v>
      </c>
      <c r="F92" s="394"/>
    </row>
    <row r="93" spans="1:6">
      <c r="A93" s="377" t="s">
        <v>1970</v>
      </c>
      <c r="B93" s="363" t="s">
        <v>524</v>
      </c>
      <c r="C93" s="363" t="s">
        <v>2325</v>
      </c>
      <c r="D93" s="378"/>
      <c r="E93" s="391"/>
      <c r="F93" s="391"/>
    </row>
    <row r="94" spans="1:6">
      <c r="A94" s="366" t="s">
        <v>1972</v>
      </c>
      <c r="B94" s="366" t="s">
        <v>2326</v>
      </c>
      <c r="C94" s="367" t="s">
        <v>523</v>
      </c>
      <c r="D94" s="379"/>
      <c r="E94" s="394">
        <v>149372.04999999999</v>
      </c>
      <c r="F94" s="394">
        <v>106838.61</v>
      </c>
    </row>
    <row r="95" spans="1:6" ht="24">
      <c r="A95" s="366">
        <v>6</v>
      </c>
      <c r="B95" s="366" t="s">
        <v>2327</v>
      </c>
      <c r="C95" s="367" t="s">
        <v>1952</v>
      </c>
      <c r="D95" s="379"/>
      <c r="E95" s="394">
        <v>2496.15</v>
      </c>
      <c r="F95" s="394"/>
    </row>
    <row r="96" spans="1:6" ht="25.5">
      <c r="A96" s="377" t="s">
        <v>1970</v>
      </c>
      <c r="B96" s="363" t="s">
        <v>525</v>
      </c>
      <c r="C96" s="363" t="s">
        <v>2328</v>
      </c>
      <c r="D96" s="378" t="s">
        <v>1248</v>
      </c>
      <c r="E96" s="391"/>
      <c r="F96" s="391"/>
    </row>
    <row r="97" spans="1:6">
      <c r="A97" s="366">
        <v>6</v>
      </c>
      <c r="B97" s="366" t="s">
        <v>2329</v>
      </c>
      <c r="C97" s="367" t="s">
        <v>2330</v>
      </c>
      <c r="D97" s="379" t="s">
        <v>1248</v>
      </c>
      <c r="E97" s="394">
        <v>44.6</v>
      </c>
      <c r="F97" s="394">
        <v>2084.71</v>
      </c>
    </row>
    <row r="98" spans="1:6" ht="24">
      <c r="A98" s="366">
        <v>6</v>
      </c>
      <c r="B98" s="366" t="s">
        <v>2331</v>
      </c>
      <c r="C98" s="367" t="s">
        <v>2332</v>
      </c>
      <c r="D98" s="379" t="s">
        <v>1248</v>
      </c>
      <c r="E98" s="394">
        <v>1278375.6200000001</v>
      </c>
      <c r="F98" s="394">
        <v>2323555.83</v>
      </c>
    </row>
    <row r="99" spans="1:6" ht="24">
      <c r="A99" s="366">
        <v>6</v>
      </c>
      <c r="B99" s="366" t="s">
        <v>2333</v>
      </c>
      <c r="C99" s="367" t="s">
        <v>2334</v>
      </c>
      <c r="D99" s="379" t="s">
        <v>1248</v>
      </c>
      <c r="E99" s="394"/>
      <c r="F99" s="394"/>
    </row>
    <row r="100" spans="1:6" ht="24">
      <c r="A100" s="366">
        <v>6</v>
      </c>
      <c r="B100" s="366" t="s">
        <v>2335</v>
      </c>
      <c r="C100" s="367" t="s">
        <v>2336</v>
      </c>
      <c r="D100" s="379" t="s">
        <v>1248</v>
      </c>
      <c r="E100" s="394">
        <v>549483.56999999995</v>
      </c>
      <c r="F100" s="394">
        <v>483512.01</v>
      </c>
    </row>
    <row r="101" spans="1:6" ht="24">
      <c r="A101" s="366">
        <v>6</v>
      </c>
      <c r="B101" s="366" t="s">
        <v>2337</v>
      </c>
      <c r="C101" s="367" t="s">
        <v>2338</v>
      </c>
      <c r="D101" s="379" t="s">
        <v>1248</v>
      </c>
      <c r="E101" s="394">
        <v>8620.02</v>
      </c>
      <c r="F101" s="394">
        <v>2823.9</v>
      </c>
    </row>
    <row r="102" spans="1:6" ht="24">
      <c r="A102" s="366">
        <v>6</v>
      </c>
      <c r="B102" s="366" t="s">
        <v>2339</v>
      </c>
      <c r="C102" s="367" t="s">
        <v>2340</v>
      </c>
      <c r="D102" s="379" t="s">
        <v>1248</v>
      </c>
      <c r="E102" s="394">
        <v>17820.05</v>
      </c>
      <c r="F102" s="394">
        <v>15799.27</v>
      </c>
    </row>
    <row r="103" spans="1:6">
      <c r="A103" s="377" t="s">
        <v>1966</v>
      </c>
      <c r="B103" s="363" t="s">
        <v>526</v>
      </c>
      <c r="C103" s="363" t="s">
        <v>2341</v>
      </c>
      <c r="D103" s="378"/>
      <c r="E103" s="391"/>
      <c r="F103" s="391"/>
    </row>
    <row r="104" spans="1:6">
      <c r="A104" s="377" t="s">
        <v>1968</v>
      </c>
      <c r="B104" s="363" t="s">
        <v>527</v>
      </c>
      <c r="C104" s="363" t="s">
        <v>2342</v>
      </c>
      <c r="D104" s="378"/>
      <c r="E104" s="391"/>
      <c r="F104" s="391"/>
    </row>
    <row r="105" spans="1:6">
      <c r="A105" s="377" t="s">
        <v>1970</v>
      </c>
      <c r="B105" s="363" t="s">
        <v>528</v>
      </c>
      <c r="C105" s="363" t="s">
        <v>2343</v>
      </c>
      <c r="D105" s="378"/>
      <c r="E105" s="391"/>
      <c r="F105" s="391"/>
    </row>
    <row r="106" spans="1:6">
      <c r="A106" s="377" t="s">
        <v>1972</v>
      </c>
      <c r="B106" s="363" t="s">
        <v>529</v>
      </c>
      <c r="C106" s="363" t="s">
        <v>1416</v>
      </c>
      <c r="D106" s="378"/>
      <c r="E106" s="391"/>
      <c r="F106" s="391"/>
    </row>
    <row r="107" spans="1:6">
      <c r="A107" s="377" t="s">
        <v>1975</v>
      </c>
      <c r="B107" s="363" t="s">
        <v>530</v>
      </c>
      <c r="C107" s="363" t="s">
        <v>1417</v>
      </c>
      <c r="D107" s="378"/>
      <c r="E107" s="391"/>
      <c r="F107" s="391"/>
    </row>
    <row r="108" spans="1:6">
      <c r="A108" s="366">
        <v>8</v>
      </c>
      <c r="B108" s="366" t="s">
        <v>2344</v>
      </c>
      <c r="C108" s="367" t="s">
        <v>2345</v>
      </c>
      <c r="D108" s="379"/>
      <c r="E108" s="394">
        <v>16265289.130000001</v>
      </c>
      <c r="F108" s="394">
        <v>17081775.559999999</v>
      </c>
    </row>
    <row r="109" spans="1:6">
      <c r="A109" s="366">
        <v>8</v>
      </c>
      <c r="B109" s="366" t="s">
        <v>2346</v>
      </c>
      <c r="C109" s="367" t="s">
        <v>2347</v>
      </c>
      <c r="D109" s="379"/>
      <c r="E109" s="394">
        <v>1256608.1599999999</v>
      </c>
      <c r="F109" s="394">
        <v>1256608.1599999999</v>
      </c>
    </row>
    <row r="110" spans="1:6">
      <c r="A110" s="366">
        <v>8</v>
      </c>
      <c r="B110" s="366" t="s">
        <v>2348</v>
      </c>
      <c r="C110" s="367" t="s">
        <v>2349</v>
      </c>
      <c r="D110" s="379"/>
      <c r="E110" s="394">
        <v>4810609.82</v>
      </c>
      <c r="F110" s="394">
        <v>4869180.29</v>
      </c>
    </row>
    <row r="111" spans="1:6">
      <c r="A111" s="366">
        <v>8</v>
      </c>
      <c r="B111" s="366" t="s">
        <v>2350</v>
      </c>
      <c r="C111" s="367" t="s">
        <v>2351</v>
      </c>
      <c r="D111" s="379"/>
      <c r="E111" s="394">
        <v>1625583</v>
      </c>
      <c r="F111" s="394">
        <v>1056286</v>
      </c>
    </row>
    <row r="112" spans="1:6">
      <c r="A112" s="366">
        <v>8</v>
      </c>
      <c r="B112" s="366" t="s">
        <v>2352</v>
      </c>
      <c r="C112" s="367" t="s">
        <v>2353</v>
      </c>
      <c r="D112" s="379"/>
      <c r="E112" s="394">
        <v>391910.51</v>
      </c>
      <c r="F112" s="394">
        <v>522007.85</v>
      </c>
    </row>
    <row r="113" spans="1:6">
      <c r="A113" s="366">
        <v>8</v>
      </c>
      <c r="B113" s="366" t="s">
        <v>2354</v>
      </c>
      <c r="C113" s="367" t="s">
        <v>2355</v>
      </c>
      <c r="D113" s="379"/>
      <c r="E113" s="394">
        <v>3708373.92</v>
      </c>
      <c r="F113" s="394">
        <v>3740352.19</v>
      </c>
    </row>
    <row r="114" spans="1:6">
      <c r="A114" s="366">
        <v>8</v>
      </c>
      <c r="B114" s="366" t="s">
        <v>2356</v>
      </c>
      <c r="C114" s="367" t="s">
        <v>2357</v>
      </c>
      <c r="D114" s="379"/>
      <c r="E114" s="394"/>
      <c r="F114" s="394"/>
    </row>
    <row r="115" spans="1:6">
      <c r="A115" s="366">
        <v>8</v>
      </c>
      <c r="B115" s="366" t="s">
        <v>2358</v>
      </c>
      <c r="C115" s="367" t="s">
        <v>2359</v>
      </c>
      <c r="D115" s="379"/>
      <c r="E115" s="394">
        <v>94255.07</v>
      </c>
      <c r="F115" s="394">
        <v>99336.11</v>
      </c>
    </row>
    <row r="116" spans="1:6">
      <c r="A116" s="366">
        <v>8</v>
      </c>
      <c r="B116" s="366" t="s">
        <v>2360</v>
      </c>
      <c r="C116" s="367" t="s">
        <v>2361</v>
      </c>
      <c r="D116" s="379"/>
      <c r="E116" s="394">
        <v>96641.7</v>
      </c>
      <c r="F116" s="394">
        <v>109713.52</v>
      </c>
    </row>
    <row r="117" spans="1:6">
      <c r="A117" s="366">
        <v>8</v>
      </c>
      <c r="B117" s="366" t="s">
        <v>2362</v>
      </c>
      <c r="C117" s="367" t="s">
        <v>2363</v>
      </c>
      <c r="D117" s="379"/>
      <c r="E117" s="394">
        <v>25431.21</v>
      </c>
      <c r="F117" s="394">
        <v>14708.15</v>
      </c>
    </row>
    <row r="118" spans="1:6">
      <c r="A118" s="366">
        <v>8</v>
      </c>
      <c r="B118" s="366" t="s">
        <v>2364</v>
      </c>
      <c r="C118" s="367" t="s">
        <v>2365</v>
      </c>
      <c r="D118" s="379"/>
      <c r="E118" s="394">
        <v>2923760</v>
      </c>
      <c r="F118" s="394">
        <v>2972483.21</v>
      </c>
    </row>
    <row r="119" spans="1:6">
      <c r="A119" s="377" t="s">
        <v>1975</v>
      </c>
      <c r="B119" s="363" t="s">
        <v>531</v>
      </c>
      <c r="C119" s="363" t="s">
        <v>1418</v>
      </c>
      <c r="D119" s="378"/>
      <c r="E119" s="391"/>
      <c r="F119" s="391"/>
    </row>
    <row r="120" spans="1:6">
      <c r="A120" s="366">
        <v>8</v>
      </c>
      <c r="B120" s="366" t="s">
        <v>2366</v>
      </c>
      <c r="C120" s="367" t="s">
        <v>2367</v>
      </c>
      <c r="D120" s="379"/>
      <c r="E120" s="394">
        <v>3397856.94</v>
      </c>
      <c r="F120" s="394">
        <v>3451541.37</v>
      </c>
    </row>
    <row r="121" spans="1:6">
      <c r="A121" s="366">
        <v>8</v>
      </c>
      <c r="B121" s="366" t="s">
        <v>2368</v>
      </c>
      <c r="C121" s="367" t="s">
        <v>2369</v>
      </c>
      <c r="D121" s="379"/>
      <c r="E121" s="394">
        <v>208475.73</v>
      </c>
      <c r="F121" s="394">
        <v>208475.73</v>
      </c>
    </row>
    <row r="122" spans="1:6">
      <c r="A122" s="366">
        <v>8</v>
      </c>
      <c r="B122" s="366" t="s">
        <v>2370</v>
      </c>
      <c r="C122" s="367" t="s">
        <v>2371</v>
      </c>
      <c r="D122" s="379"/>
      <c r="E122" s="394">
        <v>344895.46</v>
      </c>
      <c r="F122" s="394">
        <v>349055.66</v>
      </c>
    </row>
    <row r="123" spans="1:6">
      <c r="A123" s="366">
        <v>8</v>
      </c>
      <c r="B123" s="366" t="s">
        <v>2372</v>
      </c>
      <c r="C123" s="367" t="s">
        <v>2373</v>
      </c>
      <c r="D123" s="379"/>
      <c r="E123" s="394">
        <v>232336.32</v>
      </c>
      <c r="F123" s="394">
        <v>113048.32000000001</v>
      </c>
    </row>
    <row r="124" spans="1:6">
      <c r="A124" s="366">
        <v>8</v>
      </c>
      <c r="B124" s="366" t="s">
        <v>2374</v>
      </c>
      <c r="C124" s="367" t="s">
        <v>2375</v>
      </c>
      <c r="D124" s="379"/>
      <c r="E124" s="394">
        <v>329879.08</v>
      </c>
      <c r="F124" s="394">
        <v>306806.65999999997</v>
      </c>
    </row>
    <row r="125" spans="1:6">
      <c r="A125" s="366">
        <v>8</v>
      </c>
      <c r="B125" s="366" t="s">
        <v>2376</v>
      </c>
      <c r="C125" s="367" t="s">
        <v>2377</v>
      </c>
      <c r="D125" s="379"/>
      <c r="E125" s="394">
        <v>334028.83</v>
      </c>
      <c r="F125" s="394">
        <v>313731.68</v>
      </c>
    </row>
    <row r="126" spans="1:6">
      <c r="A126" s="366">
        <v>8</v>
      </c>
      <c r="B126" s="366" t="s">
        <v>2378</v>
      </c>
      <c r="C126" s="367" t="s">
        <v>2379</v>
      </c>
      <c r="D126" s="379"/>
      <c r="E126" s="394"/>
      <c r="F126" s="394"/>
    </row>
    <row r="127" spans="1:6">
      <c r="A127" s="366">
        <v>8</v>
      </c>
      <c r="B127" s="366" t="s">
        <v>2380</v>
      </c>
      <c r="C127" s="367" t="s">
        <v>2381</v>
      </c>
      <c r="D127" s="379"/>
      <c r="E127" s="394"/>
      <c r="F127" s="394"/>
    </row>
    <row r="128" spans="1:6">
      <c r="A128" s="366">
        <v>8</v>
      </c>
      <c r="B128" s="366" t="s">
        <v>2382</v>
      </c>
      <c r="C128" s="367" t="s">
        <v>2383</v>
      </c>
      <c r="D128" s="379"/>
      <c r="E128" s="394">
        <v>18221.43</v>
      </c>
      <c r="F128" s="394">
        <v>17688.3</v>
      </c>
    </row>
    <row r="129" spans="1:7" s="261" customFormat="1">
      <c r="A129" s="366">
        <v>8</v>
      </c>
      <c r="B129" s="366" t="s">
        <v>2384</v>
      </c>
      <c r="C129" s="367" t="s">
        <v>2385</v>
      </c>
      <c r="D129" s="379"/>
      <c r="E129" s="394">
        <v>640</v>
      </c>
      <c r="F129" s="394">
        <v>640</v>
      </c>
      <c r="G129"/>
    </row>
    <row r="130" spans="1:7">
      <c r="A130" s="366">
        <v>8</v>
      </c>
      <c r="B130" s="366" t="s">
        <v>2386</v>
      </c>
      <c r="C130" s="367" t="s">
        <v>2387</v>
      </c>
      <c r="D130" s="379"/>
      <c r="E130" s="394">
        <v>455855.51</v>
      </c>
      <c r="F130" s="394">
        <v>446342.59</v>
      </c>
    </row>
    <row r="131" spans="1:7">
      <c r="A131" s="377" t="s">
        <v>1975</v>
      </c>
      <c r="B131" s="363" t="s">
        <v>532</v>
      </c>
      <c r="C131" s="363" t="s">
        <v>1419</v>
      </c>
      <c r="D131" s="378"/>
      <c r="E131" s="391"/>
      <c r="F131" s="391"/>
    </row>
    <row r="132" spans="1:7" ht="24">
      <c r="A132" s="366">
        <v>8</v>
      </c>
      <c r="B132" s="366" t="s">
        <v>2388</v>
      </c>
      <c r="C132" s="367" t="s">
        <v>533</v>
      </c>
      <c r="D132" s="379"/>
      <c r="E132" s="394">
        <v>1530409.61</v>
      </c>
      <c r="F132" s="394">
        <v>1394794.54</v>
      </c>
    </row>
    <row r="133" spans="1:7">
      <c r="A133" s="366">
        <v>8</v>
      </c>
      <c r="B133" s="366" t="s">
        <v>2389</v>
      </c>
      <c r="C133" s="367" t="s">
        <v>534</v>
      </c>
      <c r="D133" s="379"/>
      <c r="E133" s="394">
        <v>227439.95</v>
      </c>
      <c r="F133" s="394">
        <v>385068.91</v>
      </c>
    </row>
    <row r="134" spans="1:7">
      <c r="A134" s="366">
        <v>8</v>
      </c>
      <c r="B134" s="366" t="s">
        <v>2390</v>
      </c>
      <c r="C134" s="367" t="s">
        <v>535</v>
      </c>
      <c r="D134" s="379"/>
      <c r="E134" s="394">
        <v>59383.72</v>
      </c>
      <c r="F134" s="394"/>
    </row>
    <row r="135" spans="1:7" ht="24">
      <c r="A135" s="366">
        <v>8</v>
      </c>
      <c r="B135" s="366" t="s">
        <v>2391</v>
      </c>
      <c r="C135" s="367" t="s">
        <v>536</v>
      </c>
      <c r="D135" s="379"/>
      <c r="E135" s="394">
        <v>361004.03</v>
      </c>
      <c r="F135" s="394">
        <v>441612.98</v>
      </c>
    </row>
    <row r="136" spans="1:7" ht="24">
      <c r="A136" s="366">
        <v>8</v>
      </c>
      <c r="B136" s="366" t="s">
        <v>2392</v>
      </c>
      <c r="C136" s="367" t="s">
        <v>537</v>
      </c>
      <c r="D136" s="379"/>
      <c r="E136" s="394">
        <v>84448.47</v>
      </c>
      <c r="F136" s="394">
        <v>149903.87</v>
      </c>
    </row>
    <row r="137" spans="1:7" ht="24">
      <c r="A137" s="366">
        <v>8</v>
      </c>
      <c r="B137" s="366" t="s">
        <v>2393</v>
      </c>
      <c r="C137" s="367" t="s">
        <v>538</v>
      </c>
      <c r="D137" s="379"/>
      <c r="E137" s="394">
        <v>1200</v>
      </c>
      <c r="F137" s="394"/>
    </row>
    <row r="138" spans="1:7" s="261" customFormat="1" ht="24">
      <c r="A138" s="366">
        <v>8</v>
      </c>
      <c r="B138" s="366" t="s">
        <v>2394</v>
      </c>
      <c r="C138" s="367" t="s">
        <v>539</v>
      </c>
      <c r="D138" s="379"/>
      <c r="E138" s="394"/>
      <c r="F138" s="394"/>
      <c r="G138"/>
    </row>
    <row r="139" spans="1:7">
      <c r="A139" s="366">
        <v>8</v>
      </c>
      <c r="B139" s="366" t="s">
        <v>2395</v>
      </c>
      <c r="C139" s="367" t="s">
        <v>2396</v>
      </c>
      <c r="D139" s="379"/>
      <c r="E139" s="394">
        <v>1177044.78</v>
      </c>
      <c r="F139" s="394">
        <v>664215.43000000005</v>
      </c>
    </row>
    <row r="140" spans="1:7" ht="24">
      <c r="A140" s="366">
        <v>8</v>
      </c>
      <c r="B140" s="366" t="s">
        <v>2397</v>
      </c>
      <c r="C140" s="367" t="s">
        <v>540</v>
      </c>
      <c r="D140" s="379"/>
      <c r="E140" s="394">
        <v>14002.11</v>
      </c>
      <c r="F140" s="394">
        <v>16145.49</v>
      </c>
    </row>
    <row r="141" spans="1:7" ht="24">
      <c r="A141" s="366">
        <v>8</v>
      </c>
      <c r="B141" s="366" t="s">
        <v>2398</v>
      </c>
      <c r="C141" s="367" t="s">
        <v>541</v>
      </c>
      <c r="D141" s="379"/>
      <c r="E141" s="394">
        <v>1553.3</v>
      </c>
      <c r="F141" s="394">
        <v>3008.41</v>
      </c>
    </row>
    <row r="142" spans="1:7" ht="24">
      <c r="A142" s="366">
        <v>8</v>
      </c>
      <c r="B142" s="366" t="s">
        <v>2399</v>
      </c>
      <c r="C142" s="367" t="s">
        <v>542</v>
      </c>
      <c r="D142" s="379"/>
      <c r="E142" s="394">
        <v>169.09</v>
      </c>
      <c r="F142" s="394"/>
    </row>
    <row r="143" spans="1:7">
      <c r="A143" s="366">
        <v>8</v>
      </c>
      <c r="B143" s="366" t="s">
        <v>2400</v>
      </c>
      <c r="C143" s="367" t="s">
        <v>543</v>
      </c>
      <c r="D143" s="379"/>
      <c r="E143" s="394">
        <v>234769.81</v>
      </c>
      <c r="F143" s="394">
        <v>232494.69</v>
      </c>
    </row>
    <row r="144" spans="1:7">
      <c r="A144" s="366">
        <v>8</v>
      </c>
      <c r="B144" s="366" t="s">
        <v>2401</v>
      </c>
      <c r="C144" s="367" t="s">
        <v>544</v>
      </c>
      <c r="D144" s="379"/>
      <c r="E144" s="394">
        <v>25197.88</v>
      </c>
      <c r="F144" s="394">
        <v>40752.6</v>
      </c>
    </row>
    <row r="145" spans="1:6">
      <c r="A145" s="366">
        <v>8</v>
      </c>
      <c r="B145" s="366" t="s">
        <v>2402</v>
      </c>
      <c r="C145" s="367" t="s">
        <v>545</v>
      </c>
      <c r="D145" s="379"/>
      <c r="E145" s="394">
        <v>2432.17</v>
      </c>
      <c r="F145" s="394"/>
    </row>
    <row r="146" spans="1:6" ht="25.5">
      <c r="A146" s="377" t="s">
        <v>1975</v>
      </c>
      <c r="B146" s="363" t="s">
        <v>546</v>
      </c>
      <c r="C146" s="363" t="s">
        <v>1420</v>
      </c>
      <c r="D146" s="378"/>
      <c r="E146" s="391"/>
      <c r="F146" s="391"/>
    </row>
    <row r="147" spans="1:6">
      <c r="A147" s="366">
        <v>8</v>
      </c>
      <c r="B147" s="366" t="s">
        <v>2403</v>
      </c>
      <c r="C147" s="367" t="s">
        <v>2404</v>
      </c>
      <c r="D147" s="379"/>
      <c r="E147" s="394">
        <v>391960.15</v>
      </c>
      <c r="F147" s="394">
        <v>379223.26</v>
      </c>
    </row>
    <row r="148" spans="1:6" ht="24">
      <c r="A148" s="366">
        <v>8</v>
      </c>
      <c r="B148" s="366" t="s">
        <v>2405</v>
      </c>
      <c r="C148" s="367" t="s">
        <v>2406</v>
      </c>
      <c r="D148" s="379"/>
      <c r="E148" s="394">
        <v>46946.64</v>
      </c>
      <c r="F148" s="394">
        <v>46946.64</v>
      </c>
    </row>
    <row r="149" spans="1:6" ht="24">
      <c r="A149" s="366">
        <v>8</v>
      </c>
      <c r="B149" s="366" t="s">
        <v>2407</v>
      </c>
      <c r="C149" s="367" t="s">
        <v>2408</v>
      </c>
      <c r="D149" s="379"/>
      <c r="E149" s="394">
        <v>3737.56</v>
      </c>
      <c r="F149" s="394">
        <v>4884.63</v>
      </c>
    </row>
    <row r="150" spans="1:6" ht="24">
      <c r="A150" s="366">
        <v>8</v>
      </c>
      <c r="B150" s="366" t="s">
        <v>2409</v>
      </c>
      <c r="C150" s="367" t="s">
        <v>2410</v>
      </c>
      <c r="D150" s="379"/>
      <c r="E150" s="394">
        <v>41795.449999999997</v>
      </c>
      <c r="F150" s="394">
        <v>41940.370000000003</v>
      </c>
    </row>
    <row r="151" spans="1:6" ht="24">
      <c r="A151" s="366">
        <v>8</v>
      </c>
      <c r="B151" s="366" t="s">
        <v>2411</v>
      </c>
      <c r="C151" s="367" t="s">
        <v>2412</v>
      </c>
      <c r="D151" s="379"/>
      <c r="E151" s="394">
        <v>25.46</v>
      </c>
      <c r="F151" s="394"/>
    </row>
    <row r="152" spans="1:6">
      <c r="A152" s="366">
        <v>8</v>
      </c>
      <c r="B152" s="366" t="s">
        <v>2413</v>
      </c>
      <c r="C152" s="367" t="s">
        <v>2414</v>
      </c>
      <c r="D152" s="379"/>
      <c r="E152" s="394"/>
      <c r="F152" s="394">
        <v>33.1</v>
      </c>
    </row>
    <row r="153" spans="1:6">
      <c r="A153" s="366">
        <v>8</v>
      </c>
      <c r="B153" s="366" t="s">
        <v>2415</v>
      </c>
      <c r="C153" s="367" t="s">
        <v>2416</v>
      </c>
      <c r="D153" s="379"/>
      <c r="E153" s="394">
        <v>68022.38</v>
      </c>
      <c r="F153" s="394">
        <v>66819.95</v>
      </c>
    </row>
    <row r="154" spans="1:6">
      <c r="A154" s="366">
        <v>8</v>
      </c>
      <c r="B154" s="366" t="s">
        <v>2417</v>
      </c>
      <c r="C154" s="367" t="s">
        <v>547</v>
      </c>
      <c r="D154" s="379"/>
      <c r="E154" s="394"/>
      <c r="F154" s="394"/>
    </row>
    <row r="155" spans="1:6" ht="25.5">
      <c r="A155" s="377" t="s">
        <v>1972</v>
      </c>
      <c r="B155" s="363" t="s">
        <v>548</v>
      </c>
      <c r="C155" s="363" t="s">
        <v>1421</v>
      </c>
      <c r="D155" s="378" t="s">
        <v>1248</v>
      </c>
      <c r="E155" s="391"/>
      <c r="F155" s="391"/>
    </row>
    <row r="156" spans="1:6" ht="24">
      <c r="A156" s="366" t="s">
        <v>1975</v>
      </c>
      <c r="B156" s="366" t="s">
        <v>2418</v>
      </c>
      <c r="C156" s="367" t="s">
        <v>2419</v>
      </c>
      <c r="D156" s="379" t="s">
        <v>1248</v>
      </c>
      <c r="E156" s="394"/>
      <c r="F156" s="394"/>
    </row>
    <row r="157" spans="1:6" ht="25.5">
      <c r="A157" s="377" t="s">
        <v>1972</v>
      </c>
      <c r="B157" s="363" t="s">
        <v>549</v>
      </c>
      <c r="C157" s="363" t="s">
        <v>1422</v>
      </c>
      <c r="D157" s="378"/>
      <c r="E157" s="391"/>
      <c r="F157" s="391"/>
    </row>
    <row r="158" spans="1:6" ht="24">
      <c r="A158" s="366" t="s">
        <v>1975</v>
      </c>
      <c r="B158" s="366" t="s">
        <v>2420</v>
      </c>
      <c r="C158" s="367" t="s">
        <v>2421</v>
      </c>
      <c r="D158" s="379"/>
      <c r="E158" s="394">
        <v>157238.15</v>
      </c>
      <c r="F158" s="394">
        <v>120278.15</v>
      </c>
    </row>
    <row r="159" spans="1:6">
      <c r="A159" s="377" t="s">
        <v>1970</v>
      </c>
      <c r="B159" s="363" t="s">
        <v>550</v>
      </c>
      <c r="C159" s="363" t="s">
        <v>2422</v>
      </c>
      <c r="D159" s="378"/>
      <c r="E159" s="391"/>
      <c r="F159" s="391"/>
    </row>
    <row r="160" spans="1:6">
      <c r="A160" s="377" t="s">
        <v>1972</v>
      </c>
      <c r="B160" s="363" t="s">
        <v>551</v>
      </c>
      <c r="C160" s="363" t="s">
        <v>1424</v>
      </c>
      <c r="D160" s="378"/>
      <c r="E160" s="391"/>
      <c r="F160" s="391"/>
    </row>
    <row r="161" spans="1:6">
      <c r="A161" s="366">
        <v>7</v>
      </c>
      <c r="B161" s="366" t="s">
        <v>2423</v>
      </c>
      <c r="C161" s="367" t="s">
        <v>552</v>
      </c>
      <c r="D161" s="379"/>
      <c r="E161" s="394">
        <v>48657170.189999998</v>
      </c>
      <c r="F161" s="394">
        <v>48640066.759999998</v>
      </c>
    </row>
    <row r="162" spans="1:6">
      <c r="A162" s="366">
        <v>7</v>
      </c>
      <c r="B162" s="366" t="s">
        <v>2424</v>
      </c>
      <c r="C162" s="367" t="s">
        <v>553</v>
      </c>
      <c r="D162" s="379"/>
      <c r="E162" s="394">
        <v>47046.22</v>
      </c>
      <c r="F162" s="394">
        <v>47004.14</v>
      </c>
    </row>
    <row r="163" spans="1:6" ht="25.5">
      <c r="A163" s="377" t="s">
        <v>1972</v>
      </c>
      <c r="B163" s="363" t="s">
        <v>554</v>
      </c>
      <c r="C163" s="363" t="s">
        <v>1425</v>
      </c>
      <c r="D163" s="378" t="s">
        <v>1248</v>
      </c>
      <c r="E163" s="391"/>
      <c r="F163" s="391"/>
    </row>
    <row r="164" spans="1:6" ht="24">
      <c r="A164" s="366" t="s">
        <v>1975</v>
      </c>
      <c r="B164" s="366" t="s">
        <v>2425</v>
      </c>
      <c r="C164" s="367" t="s">
        <v>2426</v>
      </c>
      <c r="D164" s="379" t="s">
        <v>1248</v>
      </c>
      <c r="E164" s="394"/>
      <c r="F164" s="394"/>
    </row>
    <row r="165" spans="1:6">
      <c r="A165" s="377" t="s">
        <v>1972</v>
      </c>
      <c r="B165" s="363" t="s">
        <v>555</v>
      </c>
      <c r="C165" s="363" t="s">
        <v>1426</v>
      </c>
      <c r="D165" s="378"/>
      <c r="E165" s="391"/>
      <c r="F165" s="391"/>
    </row>
    <row r="166" spans="1:6">
      <c r="A166" s="366" t="s">
        <v>1975</v>
      </c>
      <c r="B166" s="366" t="s">
        <v>2427</v>
      </c>
      <c r="C166" s="367" t="s">
        <v>2428</v>
      </c>
      <c r="D166" s="379"/>
      <c r="E166" s="394">
        <v>175452.99</v>
      </c>
      <c r="F166" s="394">
        <v>170751.48</v>
      </c>
    </row>
    <row r="167" spans="1:6" ht="25.5">
      <c r="A167" s="377" t="s">
        <v>1970</v>
      </c>
      <c r="B167" s="363" t="s">
        <v>556</v>
      </c>
      <c r="C167" s="363" t="s">
        <v>2429</v>
      </c>
      <c r="D167" s="378"/>
      <c r="E167" s="391"/>
      <c r="F167" s="391"/>
    </row>
    <row r="168" spans="1:6" ht="25.5">
      <c r="A168" s="377" t="s">
        <v>1972</v>
      </c>
      <c r="B168" s="363" t="s">
        <v>557</v>
      </c>
      <c r="C168" s="363" t="s">
        <v>1428</v>
      </c>
      <c r="D168" s="378" t="s">
        <v>1248</v>
      </c>
      <c r="E168" s="391"/>
      <c r="F168" s="391"/>
    </row>
    <row r="169" spans="1:6">
      <c r="A169" s="366">
        <v>7</v>
      </c>
      <c r="B169" s="366" t="s">
        <v>2430</v>
      </c>
      <c r="C169" s="367" t="s">
        <v>558</v>
      </c>
      <c r="D169" s="379" t="s">
        <v>1248</v>
      </c>
      <c r="E169" s="394">
        <v>9678040.5</v>
      </c>
      <c r="F169" s="394">
        <v>10194900.470000001</v>
      </c>
    </row>
    <row r="170" spans="1:6" ht="24">
      <c r="A170" s="366">
        <v>7</v>
      </c>
      <c r="B170" s="366" t="s">
        <v>2431</v>
      </c>
      <c r="C170" s="367" t="s">
        <v>559</v>
      </c>
      <c r="D170" s="379" t="s">
        <v>1248</v>
      </c>
      <c r="E170" s="394">
        <v>1727236.93</v>
      </c>
      <c r="F170" s="394">
        <v>1383153.84</v>
      </c>
    </row>
    <row r="171" spans="1:6" ht="38.25">
      <c r="A171" s="377" t="s">
        <v>1972</v>
      </c>
      <c r="B171" s="363" t="s">
        <v>561</v>
      </c>
      <c r="C171" s="363" t="s">
        <v>2432</v>
      </c>
      <c r="D171" s="378" t="s">
        <v>1248</v>
      </c>
      <c r="E171" s="391"/>
      <c r="F171" s="391"/>
    </row>
    <row r="172" spans="1:6" ht="24">
      <c r="A172" s="366" t="s">
        <v>1975</v>
      </c>
      <c r="B172" s="366" t="s">
        <v>2433</v>
      </c>
      <c r="C172" s="367" t="s">
        <v>560</v>
      </c>
      <c r="D172" s="379" t="s">
        <v>1248</v>
      </c>
      <c r="E172" s="394"/>
      <c r="F172" s="394"/>
    </row>
    <row r="173" spans="1:6" ht="38.25">
      <c r="A173" s="377" t="s">
        <v>1972</v>
      </c>
      <c r="B173" s="363" t="s">
        <v>562</v>
      </c>
      <c r="C173" s="363" t="s">
        <v>2434</v>
      </c>
      <c r="D173" s="378"/>
      <c r="E173" s="391"/>
      <c r="F173" s="391"/>
    </row>
    <row r="174" spans="1:6" ht="24">
      <c r="A174" s="366" t="s">
        <v>1975</v>
      </c>
      <c r="B174" s="366" t="s">
        <v>2435</v>
      </c>
      <c r="C174" s="367" t="s">
        <v>2436</v>
      </c>
      <c r="D174" s="379"/>
      <c r="E174" s="394"/>
      <c r="F174" s="394"/>
    </row>
    <row r="175" spans="1:6" ht="25.5">
      <c r="A175" s="377" t="s">
        <v>1972</v>
      </c>
      <c r="B175" s="363" t="s">
        <v>564</v>
      </c>
      <c r="C175" s="363" t="s">
        <v>2437</v>
      </c>
      <c r="D175" s="378"/>
      <c r="E175" s="391"/>
      <c r="F175" s="391"/>
    </row>
    <row r="176" spans="1:6" ht="24">
      <c r="A176" s="366" t="s">
        <v>1975</v>
      </c>
      <c r="B176" s="366" t="s">
        <v>2438</v>
      </c>
      <c r="C176" s="367" t="s">
        <v>563</v>
      </c>
      <c r="D176" s="379"/>
      <c r="E176" s="394"/>
      <c r="F176" s="394"/>
    </row>
    <row r="177" spans="1:6">
      <c r="A177" s="377" t="s">
        <v>1972</v>
      </c>
      <c r="B177" s="363" t="s">
        <v>565</v>
      </c>
      <c r="C177" s="363" t="s">
        <v>1432</v>
      </c>
      <c r="D177" s="378"/>
      <c r="E177" s="391"/>
      <c r="F177" s="391"/>
    </row>
    <row r="178" spans="1:6" ht="24">
      <c r="A178" s="366">
        <v>7</v>
      </c>
      <c r="B178" s="366" t="s">
        <v>2439</v>
      </c>
      <c r="C178" s="367" t="s">
        <v>566</v>
      </c>
      <c r="D178" s="379"/>
      <c r="E178" s="394">
        <v>5170591.87</v>
      </c>
      <c r="F178" s="394">
        <v>3988383.87</v>
      </c>
    </row>
    <row r="179" spans="1:6" ht="25.5">
      <c r="A179" s="377" t="s">
        <v>1972</v>
      </c>
      <c r="B179" s="363" t="s">
        <v>569</v>
      </c>
      <c r="C179" s="363" t="s">
        <v>2440</v>
      </c>
      <c r="D179" s="378"/>
      <c r="E179" s="391"/>
      <c r="F179" s="391"/>
    </row>
    <row r="180" spans="1:6" ht="24">
      <c r="A180" s="366" t="s">
        <v>1975</v>
      </c>
      <c r="B180" s="366" t="s">
        <v>2441</v>
      </c>
      <c r="C180" s="367" t="s">
        <v>568</v>
      </c>
      <c r="D180" s="379"/>
      <c r="E180" s="394"/>
      <c r="F180" s="394"/>
    </row>
    <row r="181" spans="1:6">
      <c r="A181" s="377" t="s">
        <v>1972</v>
      </c>
      <c r="B181" s="363" t="s">
        <v>570</v>
      </c>
      <c r="C181" s="363" t="s">
        <v>1434</v>
      </c>
      <c r="D181" s="378"/>
      <c r="E181" s="391"/>
      <c r="F181" s="391"/>
    </row>
    <row r="182" spans="1:6">
      <c r="A182" s="366">
        <v>7</v>
      </c>
      <c r="B182" s="366" t="s">
        <v>2442</v>
      </c>
      <c r="C182" s="367" t="s">
        <v>2443</v>
      </c>
      <c r="D182" s="379"/>
      <c r="E182" s="394">
        <v>1368018.61</v>
      </c>
      <c r="F182" s="394">
        <v>1654188.73</v>
      </c>
    </row>
    <row r="183" spans="1:6">
      <c r="A183" s="366">
        <v>7</v>
      </c>
      <c r="B183" s="366" t="s">
        <v>2444</v>
      </c>
      <c r="C183" s="367" t="s">
        <v>2445</v>
      </c>
      <c r="D183" s="379"/>
      <c r="E183" s="394">
        <v>375159.94</v>
      </c>
      <c r="F183" s="394">
        <v>375159.94</v>
      </c>
    </row>
    <row r="184" spans="1:6">
      <c r="A184" s="366">
        <v>7</v>
      </c>
      <c r="B184" s="366" t="s">
        <v>2446</v>
      </c>
      <c r="C184" s="367" t="s">
        <v>2447</v>
      </c>
      <c r="D184" s="379"/>
      <c r="E184" s="394"/>
      <c r="F184" s="394"/>
    </row>
    <row r="185" spans="1:6">
      <c r="A185" s="366">
        <v>7</v>
      </c>
      <c r="B185" s="366" t="s">
        <v>2448</v>
      </c>
      <c r="C185" s="367" t="s">
        <v>2449</v>
      </c>
      <c r="D185" s="379"/>
      <c r="E185" s="394">
        <v>168707.74</v>
      </c>
      <c r="F185" s="394">
        <v>172775.94</v>
      </c>
    </row>
    <row r="186" spans="1:6">
      <c r="A186" s="366">
        <v>7</v>
      </c>
      <c r="B186" s="366" t="s">
        <v>2450</v>
      </c>
      <c r="C186" s="367" t="s">
        <v>2451</v>
      </c>
      <c r="D186" s="379"/>
      <c r="E186" s="394">
        <v>478.14</v>
      </c>
      <c r="F186" s="394">
        <v>295.14999999999998</v>
      </c>
    </row>
    <row r="187" spans="1:6">
      <c r="A187" s="366">
        <v>7</v>
      </c>
      <c r="B187" s="366" t="s">
        <v>2452</v>
      </c>
      <c r="C187" s="367" t="s">
        <v>2453</v>
      </c>
      <c r="D187" s="379"/>
      <c r="E187" s="394"/>
      <c r="F187" s="394">
        <v>32.799999999999997</v>
      </c>
    </row>
    <row r="188" spans="1:6">
      <c r="A188" s="366">
        <v>7</v>
      </c>
      <c r="B188" s="366" t="s">
        <v>2454</v>
      </c>
      <c r="C188" s="367" t="s">
        <v>2455</v>
      </c>
      <c r="D188" s="379"/>
      <c r="E188" s="394">
        <v>267262.69</v>
      </c>
      <c r="F188" s="394">
        <v>307514.28000000003</v>
      </c>
    </row>
    <row r="189" spans="1:6">
      <c r="A189" s="377" t="s">
        <v>1972</v>
      </c>
      <c r="B189" s="363" t="s">
        <v>571</v>
      </c>
      <c r="C189" s="363" t="s">
        <v>1435</v>
      </c>
      <c r="D189" s="378"/>
      <c r="E189" s="391"/>
      <c r="F189" s="391"/>
    </row>
    <row r="190" spans="1:6" ht="25.5">
      <c r="A190" s="377" t="s">
        <v>1975</v>
      </c>
      <c r="B190" s="363" t="s">
        <v>573</v>
      </c>
      <c r="C190" s="363" t="s">
        <v>1436</v>
      </c>
      <c r="D190" s="378"/>
      <c r="E190" s="391"/>
      <c r="F190" s="391"/>
    </row>
    <row r="191" spans="1:6" ht="24">
      <c r="A191" s="366" t="s">
        <v>2091</v>
      </c>
      <c r="B191" s="366" t="s">
        <v>2456</v>
      </c>
      <c r="C191" s="367" t="s">
        <v>572</v>
      </c>
      <c r="D191" s="379"/>
      <c r="E191" s="394"/>
      <c r="F191" s="394"/>
    </row>
    <row r="192" spans="1:6" ht="38.25">
      <c r="A192" s="377" t="s">
        <v>1975</v>
      </c>
      <c r="B192" s="363" t="s">
        <v>574</v>
      </c>
      <c r="C192" s="363" t="s">
        <v>2457</v>
      </c>
      <c r="D192" s="378"/>
      <c r="E192" s="391"/>
      <c r="F192" s="391"/>
    </row>
    <row r="193" spans="1:6" ht="24">
      <c r="A193" s="366" t="s">
        <v>2091</v>
      </c>
      <c r="B193" s="366" t="s">
        <v>2458</v>
      </c>
      <c r="C193" s="367" t="s">
        <v>2459</v>
      </c>
      <c r="D193" s="379"/>
      <c r="E193" s="394"/>
      <c r="F193" s="394"/>
    </row>
    <row r="194" spans="1:6" ht="25.5">
      <c r="A194" s="377" t="s">
        <v>1975</v>
      </c>
      <c r="B194" s="363" t="s">
        <v>576</v>
      </c>
      <c r="C194" s="363" t="s">
        <v>1438</v>
      </c>
      <c r="D194" s="378"/>
      <c r="E194" s="391"/>
      <c r="F194" s="391"/>
    </row>
    <row r="195" spans="1:6" ht="24">
      <c r="A195" s="366" t="s">
        <v>2091</v>
      </c>
      <c r="B195" s="366" t="s">
        <v>2460</v>
      </c>
      <c r="C195" s="367" t="s">
        <v>575</v>
      </c>
      <c r="D195" s="379"/>
      <c r="E195" s="394"/>
      <c r="F195" s="394"/>
    </row>
    <row r="196" spans="1:6" ht="38.25">
      <c r="A196" s="377" t="s">
        <v>1975</v>
      </c>
      <c r="B196" s="363" t="s">
        <v>578</v>
      </c>
      <c r="C196" s="363" t="s">
        <v>2461</v>
      </c>
      <c r="D196" s="378"/>
      <c r="E196" s="391"/>
      <c r="F196" s="391"/>
    </row>
    <row r="197" spans="1:6" ht="24">
      <c r="A197" s="366" t="s">
        <v>2091</v>
      </c>
      <c r="B197" s="366" t="s">
        <v>2462</v>
      </c>
      <c r="C197" s="367" t="s">
        <v>577</v>
      </c>
      <c r="D197" s="379"/>
      <c r="E197" s="394"/>
      <c r="F197" s="394"/>
    </row>
    <row r="198" spans="1:6" ht="25.5">
      <c r="A198" s="377" t="s">
        <v>1975</v>
      </c>
      <c r="B198" s="363" t="s">
        <v>580</v>
      </c>
      <c r="C198" s="363" t="s">
        <v>1440</v>
      </c>
      <c r="D198" s="378"/>
      <c r="E198" s="391"/>
      <c r="F198" s="391"/>
    </row>
    <row r="199" spans="1:6" ht="24">
      <c r="A199" s="366" t="s">
        <v>2091</v>
      </c>
      <c r="B199" s="366" t="s">
        <v>2463</v>
      </c>
      <c r="C199" s="367" t="s">
        <v>579</v>
      </c>
      <c r="D199" s="379"/>
      <c r="E199" s="394">
        <v>16860661.030000001</v>
      </c>
      <c r="F199" s="394">
        <v>15293091.1</v>
      </c>
    </row>
    <row r="200" spans="1:6" ht="25.5">
      <c r="A200" s="377" t="s">
        <v>1975</v>
      </c>
      <c r="B200" s="363" t="s">
        <v>582</v>
      </c>
      <c r="C200" s="363" t="s">
        <v>2464</v>
      </c>
      <c r="D200" s="378"/>
      <c r="E200" s="391"/>
      <c r="F200" s="391"/>
    </row>
    <row r="201" spans="1:6" ht="24">
      <c r="A201" s="366" t="s">
        <v>2091</v>
      </c>
      <c r="B201" s="366" t="s">
        <v>2465</v>
      </c>
      <c r="C201" s="367" t="s">
        <v>581</v>
      </c>
      <c r="D201" s="379"/>
      <c r="E201" s="394"/>
      <c r="F201" s="394"/>
    </row>
    <row r="202" spans="1:6" ht="25.5">
      <c r="A202" s="377" t="s">
        <v>1975</v>
      </c>
      <c r="B202" s="363" t="s">
        <v>584</v>
      </c>
      <c r="C202" s="363" t="s">
        <v>1442</v>
      </c>
      <c r="D202" s="378"/>
      <c r="E202" s="391"/>
      <c r="F202" s="391"/>
    </row>
    <row r="203" spans="1:6">
      <c r="A203" s="366" t="s">
        <v>2091</v>
      </c>
      <c r="B203" s="366" t="s">
        <v>2466</v>
      </c>
      <c r="C203" s="367" t="s">
        <v>583</v>
      </c>
      <c r="D203" s="379"/>
      <c r="E203" s="394">
        <v>5566124.29</v>
      </c>
      <c r="F203" s="394">
        <v>5671653.6500000004</v>
      </c>
    </row>
    <row r="204" spans="1:6" ht="25.5">
      <c r="A204" s="377" t="s">
        <v>1975</v>
      </c>
      <c r="B204" s="363" t="s">
        <v>586</v>
      </c>
      <c r="C204" s="363" t="s">
        <v>2467</v>
      </c>
      <c r="D204" s="378"/>
      <c r="E204" s="391"/>
      <c r="F204" s="391"/>
    </row>
    <row r="205" spans="1:6" ht="24">
      <c r="A205" s="366" t="s">
        <v>2091</v>
      </c>
      <c r="B205" s="366" t="s">
        <v>2468</v>
      </c>
      <c r="C205" s="367" t="s">
        <v>585</v>
      </c>
      <c r="D205" s="379"/>
      <c r="E205" s="394"/>
      <c r="F205" s="394"/>
    </row>
    <row r="206" spans="1:6" ht="25.5">
      <c r="A206" s="377" t="s">
        <v>1972</v>
      </c>
      <c r="B206" s="363" t="s">
        <v>587</v>
      </c>
      <c r="C206" s="363" t="s">
        <v>1444</v>
      </c>
      <c r="D206" s="378"/>
      <c r="E206" s="391"/>
      <c r="F206" s="391"/>
    </row>
    <row r="207" spans="1:6" ht="36">
      <c r="A207" s="366" t="s">
        <v>1975</v>
      </c>
      <c r="B207" s="366" t="s">
        <v>2469</v>
      </c>
      <c r="C207" s="367" t="s">
        <v>2470</v>
      </c>
      <c r="D207" s="379"/>
      <c r="E207" s="394">
        <v>110178.51</v>
      </c>
      <c r="F207" s="394">
        <v>113798.22</v>
      </c>
    </row>
    <row r="208" spans="1:6" ht="51">
      <c r="A208" s="377" t="s">
        <v>1972</v>
      </c>
      <c r="B208" s="363" t="s">
        <v>589</v>
      </c>
      <c r="C208" s="363" t="s">
        <v>2471</v>
      </c>
      <c r="D208" s="378"/>
      <c r="E208" s="391"/>
      <c r="F208" s="391"/>
    </row>
    <row r="209" spans="1:6" ht="36">
      <c r="A209" s="366" t="s">
        <v>1975</v>
      </c>
      <c r="B209" s="366" t="s">
        <v>2472</v>
      </c>
      <c r="C209" s="367" t="s">
        <v>588</v>
      </c>
      <c r="D209" s="379"/>
      <c r="E209" s="394"/>
      <c r="F209" s="394"/>
    </row>
    <row r="210" spans="1:6">
      <c r="A210" s="377" t="s">
        <v>1970</v>
      </c>
      <c r="B210" s="363" t="s">
        <v>590</v>
      </c>
      <c r="C210" s="363" t="s">
        <v>2473</v>
      </c>
      <c r="D210" s="378"/>
      <c r="E210" s="391"/>
      <c r="F210" s="391"/>
    </row>
    <row r="211" spans="1:6" ht="25.5">
      <c r="A211" s="377" t="s">
        <v>1972</v>
      </c>
      <c r="B211" s="363" t="s">
        <v>591</v>
      </c>
      <c r="C211" s="363" t="s">
        <v>1447</v>
      </c>
      <c r="D211" s="378" t="s">
        <v>1248</v>
      </c>
      <c r="E211" s="391"/>
      <c r="F211" s="391"/>
    </row>
    <row r="212" spans="1:6" ht="24">
      <c r="A212" s="366" t="s">
        <v>1975</v>
      </c>
      <c r="B212" s="366" t="s">
        <v>2474</v>
      </c>
      <c r="C212" s="367" t="s">
        <v>2475</v>
      </c>
      <c r="D212" s="379" t="s">
        <v>1248</v>
      </c>
      <c r="E212" s="394"/>
      <c r="F212" s="394"/>
    </row>
    <row r="213" spans="1:6">
      <c r="A213" s="377" t="s">
        <v>1972</v>
      </c>
      <c r="B213" s="363" t="s">
        <v>592</v>
      </c>
      <c r="C213" s="363" t="s">
        <v>1448</v>
      </c>
      <c r="D213" s="378"/>
      <c r="E213" s="391"/>
      <c r="F213" s="391"/>
    </row>
    <row r="214" spans="1:6" ht="24">
      <c r="A214" s="366" t="s">
        <v>1975</v>
      </c>
      <c r="B214" s="366" t="s">
        <v>2476</v>
      </c>
      <c r="C214" s="367" t="s">
        <v>2477</v>
      </c>
      <c r="D214" s="379"/>
      <c r="E214" s="394"/>
      <c r="F214" s="394"/>
    </row>
    <row r="215" spans="1:6" ht="25.5">
      <c r="A215" s="377" t="s">
        <v>1972</v>
      </c>
      <c r="B215" s="363" t="s">
        <v>593</v>
      </c>
      <c r="C215" s="363" t="s">
        <v>1449</v>
      </c>
      <c r="D215" s="378"/>
      <c r="E215" s="391"/>
      <c r="F215" s="391"/>
    </row>
    <row r="216" spans="1:6" ht="24">
      <c r="A216" s="366" t="s">
        <v>1975</v>
      </c>
      <c r="B216" s="366" t="s">
        <v>2478</v>
      </c>
      <c r="C216" s="367" t="s">
        <v>2479</v>
      </c>
      <c r="D216" s="379"/>
      <c r="E216" s="394"/>
      <c r="F216" s="394"/>
    </row>
    <row r="217" spans="1:6">
      <c r="A217" s="377" t="s">
        <v>1972</v>
      </c>
      <c r="B217" s="363" t="s">
        <v>594</v>
      </c>
      <c r="C217" s="363" t="s">
        <v>1450</v>
      </c>
      <c r="D217" s="378"/>
      <c r="E217" s="391"/>
      <c r="F217" s="391"/>
    </row>
    <row r="218" spans="1:6" ht="24">
      <c r="A218" s="366">
        <v>7</v>
      </c>
      <c r="B218" s="366" t="s">
        <v>2480</v>
      </c>
      <c r="C218" s="367" t="s">
        <v>2481</v>
      </c>
      <c r="D218" s="379"/>
      <c r="E218" s="394">
        <v>1172385.97</v>
      </c>
      <c r="F218" s="394">
        <v>958616.57</v>
      </c>
    </row>
    <row r="219" spans="1:6" ht="24">
      <c r="A219" s="366">
        <v>7</v>
      </c>
      <c r="B219" s="366" t="s">
        <v>2482</v>
      </c>
      <c r="C219" s="367" t="s">
        <v>2483</v>
      </c>
      <c r="D219" s="379"/>
      <c r="E219" s="394">
        <v>602892.11</v>
      </c>
      <c r="F219" s="394">
        <v>561973.13</v>
      </c>
    </row>
    <row r="220" spans="1:6">
      <c r="A220" s="377" t="s">
        <v>1972</v>
      </c>
      <c r="B220" s="363" t="s">
        <v>595</v>
      </c>
      <c r="C220" s="363" t="s">
        <v>1451</v>
      </c>
      <c r="D220" s="378"/>
      <c r="E220" s="391"/>
      <c r="F220" s="391"/>
    </row>
    <row r="221" spans="1:6" ht="24">
      <c r="A221" s="366">
        <v>7</v>
      </c>
      <c r="B221" s="366" t="s">
        <v>2484</v>
      </c>
      <c r="C221" s="367" t="s">
        <v>2485</v>
      </c>
      <c r="D221" s="379"/>
      <c r="E221" s="394">
        <v>16633.02</v>
      </c>
      <c r="F221" s="394">
        <v>45807.5</v>
      </c>
    </row>
    <row r="222" spans="1:6" ht="24">
      <c r="A222" s="366">
        <v>7</v>
      </c>
      <c r="B222" s="366" t="s">
        <v>2486</v>
      </c>
      <c r="C222" s="367" t="s">
        <v>2487</v>
      </c>
      <c r="D222" s="379"/>
      <c r="E222" s="394">
        <v>11557.64</v>
      </c>
      <c r="F222" s="394">
        <v>7058.74</v>
      </c>
    </row>
    <row r="223" spans="1:6">
      <c r="A223" s="377" t="s">
        <v>1970</v>
      </c>
      <c r="B223" s="363" t="s">
        <v>596</v>
      </c>
      <c r="C223" s="363" t="s">
        <v>2488</v>
      </c>
      <c r="D223" s="378"/>
      <c r="E223" s="391"/>
      <c r="F223" s="391"/>
    </row>
    <row r="224" spans="1:6" ht="25.5">
      <c r="A224" s="377" t="s">
        <v>1972</v>
      </c>
      <c r="B224" s="363" t="s">
        <v>597</v>
      </c>
      <c r="C224" s="363" t="s">
        <v>1453</v>
      </c>
      <c r="D224" s="378" t="s">
        <v>1248</v>
      </c>
      <c r="E224" s="391"/>
      <c r="F224" s="391"/>
    </row>
    <row r="225" spans="1:7" ht="24">
      <c r="A225" s="366" t="s">
        <v>1975</v>
      </c>
      <c r="B225" s="366" t="s">
        <v>2489</v>
      </c>
      <c r="C225" s="367" t="s">
        <v>2490</v>
      </c>
      <c r="D225" s="379" t="s">
        <v>1248</v>
      </c>
      <c r="E225" s="394"/>
      <c r="F225" s="394"/>
    </row>
    <row r="226" spans="1:7">
      <c r="A226" s="377" t="s">
        <v>1972</v>
      </c>
      <c r="B226" s="363" t="s">
        <v>598</v>
      </c>
      <c r="C226" s="363" t="s">
        <v>1454</v>
      </c>
      <c r="D226" s="378"/>
      <c r="E226" s="391"/>
      <c r="F226" s="391"/>
    </row>
    <row r="227" spans="1:7" ht="24">
      <c r="A227" s="366" t="s">
        <v>1975</v>
      </c>
      <c r="B227" s="366" t="s">
        <v>2491</v>
      </c>
      <c r="C227" s="367" t="s">
        <v>2492</v>
      </c>
      <c r="D227" s="379"/>
      <c r="E227" s="394"/>
      <c r="F227" s="394"/>
    </row>
    <row r="228" spans="1:7" s="261" customFormat="1">
      <c r="A228" s="377" t="s">
        <v>1972</v>
      </c>
      <c r="B228" s="363" t="s">
        <v>599</v>
      </c>
      <c r="C228" s="363" t="s">
        <v>1455</v>
      </c>
      <c r="D228" s="378"/>
      <c r="E228" s="391"/>
      <c r="F228" s="391"/>
      <c r="G228"/>
    </row>
    <row r="229" spans="1:7" ht="24">
      <c r="A229" s="366" t="s">
        <v>1975</v>
      </c>
      <c r="B229" s="366" t="s">
        <v>2493</v>
      </c>
      <c r="C229" s="367" t="s">
        <v>2494</v>
      </c>
      <c r="D229" s="379"/>
      <c r="E229" s="394"/>
      <c r="F229" s="394"/>
    </row>
    <row r="230" spans="1:7">
      <c r="A230" s="377" t="s">
        <v>1972</v>
      </c>
      <c r="B230" s="363" t="s">
        <v>600</v>
      </c>
      <c r="C230" s="363" t="s">
        <v>1456</v>
      </c>
      <c r="D230" s="378"/>
      <c r="E230" s="391"/>
      <c r="F230" s="391"/>
    </row>
    <row r="231" spans="1:7">
      <c r="A231" s="366">
        <v>7</v>
      </c>
      <c r="B231" s="366" t="s">
        <v>2495</v>
      </c>
      <c r="C231" s="367" t="s">
        <v>601</v>
      </c>
      <c r="D231" s="379"/>
      <c r="E231" s="394">
        <v>4616138.0999999996</v>
      </c>
      <c r="F231" s="394">
        <v>4731965.54</v>
      </c>
    </row>
    <row r="232" spans="1:7">
      <c r="A232" s="366">
        <v>7</v>
      </c>
      <c r="B232" s="366" t="s">
        <v>2496</v>
      </c>
      <c r="C232" s="367" t="s">
        <v>602</v>
      </c>
      <c r="D232" s="379"/>
      <c r="E232" s="394">
        <v>3374945.86</v>
      </c>
      <c r="F232" s="394">
        <v>2898237.07</v>
      </c>
    </row>
    <row r="233" spans="1:7">
      <c r="A233" s="366">
        <v>7</v>
      </c>
      <c r="B233" s="366" t="s">
        <v>2497</v>
      </c>
      <c r="C233" s="367" t="s">
        <v>604</v>
      </c>
      <c r="D233" s="379"/>
      <c r="E233" s="394">
        <v>1372665.26</v>
      </c>
      <c r="F233" s="394">
        <v>1354065.74</v>
      </c>
    </row>
    <row r="234" spans="1:7">
      <c r="A234" s="377" t="s">
        <v>1970</v>
      </c>
      <c r="B234" s="363" t="s">
        <v>1457</v>
      </c>
      <c r="C234" s="363" t="s">
        <v>2498</v>
      </c>
      <c r="D234" s="378"/>
      <c r="E234" s="391"/>
      <c r="F234" s="391"/>
    </row>
    <row r="235" spans="1:7" ht="25.5">
      <c r="A235" s="377" t="s">
        <v>1972</v>
      </c>
      <c r="B235" s="363" t="s">
        <v>605</v>
      </c>
      <c r="C235" s="363" t="s">
        <v>1459</v>
      </c>
      <c r="D235" s="378" t="s">
        <v>1248</v>
      </c>
      <c r="E235" s="391"/>
      <c r="F235" s="391"/>
    </row>
    <row r="236" spans="1:7" ht="24">
      <c r="A236" s="366" t="s">
        <v>1975</v>
      </c>
      <c r="B236" s="366" t="s">
        <v>2499</v>
      </c>
      <c r="C236" s="367" t="s">
        <v>2500</v>
      </c>
      <c r="D236" s="379" t="s">
        <v>1248</v>
      </c>
      <c r="E236" s="394"/>
      <c r="F236" s="394"/>
    </row>
    <row r="237" spans="1:7">
      <c r="A237" s="377" t="s">
        <v>1972</v>
      </c>
      <c r="B237" s="363" t="s">
        <v>606</v>
      </c>
      <c r="C237" s="363" t="s">
        <v>1460</v>
      </c>
      <c r="D237" s="378"/>
      <c r="E237" s="391"/>
      <c r="F237" s="391"/>
    </row>
    <row r="238" spans="1:7" ht="24">
      <c r="A238" s="366" t="s">
        <v>1975</v>
      </c>
      <c r="B238" s="366" t="s">
        <v>2501</v>
      </c>
      <c r="C238" s="367" t="s">
        <v>2502</v>
      </c>
      <c r="D238" s="379"/>
      <c r="E238" s="394"/>
      <c r="F238" s="394"/>
    </row>
    <row r="239" spans="1:7">
      <c r="A239" s="377" t="s">
        <v>1972</v>
      </c>
      <c r="B239" s="363" t="s">
        <v>607</v>
      </c>
      <c r="C239" s="363" t="s">
        <v>1461</v>
      </c>
      <c r="D239" s="378"/>
      <c r="E239" s="391"/>
      <c r="F239" s="391"/>
    </row>
    <row r="240" spans="1:7" ht="24">
      <c r="A240" s="366" t="s">
        <v>1975</v>
      </c>
      <c r="B240" s="366" t="s">
        <v>2503</v>
      </c>
      <c r="C240" s="367" t="s">
        <v>2504</v>
      </c>
      <c r="D240" s="379"/>
      <c r="E240" s="394"/>
      <c r="F240" s="394"/>
    </row>
    <row r="241" spans="1:6">
      <c r="A241" s="377" t="s">
        <v>1972</v>
      </c>
      <c r="B241" s="363" t="s">
        <v>608</v>
      </c>
      <c r="C241" s="363" t="s">
        <v>1462</v>
      </c>
      <c r="D241" s="378"/>
      <c r="E241" s="391"/>
      <c r="F241" s="391"/>
    </row>
    <row r="242" spans="1:6">
      <c r="A242" s="366">
        <v>7</v>
      </c>
      <c r="B242" s="366" t="s">
        <v>2505</v>
      </c>
      <c r="C242" s="367" t="s">
        <v>609</v>
      </c>
      <c r="D242" s="379"/>
      <c r="E242" s="394">
        <v>2245839.2799999998</v>
      </c>
      <c r="F242" s="394">
        <v>3686493.81</v>
      </c>
    </row>
    <row r="243" spans="1:6">
      <c r="A243" s="366">
        <v>7</v>
      </c>
      <c r="B243" s="366" t="s">
        <v>2506</v>
      </c>
      <c r="C243" s="367" t="s">
        <v>610</v>
      </c>
      <c r="D243" s="379"/>
      <c r="E243" s="394">
        <v>1019752.38</v>
      </c>
      <c r="F243" s="394">
        <v>973567.23</v>
      </c>
    </row>
    <row r="244" spans="1:6">
      <c r="A244" s="377" t="s">
        <v>1970</v>
      </c>
      <c r="B244" s="363" t="s">
        <v>611</v>
      </c>
      <c r="C244" s="363" t="s">
        <v>2507</v>
      </c>
      <c r="D244" s="378"/>
      <c r="E244" s="391"/>
      <c r="F244" s="391"/>
    </row>
    <row r="245" spans="1:6" ht="25.5">
      <c r="A245" s="377" t="s">
        <v>1972</v>
      </c>
      <c r="B245" s="363" t="s">
        <v>612</v>
      </c>
      <c r="C245" s="363" t="s">
        <v>1464</v>
      </c>
      <c r="D245" s="378" t="s">
        <v>1248</v>
      </c>
      <c r="E245" s="391"/>
      <c r="F245" s="391"/>
    </row>
    <row r="246" spans="1:6">
      <c r="A246" s="366">
        <v>7</v>
      </c>
      <c r="B246" s="366" t="s">
        <v>2508</v>
      </c>
      <c r="C246" s="367" t="s">
        <v>613</v>
      </c>
      <c r="D246" s="379" t="s">
        <v>1248</v>
      </c>
      <c r="E246" s="394">
        <v>31643929</v>
      </c>
      <c r="F246" s="394">
        <v>31043204.469999999</v>
      </c>
    </row>
    <row r="247" spans="1:6" ht="24">
      <c r="A247" s="366">
        <v>7</v>
      </c>
      <c r="B247" s="366" t="s">
        <v>2509</v>
      </c>
      <c r="C247" s="367" t="s">
        <v>614</v>
      </c>
      <c r="D247" s="379" t="s">
        <v>1248</v>
      </c>
      <c r="E247" s="394">
        <v>200441.88</v>
      </c>
      <c r="F247" s="394">
        <v>582115.27</v>
      </c>
    </row>
    <row r="248" spans="1:6">
      <c r="A248" s="377" t="s">
        <v>1972</v>
      </c>
      <c r="B248" s="363" t="s">
        <v>615</v>
      </c>
      <c r="C248" s="363" t="s">
        <v>1465</v>
      </c>
      <c r="D248" s="378"/>
      <c r="E248" s="391"/>
      <c r="F248" s="391"/>
    </row>
    <row r="249" spans="1:6" ht="24">
      <c r="A249" s="366" t="s">
        <v>1975</v>
      </c>
      <c r="B249" s="366" t="s">
        <v>2510</v>
      </c>
      <c r="C249" s="367" t="s">
        <v>2511</v>
      </c>
      <c r="D249" s="379"/>
      <c r="E249" s="394"/>
      <c r="F249" s="394"/>
    </row>
    <row r="250" spans="1:6">
      <c r="A250" s="377" t="s">
        <v>1972</v>
      </c>
      <c r="B250" s="363" t="s">
        <v>616</v>
      </c>
      <c r="C250" s="363" t="s">
        <v>1466</v>
      </c>
      <c r="D250" s="378"/>
      <c r="E250" s="391"/>
      <c r="F250" s="391"/>
    </row>
    <row r="251" spans="1:6" ht="24">
      <c r="A251" s="366">
        <v>7</v>
      </c>
      <c r="B251" s="366" t="s">
        <v>2512</v>
      </c>
      <c r="C251" s="367" t="s">
        <v>617</v>
      </c>
      <c r="D251" s="379"/>
      <c r="E251" s="394">
        <v>15218033.35</v>
      </c>
      <c r="F251" s="394">
        <v>14303286.800000001</v>
      </c>
    </row>
    <row r="252" spans="1:6">
      <c r="A252" s="377" t="s">
        <v>1972</v>
      </c>
      <c r="B252" s="363" t="s">
        <v>619</v>
      </c>
      <c r="C252" s="363" t="s">
        <v>1467</v>
      </c>
      <c r="D252" s="378"/>
      <c r="E252" s="391"/>
      <c r="F252" s="391"/>
    </row>
    <row r="253" spans="1:6" ht="25.5">
      <c r="A253" s="377" t="s">
        <v>1975</v>
      </c>
      <c r="B253" s="363" t="s">
        <v>621</v>
      </c>
      <c r="C253" s="363" t="s">
        <v>1468</v>
      </c>
      <c r="D253" s="378"/>
      <c r="E253" s="391"/>
      <c r="F253" s="391"/>
    </row>
    <row r="254" spans="1:6" ht="24">
      <c r="A254" s="366" t="s">
        <v>2091</v>
      </c>
      <c r="B254" s="366" t="s">
        <v>2513</v>
      </c>
      <c r="C254" s="367" t="s">
        <v>620</v>
      </c>
      <c r="D254" s="379"/>
      <c r="E254" s="394"/>
      <c r="F254" s="394"/>
    </row>
    <row r="255" spans="1:6" ht="25.5">
      <c r="A255" s="377" t="s">
        <v>1975</v>
      </c>
      <c r="B255" s="363" t="s">
        <v>623</v>
      </c>
      <c r="C255" s="363" t="s">
        <v>1469</v>
      </c>
      <c r="D255" s="378"/>
      <c r="E255" s="391"/>
      <c r="F255" s="391"/>
    </row>
    <row r="256" spans="1:6" ht="24">
      <c r="A256" s="366" t="s">
        <v>2091</v>
      </c>
      <c r="B256" s="366" t="s">
        <v>2514</v>
      </c>
      <c r="C256" s="367" t="s">
        <v>622</v>
      </c>
      <c r="D256" s="379"/>
      <c r="E256" s="394"/>
      <c r="F256" s="394"/>
    </row>
    <row r="257" spans="1:6" ht="25.5">
      <c r="A257" s="377" t="s">
        <v>1975</v>
      </c>
      <c r="B257" s="363" t="s">
        <v>625</v>
      </c>
      <c r="C257" s="363" t="s">
        <v>1470</v>
      </c>
      <c r="D257" s="378"/>
      <c r="E257" s="391"/>
      <c r="F257" s="391"/>
    </row>
    <row r="258" spans="1:6" ht="24">
      <c r="A258" s="366" t="s">
        <v>2091</v>
      </c>
      <c r="B258" s="366" t="s">
        <v>2515</v>
      </c>
      <c r="C258" s="367" t="s">
        <v>624</v>
      </c>
      <c r="D258" s="379"/>
      <c r="E258" s="394">
        <v>18290550.800000001</v>
      </c>
      <c r="F258" s="394">
        <v>20822611.260000002</v>
      </c>
    </row>
    <row r="259" spans="1:6" ht="25.5">
      <c r="A259" s="377" t="s">
        <v>1975</v>
      </c>
      <c r="B259" s="363" t="s">
        <v>627</v>
      </c>
      <c r="C259" s="363" t="s">
        <v>1471</v>
      </c>
      <c r="D259" s="378"/>
      <c r="E259" s="391"/>
      <c r="F259" s="391"/>
    </row>
    <row r="260" spans="1:6">
      <c r="A260" s="366" t="s">
        <v>2091</v>
      </c>
      <c r="B260" s="366" t="s">
        <v>2516</v>
      </c>
      <c r="C260" s="367" t="s">
        <v>626</v>
      </c>
      <c r="D260" s="379"/>
      <c r="E260" s="394"/>
      <c r="F260" s="394"/>
    </row>
    <row r="261" spans="1:6" ht="25.5">
      <c r="A261" s="377" t="s">
        <v>1972</v>
      </c>
      <c r="B261" s="363" t="s">
        <v>628</v>
      </c>
      <c r="C261" s="363" t="s">
        <v>1472</v>
      </c>
      <c r="D261" s="378"/>
      <c r="E261" s="391"/>
      <c r="F261" s="391"/>
    </row>
    <row r="262" spans="1:6" ht="24">
      <c r="A262" s="366" t="s">
        <v>1975</v>
      </c>
      <c r="B262" s="366" t="s">
        <v>2517</v>
      </c>
      <c r="C262" s="367" t="s">
        <v>2518</v>
      </c>
      <c r="D262" s="379"/>
      <c r="E262" s="394">
        <v>1588721.6</v>
      </c>
      <c r="F262" s="394">
        <v>1589430.6</v>
      </c>
    </row>
    <row r="263" spans="1:6" ht="25.5">
      <c r="A263" s="377" t="s">
        <v>1970</v>
      </c>
      <c r="B263" s="363" t="s">
        <v>629</v>
      </c>
      <c r="C263" s="363" t="s">
        <v>2519</v>
      </c>
      <c r="D263" s="378"/>
      <c r="E263" s="391"/>
      <c r="F263" s="391"/>
    </row>
    <row r="264" spans="1:6" ht="25.5">
      <c r="A264" s="377" t="s">
        <v>1972</v>
      </c>
      <c r="B264" s="363" t="s">
        <v>630</v>
      </c>
      <c r="C264" s="363" t="s">
        <v>1474</v>
      </c>
      <c r="D264" s="378" t="s">
        <v>1248</v>
      </c>
      <c r="E264" s="391"/>
      <c r="F264" s="391"/>
    </row>
    <row r="265" spans="1:6" ht="24">
      <c r="A265" s="366" t="s">
        <v>1975</v>
      </c>
      <c r="B265" s="366" t="s">
        <v>2520</v>
      </c>
      <c r="C265" s="367" t="s">
        <v>2521</v>
      </c>
      <c r="D265" s="379" t="s">
        <v>1248</v>
      </c>
      <c r="E265" s="394">
        <v>9822.74</v>
      </c>
      <c r="F265" s="394">
        <v>9044.7000000000007</v>
      </c>
    </row>
    <row r="266" spans="1:6">
      <c r="A266" s="377" t="s">
        <v>1972</v>
      </c>
      <c r="B266" s="363" t="s">
        <v>631</v>
      </c>
      <c r="C266" s="363" t="s">
        <v>1475</v>
      </c>
      <c r="D266" s="378"/>
      <c r="E266" s="391"/>
      <c r="F266" s="391"/>
    </row>
    <row r="267" spans="1:6" ht="24">
      <c r="A267" s="366" t="s">
        <v>1975</v>
      </c>
      <c r="B267" s="366" t="s">
        <v>2522</v>
      </c>
      <c r="C267" s="367" t="s">
        <v>2523</v>
      </c>
      <c r="D267" s="379"/>
      <c r="E267" s="394"/>
      <c r="F267" s="394"/>
    </row>
    <row r="268" spans="1:6" ht="25.5">
      <c r="A268" s="377" t="s">
        <v>1972</v>
      </c>
      <c r="B268" s="363" t="s">
        <v>632</v>
      </c>
      <c r="C268" s="363" t="s">
        <v>1476</v>
      </c>
      <c r="D268" s="378"/>
      <c r="E268" s="391"/>
      <c r="F268" s="391"/>
    </row>
    <row r="269" spans="1:6" ht="24">
      <c r="A269" s="366" t="s">
        <v>1975</v>
      </c>
      <c r="B269" s="366" t="s">
        <v>2524</v>
      </c>
      <c r="C269" s="367" t="s">
        <v>2525</v>
      </c>
      <c r="D269" s="379"/>
      <c r="E269" s="394"/>
      <c r="F269" s="394"/>
    </row>
    <row r="270" spans="1:6">
      <c r="A270" s="377" t="s">
        <v>1972</v>
      </c>
      <c r="B270" s="363" t="s">
        <v>633</v>
      </c>
      <c r="C270" s="363" t="s">
        <v>1477</v>
      </c>
      <c r="D270" s="378"/>
      <c r="E270" s="391"/>
      <c r="F270" s="391"/>
    </row>
    <row r="271" spans="1:6" ht="24">
      <c r="A271" s="366" t="s">
        <v>1975</v>
      </c>
      <c r="B271" s="366" t="s">
        <v>2526</v>
      </c>
      <c r="C271" s="367" t="s">
        <v>2527</v>
      </c>
      <c r="D271" s="379"/>
      <c r="E271" s="394">
        <v>7052677.04</v>
      </c>
      <c r="F271" s="394">
        <v>6304740.5099999998</v>
      </c>
    </row>
    <row r="272" spans="1:6">
      <c r="A272" s="377" t="s">
        <v>1972</v>
      </c>
      <c r="B272" s="363" t="s">
        <v>634</v>
      </c>
      <c r="C272" s="363" t="s">
        <v>1478</v>
      </c>
      <c r="D272" s="378"/>
      <c r="E272" s="391"/>
      <c r="F272" s="391"/>
    </row>
    <row r="273" spans="1:6" ht="24">
      <c r="A273" s="366" t="s">
        <v>1975</v>
      </c>
      <c r="B273" s="366" t="s">
        <v>2528</v>
      </c>
      <c r="C273" s="367" t="s">
        <v>2529</v>
      </c>
      <c r="D273" s="379"/>
      <c r="E273" s="394">
        <v>224263.79</v>
      </c>
      <c r="F273" s="394">
        <v>146892.34</v>
      </c>
    </row>
    <row r="274" spans="1:6">
      <c r="A274" s="377" t="s">
        <v>1970</v>
      </c>
      <c r="B274" s="363" t="s">
        <v>635</v>
      </c>
      <c r="C274" s="363" t="s">
        <v>2530</v>
      </c>
      <c r="D274" s="378"/>
      <c r="E274" s="391"/>
      <c r="F274" s="391"/>
    </row>
    <row r="275" spans="1:6" ht="25.5">
      <c r="A275" s="377" t="s">
        <v>1972</v>
      </c>
      <c r="B275" s="363" t="s">
        <v>636</v>
      </c>
      <c r="C275" s="363" t="s">
        <v>1480</v>
      </c>
      <c r="D275" s="378" t="s">
        <v>1248</v>
      </c>
      <c r="E275" s="391"/>
      <c r="F275" s="391"/>
    </row>
    <row r="276" spans="1:6">
      <c r="A276" s="366">
        <v>7</v>
      </c>
      <c r="B276" s="366" t="s">
        <v>2531</v>
      </c>
      <c r="C276" s="367" t="s">
        <v>637</v>
      </c>
      <c r="D276" s="379" t="s">
        <v>1248</v>
      </c>
      <c r="E276" s="394">
        <v>3362962.16</v>
      </c>
      <c r="F276" s="394">
        <v>3294634.08</v>
      </c>
    </row>
    <row r="277" spans="1:6">
      <c r="A277" s="366">
        <v>7</v>
      </c>
      <c r="B277" s="366" t="s">
        <v>2532</v>
      </c>
      <c r="C277" s="367" t="s">
        <v>638</v>
      </c>
      <c r="D277" s="379" t="s">
        <v>1248</v>
      </c>
      <c r="E277" s="394"/>
      <c r="F277" s="394"/>
    </row>
    <row r="278" spans="1:6">
      <c r="A278" s="377" t="s">
        <v>1972</v>
      </c>
      <c r="B278" s="363" t="s">
        <v>639</v>
      </c>
      <c r="C278" s="363" t="s">
        <v>1481</v>
      </c>
      <c r="D278" s="378"/>
      <c r="E278" s="391"/>
      <c r="F278" s="391"/>
    </row>
    <row r="279" spans="1:6" ht="24">
      <c r="A279" s="366" t="s">
        <v>1975</v>
      </c>
      <c r="B279" s="366" t="s">
        <v>2533</v>
      </c>
      <c r="C279" s="367" t="s">
        <v>2534</v>
      </c>
      <c r="D279" s="379"/>
      <c r="E279" s="394"/>
      <c r="F279" s="394"/>
    </row>
    <row r="280" spans="1:6">
      <c r="A280" s="377" t="s">
        <v>1972</v>
      </c>
      <c r="B280" s="363" t="s">
        <v>640</v>
      </c>
      <c r="C280" s="363" t="s">
        <v>1482</v>
      </c>
      <c r="D280" s="378"/>
      <c r="E280" s="391"/>
      <c r="F280" s="391"/>
    </row>
    <row r="281" spans="1:6" ht="24">
      <c r="A281" s="366" t="s">
        <v>1975</v>
      </c>
      <c r="B281" s="366" t="s">
        <v>2535</v>
      </c>
      <c r="C281" s="367" t="s">
        <v>2536</v>
      </c>
      <c r="D281" s="379"/>
      <c r="E281" s="394">
        <v>1888422.88</v>
      </c>
      <c r="F281" s="394">
        <v>1473925.79</v>
      </c>
    </row>
    <row r="282" spans="1:6">
      <c r="A282" s="377" t="s">
        <v>1972</v>
      </c>
      <c r="B282" s="363" t="s">
        <v>641</v>
      </c>
      <c r="C282" s="363" t="s">
        <v>1483</v>
      </c>
      <c r="D282" s="378"/>
      <c r="E282" s="391"/>
      <c r="F282" s="391"/>
    </row>
    <row r="283" spans="1:6">
      <c r="A283" s="366">
        <v>7</v>
      </c>
      <c r="B283" s="369" t="s">
        <v>5457</v>
      </c>
      <c r="C283" s="367" t="s">
        <v>3625</v>
      </c>
      <c r="D283" s="379"/>
      <c r="E283" s="394"/>
      <c r="F283" s="394"/>
    </row>
    <row r="284" spans="1:6">
      <c r="A284" s="377" t="s">
        <v>1972</v>
      </c>
      <c r="B284" s="363" t="s">
        <v>642</v>
      </c>
      <c r="C284" s="363" t="s">
        <v>1484</v>
      </c>
      <c r="D284" s="378"/>
      <c r="E284" s="391"/>
      <c r="F284" s="391"/>
    </row>
    <row r="285" spans="1:6" ht="24">
      <c r="A285" s="366" t="s">
        <v>1975</v>
      </c>
      <c r="B285" s="366" t="s">
        <v>2537</v>
      </c>
      <c r="C285" s="367" t="s">
        <v>2538</v>
      </c>
      <c r="D285" s="379"/>
      <c r="E285" s="394"/>
      <c r="F285" s="394"/>
    </row>
    <row r="286" spans="1:6" ht="25.5">
      <c r="A286" s="377" t="s">
        <v>1972</v>
      </c>
      <c r="B286" s="363" t="s">
        <v>643</v>
      </c>
      <c r="C286" s="363" t="s">
        <v>1485</v>
      </c>
      <c r="D286" s="378"/>
      <c r="E286" s="391"/>
      <c r="F286" s="391"/>
    </row>
    <row r="287" spans="1:6" ht="36">
      <c r="A287" s="366" t="s">
        <v>1975</v>
      </c>
      <c r="B287" s="366" t="s">
        <v>2539</v>
      </c>
      <c r="C287" s="367" t="s">
        <v>2540</v>
      </c>
      <c r="D287" s="379"/>
      <c r="E287" s="394"/>
      <c r="F287" s="394"/>
    </row>
    <row r="288" spans="1:6">
      <c r="A288" s="377" t="s">
        <v>1970</v>
      </c>
      <c r="B288" s="363" t="s">
        <v>644</v>
      </c>
      <c r="C288" s="363" t="s">
        <v>2541</v>
      </c>
      <c r="D288" s="378"/>
      <c r="E288" s="391"/>
      <c r="F288" s="391"/>
    </row>
    <row r="289" spans="1:6" ht="25.5">
      <c r="A289" s="377" t="s">
        <v>1972</v>
      </c>
      <c r="B289" s="363" t="s">
        <v>645</v>
      </c>
      <c r="C289" s="363" t="s">
        <v>1487</v>
      </c>
      <c r="D289" s="378" t="s">
        <v>1248</v>
      </c>
      <c r="E289" s="391"/>
      <c r="F289" s="391"/>
    </row>
    <row r="290" spans="1:6" ht="24">
      <c r="A290" s="366" t="s">
        <v>1975</v>
      </c>
      <c r="B290" s="366" t="s">
        <v>2542</v>
      </c>
      <c r="C290" s="367" t="s">
        <v>2543</v>
      </c>
      <c r="D290" s="379" t="s">
        <v>1248</v>
      </c>
      <c r="E290" s="394"/>
      <c r="F290" s="394"/>
    </row>
    <row r="291" spans="1:6">
      <c r="A291" s="377" t="s">
        <v>1972</v>
      </c>
      <c r="B291" s="363" t="s">
        <v>646</v>
      </c>
      <c r="C291" s="363" t="s">
        <v>1488</v>
      </c>
      <c r="D291" s="378"/>
      <c r="E291" s="391"/>
      <c r="F291" s="391"/>
    </row>
    <row r="292" spans="1:6" ht="24">
      <c r="A292" s="366" t="s">
        <v>1975</v>
      </c>
      <c r="B292" s="366" t="s">
        <v>2544</v>
      </c>
      <c r="C292" s="367" t="s">
        <v>2545</v>
      </c>
      <c r="D292" s="379"/>
      <c r="E292" s="394"/>
      <c r="F292" s="394"/>
    </row>
    <row r="293" spans="1:6">
      <c r="A293" s="377" t="s">
        <v>1972</v>
      </c>
      <c r="B293" s="363" t="s">
        <v>647</v>
      </c>
      <c r="C293" s="363" t="s">
        <v>1489</v>
      </c>
      <c r="D293" s="378"/>
      <c r="E293" s="391"/>
      <c r="F293" s="391"/>
    </row>
    <row r="294" spans="1:6">
      <c r="A294" s="366" t="s">
        <v>1975</v>
      </c>
      <c r="B294" s="366" t="s">
        <v>2546</v>
      </c>
      <c r="C294" s="367" t="s">
        <v>2547</v>
      </c>
      <c r="D294" s="379"/>
      <c r="E294" s="394">
        <v>87954.62</v>
      </c>
      <c r="F294" s="394">
        <v>77218.22</v>
      </c>
    </row>
    <row r="295" spans="1:6">
      <c r="A295" s="377" t="s">
        <v>1972</v>
      </c>
      <c r="B295" s="363" t="s">
        <v>648</v>
      </c>
      <c r="C295" s="363" t="s">
        <v>1490</v>
      </c>
      <c r="D295" s="378"/>
      <c r="E295" s="391"/>
      <c r="F295" s="391"/>
    </row>
    <row r="296" spans="1:6">
      <c r="A296" s="366" t="s">
        <v>1975</v>
      </c>
      <c r="B296" s="366" t="s">
        <v>2548</v>
      </c>
      <c r="C296" s="367" t="s">
        <v>2549</v>
      </c>
      <c r="D296" s="379"/>
      <c r="E296" s="394">
        <v>190918.72</v>
      </c>
      <c r="F296" s="394">
        <v>251910.48</v>
      </c>
    </row>
    <row r="297" spans="1:6" ht="25.5">
      <c r="A297" s="377" t="s">
        <v>1972</v>
      </c>
      <c r="B297" s="363" t="s">
        <v>649</v>
      </c>
      <c r="C297" s="363" t="s">
        <v>1491</v>
      </c>
      <c r="D297" s="378"/>
      <c r="E297" s="391"/>
      <c r="F297" s="391"/>
    </row>
    <row r="298" spans="1:6" ht="24">
      <c r="A298" s="366" t="s">
        <v>1975</v>
      </c>
      <c r="B298" s="366" t="s">
        <v>2550</v>
      </c>
      <c r="C298" s="367" t="s">
        <v>2551</v>
      </c>
      <c r="D298" s="379"/>
      <c r="E298" s="394">
        <v>5717.8</v>
      </c>
      <c r="F298" s="394">
        <v>24076.6</v>
      </c>
    </row>
    <row r="299" spans="1:6">
      <c r="A299" s="377" t="s">
        <v>1970</v>
      </c>
      <c r="B299" s="363" t="s">
        <v>650</v>
      </c>
      <c r="C299" s="363" t="s">
        <v>2552</v>
      </c>
      <c r="D299" s="378"/>
      <c r="E299" s="391"/>
      <c r="F299" s="391"/>
    </row>
    <row r="300" spans="1:6" ht="25.5">
      <c r="A300" s="377" t="s">
        <v>1972</v>
      </c>
      <c r="B300" s="363" t="s">
        <v>651</v>
      </c>
      <c r="C300" s="363" t="s">
        <v>1493</v>
      </c>
      <c r="D300" s="378" t="s">
        <v>1248</v>
      </c>
      <c r="E300" s="391"/>
      <c r="F300" s="391"/>
    </row>
    <row r="301" spans="1:6" ht="24">
      <c r="A301" s="366" t="s">
        <v>1975</v>
      </c>
      <c r="B301" s="366" t="s">
        <v>2553</v>
      </c>
      <c r="C301" s="367" t="s">
        <v>2554</v>
      </c>
      <c r="D301" s="379" t="s">
        <v>1248</v>
      </c>
      <c r="E301" s="394">
        <v>604.9</v>
      </c>
      <c r="F301" s="394"/>
    </row>
    <row r="302" spans="1:6">
      <c r="A302" s="377" t="s">
        <v>1972</v>
      </c>
      <c r="B302" s="363" t="s">
        <v>652</v>
      </c>
      <c r="C302" s="363" t="s">
        <v>1494</v>
      </c>
      <c r="D302" s="378"/>
      <c r="E302" s="391"/>
      <c r="F302" s="391"/>
    </row>
    <row r="303" spans="1:6" ht="24">
      <c r="A303" s="366" t="s">
        <v>1975</v>
      </c>
      <c r="B303" s="366" t="s">
        <v>2555</v>
      </c>
      <c r="C303" s="367" t="s">
        <v>2556</v>
      </c>
      <c r="D303" s="379"/>
      <c r="E303" s="394"/>
      <c r="F303" s="394"/>
    </row>
    <row r="304" spans="1:6">
      <c r="A304" s="377" t="s">
        <v>1972</v>
      </c>
      <c r="B304" s="363" t="s">
        <v>653</v>
      </c>
      <c r="C304" s="363" t="s">
        <v>1495</v>
      </c>
      <c r="D304" s="378"/>
      <c r="E304" s="391"/>
      <c r="F304" s="391"/>
    </row>
    <row r="305" spans="1:7">
      <c r="A305" s="366" t="s">
        <v>1975</v>
      </c>
      <c r="B305" s="366" t="s">
        <v>2557</v>
      </c>
      <c r="C305" s="367" t="s">
        <v>2558</v>
      </c>
      <c r="D305" s="379"/>
      <c r="E305" s="394">
        <v>338048.34</v>
      </c>
      <c r="F305" s="394">
        <v>252713.41</v>
      </c>
    </row>
    <row r="306" spans="1:7">
      <c r="A306" s="377" t="s">
        <v>1972</v>
      </c>
      <c r="B306" s="363" t="s">
        <v>654</v>
      </c>
      <c r="C306" s="363" t="s">
        <v>1496</v>
      </c>
      <c r="D306" s="378"/>
      <c r="E306" s="391"/>
      <c r="F306" s="391"/>
    </row>
    <row r="307" spans="1:7">
      <c r="A307" s="366">
        <v>7</v>
      </c>
      <c r="B307" s="366" t="s">
        <v>2559</v>
      </c>
      <c r="C307" s="367" t="s">
        <v>655</v>
      </c>
      <c r="D307" s="379"/>
      <c r="E307" s="394">
        <v>4793796.82</v>
      </c>
      <c r="F307" s="394">
        <v>4570420.72</v>
      </c>
    </row>
    <row r="308" spans="1:7">
      <c r="A308" s="366">
        <v>7</v>
      </c>
      <c r="B308" s="366" t="s">
        <v>2560</v>
      </c>
      <c r="C308" s="367" t="s">
        <v>656</v>
      </c>
      <c r="D308" s="379"/>
      <c r="E308" s="394">
        <v>3046126.48</v>
      </c>
      <c r="F308" s="394">
        <v>2952414.78</v>
      </c>
    </row>
    <row r="309" spans="1:7">
      <c r="A309" s="366">
        <v>7</v>
      </c>
      <c r="B309" s="366" t="s">
        <v>2561</v>
      </c>
      <c r="C309" s="367" t="s">
        <v>657</v>
      </c>
      <c r="D309" s="379"/>
      <c r="E309" s="394"/>
      <c r="F309" s="394"/>
    </row>
    <row r="310" spans="1:7">
      <c r="A310" s="366">
        <v>7</v>
      </c>
      <c r="B310" s="366" t="s">
        <v>2562</v>
      </c>
      <c r="C310" s="367" t="s">
        <v>658</v>
      </c>
      <c r="D310" s="379"/>
      <c r="E310" s="394">
        <v>897634</v>
      </c>
      <c r="F310" s="394">
        <v>815509.36</v>
      </c>
    </row>
    <row r="311" spans="1:7" ht="25.5">
      <c r="A311" s="377" t="s">
        <v>1970</v>
      </c>
      <c r="B311" s="363" t="s">
        <v>659</v>
      </c>
      <c r="C311" s="363" t="s">
        <v>2563</v>
      </c>
      <c r="D311" s="378"/>
      <c r="E311" s="391"/>
      <c r="F311" s="391"/>
    </row>
    <row r="312" spans="1:7" s="261" customFormat="1" ht="25.5">
      <c r="A312" s="377" t="s">
        <v>1972</v>
      </c>
      <c r="B312" s="363" t="s">
        <v>660</v>
      </c>
      <c r="C312" s="363" t="s">
        <v>1498</v>
      </c>
      <c r="D312" s="378"/>
      <c r="E312" s="391"/>
      <c r="F312" s="391"/>
      <c r="G312"/>
    </row>
    <row r="313" spans="1:7">
      <c r="A313" s="377" t="s">
        <v>1975</v>
      </c>
      <c r="B313" s="363" t="s">
        <v>662</v>
      </c>
      <c r="C313" s="363" t="s">
        <v>2564</v>
      </c>
      <c r="D313" s="378" t="s">
        <v>1248</v>
      </c>
      <c r="E313" s="391"/>
      <c r="F313" s="391"/>
    </row>
    <row r="314" spans="1:7">
      <c r="A314" s="366" t="s">
        <v>2091</v>
      </c>
      <c r="B314" s="366" t="s">
        <v>2565</v>
      </c>
      <c r="C314" s="367" t="s">
        <v>661</v>
      </c>
      <c r="D314" s="379" t="s">
        <v>1248</v>
      </c>
      <c r="E314" s="394">
        <v>258</v>
      </c>
      <c r="F314" s="394">
        <v>688</v>
      </c>
    </row>
    <row r="315" spans="1:7" ht="25.5">
      <c r="A315" s="377" t="s">
        <v>1975</v>
      </c>
      <c r="B315" s="363" t="s">
        <v>663</v>
      </c>
      <c r="C315" s="363" t="s">
        <v>1500</v>
      </c>
      <c r="D315" s="378" t="s">
        <v>1248</v>
      </c>
      <c r="E315" s="391"/>
      <c r="F315" s="391"/>
    </row>
    <row r="316" spans="1:7">
      <c r="A316" s="366" t="s">
        <v>2091</v>
      </c>
      <c r="B316" s="366" t="s">
        <v>2566</v>
      </c>
      <c r="C316" s="367" t="s">
        <v>2567</v>
      </c>
      <c r="D316" s="379" t="s">
        <v>1248</v>
      </c>
      <c r="E316" s="394">
        <v>8901</v>
      </c>
      <c r="F316" s="394">
        <v>3830</v>
      </c>
    </row>
    <row r="317" spans="1:7" ht="25.5">
      <c r="A317" s="377" t="s">
        <v>1972</v>
      </c>
      <c r="B317" s="363" t="s">
        <v>664</v>
      </c>
      <c r="C317" s="363" t="s">
        <v>1501</v>
      </c>
      <c r="D317" s="378"/>
      <c r="E317" s="391"/>
      <c r="F317" s="391"/>
    </row>
    <row r="318" spans="1:7">
      <c r="A318" s="366">
        <v>7</v>
      </c>
      <c r="B318" s="366" t="s">
        <v>2568</v>
      </c>
      <c r="C318" s="367" t="s">
        <v>2569</v>
      </c>
      <c r="D318" s="379"/>
      <c r="E318" s="394"/>
      <c r="F318" s="394"/>
    </row>
    <row r="319" spans="1:7" ht="24">
      <c r="A319" s="366">
        <v>7</v>
      </c>
      <c r="B319" s="366" t="s">
        <v>2570</v>
      </c>
      <c r="C319" s="367" t="s">
        <v>2571</v>
      </c>
      <c r="D319" s="379"/>
      <c r="E319" s="394">
        <v>5325953.2</v>
      </c>
      <c r="F319" s="394">
        <v>5304827.49</v>
      </c>
    </row>
    <row r="320" spans="1:7" ht="24">
      <c r="A320" s="366">
        <v>7</v>
      </c>
      <c r="B320" s="366" t="s">
        <v>2572</v>
      </c>
      <c r="C320" s="367" t="s">
        <v>2573</v>
      </c>
      <c r="D320" s="379"/>
      <c r="E320" s="394">
        <v>9025573.6999999993</v>
      </c>
      <c r="F320" s="394">
        <v>7420650.3499999996</v>
      </c>
    </row>
    <row r="321" spans="1:6" ht="24">
      <c r="A321" s="366">
        <v>7</v>
      </c>
      <c r="B321" s="366" t="s">
        <v>2574</v>
      </c>
      <c r="C321" s="367" t="s">
        <v>668</v>
      </c>
      <c r="D321" s="379"/>
      <c r="E321" s="394">
        <v>2240804.94</v>
      </c>
      <c r="F321" s="394">
        <v>228530.9</v>
      </c>
    </row>
    <row r="322" spans="1:6" ht="38.25">
      <c r="A322" s="377" t="s">
        <v>1972</v>
      </c>
      <c r="B322" s="363" t="s">
        <v>669</v>
      </c>
      <c r="C322" s="363" t="s">
        <v>1502</v>
      </c>
      <c r="D322" s="378"/>
      <c r="E322" s="391"/>
      <c r="F322" s="391"/>
    </row>
    <row r="323" spans="1:6" ht="36">
      <c r="A323" s="366" t="s">
        <v>1975</v>
      </c>
      <c r="B323" s="366" t="s">
        <v>2575</v>
      </c>
      <c r="C323" s="367" t="s">
        <v>2576</v>
      </c>
      <c r="D323" s="379"/>
      <c r="E323" s="394">
        <v>85233.2</v>
      </c>
      <c r="F323" s="394">
        <v>84644.67</v>
      </c>
    </row>
    <row r="324" spans="1:6" ht="25.5">
      <c r="A324" s="377" t="s">
        <v>1972</v>
      </c>
      <c r="B324" s="363" t="s">
        <v>670</v>
      </c>
      <c r="C324" s="363" t="s">
        <v>1503</v>
      </c>
      <c r="D324" s="378"/>
      <c r="E324" s="391"/>
      <c r="F324" s="391"/>
    </row>
    <row r="325" spans="1:6" ht="36">
      <c r="A325" s="366" t="s">
        <v>1975</v>
      </c>
      <c r="B325" s="366" t="s">
        <v>2577</v>
      </c>
      <c r="C325" s="367" t="s">
        <v>2578</v>
      </c>
      <c r="D325" s="379"/>
      <c r="E325" s="394">
        <v>37270.82</v>
      </c>
      <c r="F325" s="394">
        <v>414824.05</v>
      </c>
    </row>
    <row r="326" spans="1:6" ht="24">
      <c r="A326" s="380">
        <v>7</v>
      </c>
      <c r="B326" s="381" t="s">
        <v>2579</v>
      </c>
      <c r="C326" s="382" t="s">
        <v>567</v>
      </c>
      <c r="D326" s="383"/>
      <c r="E326" s="394">
        <v>68676.960000000006</v>
      </c>
      <c r="F326" s="395"/>
    </row>
    <row r="327" spans="1:6" ht="24">
      <c r="A327" s="380">
        <v>7</v>
      </c>
      <c r="B327" s="380" t="s">
        <v>2580</v>
      </c>
      <c r="C327" s="382" t="s">
        <v>618</v>
      </c>
      <c r="D327" s="383"/>
      <c r="E327" s="394">
        <v>151798.23000000001</v>
      </c>
      <c r="F327" s="395"/>
    </row>
    <row r="328" spans="1:6">
      <c r="A328" s="377" t="s">
        <v>1972</v>
      </c>
      <c r="B328" s="363" t="s">
        <v>671</v>
      </c>
      <c r="C328" s="363" t="s">
        <v>1504</v>
      </c>
      <c r="D328" s="378"/>
      <c r="E328" s="391"/>
      <c r="F328" s="391"/>
    </row>
    <row r="329" spans="1:6">
      <c r="A329" s="366" t="s">
        <v>1975</v>
      </c>
      <c r="B329" s="366" t="s">
        <v>2581</v>
      </c>
      <c r="C329" s="367" t="s">
        <v>672</v>
      </c>
      <c r="D329" s="379"/>
      <c r="E329" s="394">
        <v>611034.30000000005</v>
      </c>
      <c r="F329" s="394">
        <v>657680.12</v>
      </c>
    </row>
    <row r="330" spans="1:6">
      <c r="A330" s="366" t="s">
        <v>1975</v>
      </c>
      <c r="B330" s="366" t="s">
        <v>2582</v>
      </c>
      <c r="C330" s="367" t="s">
        <v>673</v>
      </c>
      <c r="D330" s="379"/>
      <c r="E330" s="394">
        <v>907501.27</v>
      </c>
      <c r="F330" s="394">
        <v>837036.13</v>
      </c>
    </row>
    <row r="331" spans="1:6">
      <c r="A331" s="366" t="s">
        <v>1975</v>
      </c>
      <c r="B331" s="366" t="s">
        <v>2583</v>
      </c>
      <c r="C331" s="367" t="s">
        <v>665</v>
      </c>
      <c r="D331" s="379"/>
      <c r="E331" s="394">
        <v>10027624.01</v>
      </c>
      <c r="F331" s="394">
        <v>8674474.4900000002</v>
      </c>
    </row>
    <row r="332" spans="1:6" ht="24">
      <c r="A332" s="366" t="s">
        <v>1975</v>
      </c>
      <c r="B332" s="366" t="s">
        <v>2584</v>
      </c>
      <c r="C332" s="367" t="s">
        <v>666</v>
      </c>
      <c r="D332" s="379"/>
      <c r="E332" s="394">
        <v>5165250.5</v>
      </c>
      <c r="F332" s="394">
        <v>4748918.2300000004</v>
      </c>
    </row>
    <row r="333" spans="1:6">
      <c r="A333" s="366" t="s">
        <v>1975</v>
      </c>
      <c r="B333" s="366" t="s">
        <v>2585</v>
      </c>
      <c r="C333" s="367" t="s">
        <v>667</v>
      </c>
      <c r="D333" s="379"/>
      <c r="E333" s="394">
        <v>9531747.75</v>
      </c>
      <c r="F333" s="394">
        <v>7816190.5499999998</v>
      </c>
    </row>
    <row r="334" spans="1:6" ht="24">
      <c r="A334" s="366" t="s">
        <v>1975</v>
      </c>
      <c r="B334" s="366" t="s">
        <v>2586</v>
      </c>
      <c r="C334" s="367" t="s">
        <v>2587</v>
      </c>
      <c r="D334" s="379"/>
      <c r="E334" s="394">
        <v>2647747.6800000002</v>
      </c>
      <c r="F334" s="394">
        <v>2615908.3199999998</v>
      </c>
    </row>
    <row r="335" spans="1:6">
      <c r="A335" s="366" t="s">
        <v>1975</v>
      </c>
      <c r="B335" s="366" t="s">
        <v>2588</v>
      </c>
      <c r="C335" s="367" t="s">
        <v>674</v>
      </c>
      <c r="D335" s="379"/>
      <c r="E335" s="394">
        <v>4000</v>
      </c>
      <c r="F335" s="394">
        <v>2400</v>
      </c>
    </row>
    <row r="336" spans="1:6">
      <c r="A336" s="366" t="s">
        <v>1975</v>
      </c>
      <c r="B336" s="366" t="s">
        <v>2589</v>
      </c>
      <c r="C336" s="367" t="s">
        <v>675</v>
      </c>
      <c r="D336" s="379"/>
      <c r="E336" s="394">
        <v>3292487.76</v>
      </c>
      <c r="F336" s="394">
        <v>915058.88</v>
      </c>
    </row>
    <row r="337" spans="1:6">
      <c r="A337" s="377" t="s">
        <v>1972</v>
      </c>
      <c r="B337" s="363" t="s">
        <v>676</v>
      </c>
      <c r="C337" s="363" t="s">
        <v>1505</v>
      </c>
      <c r="D337" s="378"/>
      <c r="E337" s="391"/>
      <c r="F337" s="391"/>
    </row>
    <row r="338" spans="1:6" ht="24">
      <c r="A338" s="366" t="s">
        <v>1975</v>
      </c>
      <c r="B338" s="366" t="s">
        <v>2590</v>
      </c>
      <c r="C338" s="367" t="s">
        <v>2591</v>
      </c>
      <c r="D338" s="379"/>
      <c r="E338" s="394">
        <v>559530.73</v>
      </c>
      <c r="F338" s="394">
        <v>690958.44</v>
      </c>
    </row>
    <row r="339" spans="1:6">
      <c r="A339" s="366" t="s">
        <v>1975</v>
      </c>
      <c r="B339" s="366" t="s">
        <v>2592</v>
      </c>
      <c r="C339" s="367" t="s">
        <v>677</v>
      </c>
      <c r="D339" s="379"/>
      <c r="E339" s="394">
        <v>536206.56000000006</v>
      </c>
      <c r="F339" s="394">
        <v>616394.63</v>
      </c>
    </row>
    <row r="340" spans="1:6" ht="25.5">
      <c r="A340" s="377" t="s">
        <v>1970</v>
      </c>
      <c r="B340" s="363" t="s">
        <v>678</v>
      </c>
      <c r="C340" s="363" t="s">
        <v>2593</v>
      </c>
      <c r="D340" s="378"/>
      <c r="E340" s="391"/>
      <c r="F340" s="391"/>
    </row>
    <row r="341" spans="1:6" ht="25.5">
      <c r="A341" s="377" t="s">
        <v>1972</v>
      </c>
      <c r="B341" s="363" t="s">
        <v>680</v>
      </c>
      <c r="C341" s="363" t="s">
        <v>2594</v>
      </c>
      <c r="D341" s="378"/>
      <c r="E341" s="391"/>
      <c r="F341" s="391"/>
    </row>
    <row r="342" spans="1:6" ht="24">
      <c r="A342" s="366" t="s">
        <v>1975</v>
      </c>
      <c r="B342" s="366" t="s">
        <v>2595</v>
      </c>
      <c r="C342" s="367" t="s">
        <v>679</v>
      </c>
      <c r="D342" s="379"/>
      <c r="E342" s="394">
        <v>575800.24</v>
      </c>
      <c r="F342" s="394">
        <v>458266.68</v>
      </c>
    </row>
    <row r="343" spans="1:6" ht="25.5">
      <c r="A343" s="377" t="s">
        <v>1972</v>
      </c>
      <c r="B343" s="363" t="s">
        <v>682</v>
      </c>
      <c r="C343" s="363" t="s">
        <v>2596</v>
      </c>
      <c r="D343" s="378"/>
      <c r="E343" s="391"/>
      <c r="F343" s="391"/>
    </row>
    <row r="344" spans="1:6" ht="24">
      <c r="A344" s="366" t="s">
        <v>1975</v>
      </c>
      <c r="B344" s="366" t="s">
        <v>2597</v>
      </c>
      <c r="C344" s="367" t="s">
        <v>681</v>
      </c>
      <c r="D344" s="379"/>
      <c r="E344" s="394">
        <v>5043848.46</v>
      </c>
      <c r="F344" s="394">
        <v>4387338.8099999996</v>
      </c>
    </row>
    <row r="345" spans="1:6" ht="25.5">
      <c r="A345" s="377" t="s">
        <v>1972</v>
      </c>
      <c r="B345" s="363" t="s">
        <v>684</v>
      </c>
      <c r="C345" s="363" t="s">
        <v>2598</v>
      </c>
      <c r="D345" s="378"/>
      <c r="E345" s="391"/>
      <c r="F345" s="391"/>
    </row>
    <row r="346" spans="1:6" ht="24">
      <c r="A346" s="366" t="s">
        <v>1975</v>
      </c>
      <c r="B346" s="366" t="s">
        <v>2599</v>
      </c>
      <c r="C346" s="367" t="s">
        <v>683</v>
      </c>
      <c r="D346" s="379"/>
      <c r="E346" s="394"/>
      <c r="F346" s="394"/>
    </row>
    <row r="347" spans="1:6" ht="38.25">
      <c r="A347" s="377" t="s">
        <v>1972</v>
      </c>
      <c r="B347" s="363" t="s">
        <v>685</v>
      </c>
      <c r="C347" s="363" t="s">
        <v>2600</v>
      </c>
      <c r="D347" s="378"/>
      <c r="E347" s="391"/>
      <c r="F347" s="391"/>
    </row>
    <row r="348" spans="1:6" ht="24">
      <c r="A348" s="366" t="s">
        <v>1975</v>
      </c>
      <c r="B348" s="366" t="s">
        <v>2601</v>
      </c>
      <c r="C348" s="367" t="s">
        <v>686</v>
      </c>
      <c r="D348" s="379"/>
      <c r="E348" s="394">
        <v>412445.52</v>
      </c>
      <c r="F348" s="394">
        <v>409060.11</v>
      </c>
    </row>
    <row r="349" spans="1:6" ht="24">
      <c r="A349" s="366" t="s">
        <v>1975</v>
      </c>
      <c r="B349" s="366" t="s">
        <v>2602</v>
      </c>
      <c r="C349" s="367" t="s">
        <v>687</v>
      </c>
      <c r="D349" s="379"/>
      <c r="E349" s="394">
        <v>86761.73</v>
      </c>
      <c r="F349" s="394">
        <v>69647.360000000001</v>
      </c>
    </row>
    <row r="350" spans="1:6" ht="24">
      <c r="A350" s="366" t="s">
        <v>1975</v>
      </c>
      <c r="B350" s="366" t="s">
        <v>2603</v>
      </c>
      <c r="C350" s="367" t="s">
        <v>688</v>
      </c>
      <c r="D350" s="379"/>
      <c r="E350" s="394"/>
      <c r="F350" s="394"/>
    </row>
    <row r="351" spans="1:6" ht="36">
      <c r="A351" s="366" t="s">
        <v>1975</v>
      </c>
      <c r="B351" s="366" t="s">
        <v>2604</v>
      </c>
      <c r="C351" s="367" t="s">
        <v>2605</v>
      </c>
      <c r="D351" s="379"/>
      <c r="E351" s="394">
        <v>20649.29</v>
      </c>
      <c r="F351" s="394"/>
    </row>
    <row r="352" spans="1:6" ht="51">
      <c r="A352" s="377" t="s">
        <v>1972</v>
      </c>
      <c r="B352" s="363" t="s">
        <v>689</v>
      </c>
      <c r="C352" s="363" t="s">
        <v>2606</v>
      </c>
      <c r="D352" s="378" t="s">
        <v>1248</v>
      </c>
      <c r="E352" s="391"/>
      <c r="F352" s="391"/>
    </row>
    <row r="353" spans="1:6" ht="24">
      <c r="A353" s="366" t="s">
        <v>1975</v>
      </c>
      <c r="B353" s="366" t="s">
        <v>2607</v>
      </c>
      <c r="C353" s="367" t="s">
        <v>2608</v>
      </c>
      <c r="D353" s="379" t="s">
        <v>1248</v>
      </c>
      <c r="E353" s="394"/>
      <c r="F353" s="394"/>
    </row>
    <row r="354" spans="1:6" ht="36">
      <c r="A354" s="366" t="s">
        <v>1975</v>
      </c>
      <c r="B354" s="366" t="s">
        <v>2609</v>
      </c>
      <c r="C354" s="367" t="s">
        <v>2610</v>
      </c>
      <c r="D354" s="379" t="s">
        <v>1248</v>
      </c>
      <c r="E354" s="394"/>
      <c r="F354" s="394"/>
    </row>
    <row r="355" spans="1:6" ht="24">
      <c r="A355" s="366" t="s">
        <v>1975</v>
      </c>
      <c r="B355" s="366" t="s">
        <v>2611</v>
      </c>
      <c r="C355" s="367" t="s">
        <v>2612</v>
      </c>
      <c r="D355" s="379" t="s">
        <v>1248</v>
      </c>
      <c r="E355" s="394"/>
      <c r="F355" s="394"/>
    </row>
    <row r="356" spans="1:6" ht="36">
      <c r="A356" s="366" t="s">
        <v>1975</v>
      </c>
      <c r="B356" s="366" t="s">
        <v>2613</v>
      </c>
      <c r="C356" s="367" t="s">
        <v>2614</v>
      </c>
      <c r="D356" s="379" t="s">
        <v>1248</v>
      </c>
      <c r="E356" s="394"/>
      <c r="F356" s="394"/>
    </row>
    <row r="357" spans="1:6" ht="25.5">
      <c r="A357" s="377" t="s">
        <v>1972</v>
      </c>
      <c r="B357" s="363" t="s">
        <v>690</v>
      </c>
      <c r="C357" s="363" t="s">
        <v>2615</v>
      </c>
      <c r="D357" s="378"/>
      <c r="E357" s="391"/>
      <c r="F357" s="391"/>
    </row>
    <row r="358" spans="1:6" ht="24">
      <c r="A358" s="366" t="s">
        <v>1975</v>
      </c>
      <c r="B358" s="366" t="s">
        <v>2616</v>
      </c>
      <c r="C358" s="367" t="s">
        <v>691</v>
      </c>
      <c r="D358" s="379"/>
      <c r="E358" s="394">
        <v>6888.21</v>
      </c>
      <c r="F358" s="394">
        <v>7323.15</v>
      </c>
    </row>
    <row r="359" spans="1:6" ht="24">
      <c r="A359" s="366" t="s">
        <v>1975</v>
      </c>
      <c r="B359" s="366" t="s">
        <v>2617</v>
      </c>
      <c r="C359" s="367" t="s">
        <v>2618</v>
      </c>
      <c r="D359" s="379"/>
      <c r="E359" s="394">
        <v>1474.72</v>
      </c>
      <c r="F359" s="394">
        <v>2992.91</v>
      </c>
    </row>
    <row r="360" spans="1:6" ht="24">
      <c r="A360" s="366" t="s">
        <v>1975</v>
      </c>
      <c r="B360" s="366" t="s">
        <v>2619</v>
      </c>
      <c r="C360" s="367" t="s">
        <v>2620</v>
      </c>
      <c r="D360" s="379"/>
      <c r="E360" s="394">
        <v>392.18</v>
      </c>
      <c r="F360" s="394">
        <v>12388.46</v>
      </c>
    </row>
    <row r="361" spans="1:6" ht="24">
      <c r="A361" s="366" t="s">
        <v>1975</v>
      </c>
      <c r="B361" s="366" t="s">
        <v>2621</v>
      </c>
      <c r="C361" s="367" t="s">
        <v>692</v>
      </c>
      <c r="D361" s="379"/>
      <c r="E361" s="394">
        <v>27247.95</v>
      </c>
      <c r="F361" s="394">
        <v>33032.800000000003</v>
      </c>
    </row>
    <row r="362" spans="1:6" ht="24">
      <c r="A362" s="366" t="s">
        <v>1975</v>
      </c>
      <c r="B362" s="366" t="s">
        <v>2622</v>
      </c>
      <c r="C362" s="367" t="s">
        <v>693</v>
      </c>
      <c r="D362" s="379"/>
      <c r="E362" s="394"/>
      <c r="F362" s="394"/>
    </row>
    <row r="363" spans="1:6" ht="24">
      <c r="A363" s="366" t="s">
        <v>1975</v>
      </c>
      <c r="B363" s="366" t="s">
        <v>2623</v>
      </c>
      <c r="C363" s="367" t="s">
        <v>694</v>
      </c>
      <c r="D363" s="379"/>
      <c r="E363" s="394">
        <v>30677.86</v>
      </c>
      <c r="F363" s="394">
        <v>35443.65</v>
      </c>
    </row>
    <row r="364" spans="1:6" ht="24">
      <c r="A364" s="366" t="s">
        <v>1975</v>
      </c>
      <c r="B364" s="366" t="s">
        <v>2624</v>
      </c>
      <c r="C364" s="367" t="s">
        <v>2625</v>
      </c>
      <c r="D364" s="379"/>
      <c r="E364" s="394">
        <v>1215.1400000000001</v>
      </c>
      <c r="F364" s="394">
        <v>1404.76</v>
      </c>
    </row>
    <row r="365" spans="1:6">
      <c r="A365" s="366" t="s">
        <v>1975</v>
      </c>
      <c r="B365" s="366" t="s">
        <v>2626</v>
      </c>
      <c r="C365" s="367" t="s">
        <v>695</v>
      </c>
      <c r="D365" s="379"/>
      <c r="E365" s="394">
        <v>459441.51</v>
      </c>
      <c r="F365" s="394">
        <v>380008.54</v>
      </c>
    </row>
    <row r="366" spans="1:6">
      <c r="A366" s="366" t="s">
        <v>1975</v>
      </c>
      <c r="B366" s="366" t="s">
        <v>2627</v>
      </c>
      <c r="C366" s="367" t="s">
        <v>696</v>
      </c>
      <c r="D366" s="379"/>
      <c r="E366" s="394">
        <v>418432.7</v>
      </c>
      <c r="F366" s="394">
        <v>361071.6</v>
      </c>
    </row>
    <row r="367" spans="1:6" ht="24">
      <c r="A367" s="366" t="s">
        <v>1975</v>
      </c>
      <c r="B367" s="366" t="s">
        <v>2628</v>
      </c>
      <c r="C367" s="367" t="s">
        <v>3627</v>
      </c>
      <c r="D367" s="379"/>
      <c r="E367" s="394"/>
      <c r="F367" s="394"/>
    </row>
    <row r="368" spans="1:6" ht="24">
      <c r="A368" s="366" t="s">
        <v>1975</v>
      </c>
      <c r="B368" s="366" t="s">
        <v>2629</v>
      </c>
      <c r="C368" s="367" t="s">
        <v>3628</v>
      </c>
      <c r="D368" s="379"/>
      <c r="E368" s="394">
        <v>261316.65</v>
      </c>
      <c r="F368" s="394"/>
    </row>
    <row r="369" spans="1:6" ht="38.25">
      <c r="A369" s="377" t="s">
        <v>1972</v>
      </c>
      <c r="B369" s="363" t="s">
        <v>697</v>
      </c>
      <c r="C369" s="363" t="s">
        <v>2630</v>
      </c>
      <c r="D369" s="378" t="s">
        <v>1248</v>
      </c>
      <c r="E369" s="391"/>
      <c r="F369" s="391"/>
    </row>
    <row r="370" spans="1:6" ht="24">
      <c r="A370" s="366" t="s">
        <v>1975</v>
      </c>
      <c r="B370" s="366" t="s">
        <v>2631</v>
      </c>
      <c r="C370" s="367" t="s">
        <v>2632</v>
      </c>
      <c r="D370" s="379" t="s">
        <v>1248</v>
      </c>
      <c r="E370" s="394"/>
      <c r="F370" s="394"/>
    </row>
    <row r="371" spans="1:6" ht="24">
      <c r="A371" s="366" t="s">
        <v>1975</v>
      </c>
      <c r="B371" s="366" t="s">
        <v>2633</v>
      </c>
      <c r="C371" s="367" t="s">
        <v>2634</v>
      </c>
      <c r="D371" s="379" t="s">
        <v>1248</v>
      </c>
      <c r="E371" s="394"/>
      <c r="F371" s="394"/>
    </row>
    <row r="372" spans="1:6" ht="24">
      <c r="A372" s="366" t="s">
        <v>1975</v>
      </c>
      <c r="B372" s="366" t="s">
        <v>2635</v>
      </c>
      <c r="C372" s="367" t="s">
        <v>2636</v>
      </c>
      <c r="D372" s="379" t="s">
        <v>1248</v>
      </c>
      <c r="E372" s="394"/>
      <c r="F372" s="394"/>
    </row>
    <row r="373" spans="1:6" ht="24">
      <c r="A373" s="366" t="s">
        <v>1975</v>
      </c>
      <c r="B373" s="366" t="s">
        <v>2637</v>
      </c>
      <c r="C373" s="367" t="s">
        <v>2638</v>
      </c>
      <c r="D373" s="379" t="s">
        <v>1248</v>
      </c>
      <c r="E373" s="394"/>
      <c r="F373" s="394"/>
    </row>
    <row r="374" spans="1:6" ht="24">
      <c r="A374" s="366" t="s">
        <v>1975</v>
      </c>
      <c r="B374" s="366" t="s">
        <v>2639</v>
      </c>
      <c r="C374" s="367" t="s">
        <v>2640</v>
      </c>
      <c r="D374" s="379" t="s">
        <v>1248</v>
      </c>
      <c r="E374" s="394"/>
      <c r="F374" s="394"/>
    </row>
    <row r="375" spans="1:6" ht="24">
      <c r="A375" s="366" t="s">
        <v>1975</v>
      </c>
      <c r="B375" s="366" t="s">
        <v>2641</v>
      </c>
      <c r="C375" s="367" t="s">
        <v>2642</v>
      </c>
      <c r="D375" s="379" t="s">
        <v>1248</v>
      </c>
      <c r="E375" s="394"/>
      <c r="F375" s="394"/>
    </row>
    <row r="376" spans="1:6" ht="24">
      <c r="A376" s="366" t="s">
        <v>1975</v>
      </c>
      <c r="B376" s="366" t="s">
        <v>2643</v>
      </c>
      <c r="C376" s="367" t="s">
        <v>2644</v>
      </c>
      <c r="D376" s="379" t="s">
        <v>1248</v>
      </c>
      <c r="E376" s="394"/>
      <c r="F376" s="394"/>
    </row>
    <row r="377" spans="1:6" ht="24">
      <c r="A377" s="366" t="s">
        <v>1975</v>
      </c>
      <c r="B377" s="366" t="s">
        <v>2645</v>
      </c>
      <c r="C377" s="367" t="s">
        <v>3629</v>
      </c>
      <c r="D377" s="379" t="s">
        <v>1248</v>
      </c>
      <c r="E377" s="394"/>
      <c r="F377" s="394"/>
    </row>
    <row r="378" spans="1:6" ht="36">
      <c r="A378" s="366" t="s">
        <v>1975</v>
      </c>
      <c r="B378" s="366" t="s">
        <v>2646</v>
      </c>
      <c r="C378" s="367" t="s">
        <v>3630</v>
      </c>
      <c r="D378" s="379" t="s">
        <v>1248</v>
      </c>
      <c r="E378" s="394"/>
      <c r="F378" s="394"/>
    </row>
    <row r="379" spans="1:6">
      <c r="A379" s="377" t="s">
        <v>1970</v>
      </c>
      <c r="B379" s="363" t="s">
        <v>698</v>
      </c>
      <c r="C379" s="363" t="s">
        <v>2647</v>
      </c>
      <c r="D379" s="378"/>
      <c r="E379" s="391"/>
      <c r="F379" s="391"/>
    </row>
    <row r="380" spans="1:6">
      <c r="A380" s="377" t="s">
        <v>1972</v>
      </c>
      <c r="B380" s="363" t="s">
        <v>700</v>
      </c>
      <c r="C380" s="363" t="s">
        <v>2648</v>
      </c>
      <c r="D380" s="378"/>
      <c r="E380" s="391"/>
      <c r="F380" s="391"/>
    </row>
    <row r="381" spans="1:6">
      <c r="A381" s="366" t="s">
        <v>1975</v>
      </c>
      <c r="B381" s="366" t="s">
        <v>2649</v>
      </c>
      <c r="C381" s="367" t="s">
        <v>699</v>
      </c>
      <c r="D381" s="379"/>
      <c r="E381" s="394">
        <v>234000</v>
      </c>
      <c r="F381" s="394">
        <v>233984.85</v>
      </c>
    </row>
    <row r="382" spans="1:6">
      <c r="A382" s="377" t="s">
        <v>1972</v>
      </c>
      <c r="B382" s="363" t="s">
        <v>702</v>
      </c>
      <c r="C382" s="363" t="s">
        <v>2650</v>
      </c>
      <c r="D382" s="378"/>
      <c r="E382" s="391"/>
      <c r="F382" s="391"/>
    </row>
    <row r="383" spans="1:6">
      <c r="A383" s="366" t="s">
        <v>1975</v>
      </c>
      <c r="B383" s="366" t="s">
        <v>2651</v>
      </c>
      <c r="C383" s="367" t="s">
        <v>701</v>
      </c>
      <c r="D383" s="379"/>
      <c r="E383" s="394">
        <v>38135.300000000003</v>
      </c>
      <c r="F383" s="394">
        <v>8135.9</v>
      </c>
    </row>
    <row r="384" spans="1:6" ht="25.5">
      <c r="A384" s="377" t="s">
        <v>1972</v>
      </c>
      <c r="B384" s="363" t="s">
        <v>704</v>
      </c>
      <c r="C384" s="363" t="s">
        <v>2652</v>
      </c>
      <c r="D384" s="378"/>
      <c r="E384" s="391"/>
      <c r="F384" s="391"/>
    </row>
    <row r="385" spans="1:6" ht="24">
      <c r="A385" s="366" t="s">
        <v>1975</v>
      </c>
      <c r="B385" s="366" t="s">
        <v>2653</v>
      </c>
      <c r="C385" s="367" t="s">
        <v>703</v>
      </c>
      <c r="D385" s="379"/>
      <c r="E385" s="394"/>
      <c r="F385" s="394"/>
    </row>
    <row r="386" spans="1:6">
      <c r="A386" s="377" t="s">
        <v>1972</v>
      </c>
      <c r="B386" s="363" t="s">
        <v>706</v>
      </c>
      <c r="C386" s="363" t="s">
        <v>2654</v>
      </c>
      <c r="D386" s="378"/>
      <c r="E386" s="391"/>
      <c r="F386" s="391"/>
    </row>
    <row r="387" spans="1:6">
      <c r="A387" s="366" t="s">
        <v>1975</v>
      </c>
      <c r="B387" s="366" t="s">
        <v>2655</v>
      </c>
      <c r="C387" s="367" t="s">
        <v>705</v>
      </c>
      <c r="D387" s="379"/>
      <c r="E387" s="394">
        <v>72085.67</v>
      </c>
      <c r="F387" s="394">
        <v>118467.91</v>
      </c>
    </row>
    <row r="388" spans="1:6">
      <c r="A388" s="377" t="s">
        <v>1972</v>
      </c>
      <c r="B388" s="363" t="s">
        <v>708</v>
      </c>
      <c r="C388" s="363" t="s">
        <v>2656</v>
      </c>
      <c r="D388" s="378"/>
      <c r="E388" s="391"/>
      <c r="F388" s="391"/>
    </row>
    <row r="389" spans="1:6">
      <c r="A389" s="366" t="s">
        <v>1975</v>
      </c>
      <c r="B389" s="366" t="s">
        <v>2657</v>
      </c>
      <c r="C389" s="367" t="s">
        <v>709</v>
      </c>
      <c r="D389" s="379"/>
      <c r="E389" s="394"/>
      <c r="F389" s="394"/>
    </row>
    <row r="390" spans="1:6">
      <c r="A390" s="366" t="s">
        <v>1975</v>
      </c>
      <c r="B390" s="366" t="s">
        <v>2658</v>
      </c>
      <c r="C390" s="367" t="s">
        <v>710</v>
      </c>
      <c r="D390" s="379"/>
      <c r="E390" s="394">
        <v>3834.31</v>
      </c>
      <c r="F390" s="394">
        <v>729987.16</v>
      </c>
    </row>
    <row r="391" spans="1:6">
      <c r="A391" s="366" t="s">
        <v>1975</v>
      </c>
      <c r="B391" s="366" t="s">
        <v>2659</v>
      </c>
      <c r="C391" s="367" t="s">
        <v>711</v>
      </c>
      <c r="D391" s="379"/>
      <c r="E391" s="394">
        <v>62166.67</v>
      </c>
      <c r="F391" s="394">
        <v>66206.009999999995</v>
      </c>
    </row>
    <row r="392" spans="1:6">
      <c r="A392" s="366" t="s">
        <v>1975</v>
      </c>
      <c r="B392" s="366" t="s">
        <v>2660</v>
      </c>
      <c r="C392" s="367" t="s">
        <v>712</v>
      </c>
      <c r="D392" s="379"/>
      <c r="E392" s="394"/>
      <c r="F392" s="394"/>
    </row>
    <row r="393" spans="1:6">
      <c r="A393" s="366" t="s">
        <v>1975</v>
      </c>
      <c r="B393" s="366" t="s">
        <v>2661</v>
      </c>
      <c r="C393" s="367" t="s">
        <v>713</v>
      </c>
      <c r="D393" s="379"/>
      <c r="E393" s="394">
        <v>257302.18</v>
      </c>
      <c r="F393" s="394">
        <v>302324.34000000003</v>
      </c>
    </row>
    <row r="394" spans="1:6">
      <c r="A394" s="366" t="s">
        <v>1975</v>
      </c>
      <c r="B394" s="366" t="s">
        <v>2662</v>
      </c>
      <c r="C394" s="367" t="s">
        <v>714</v>
      </c>
      <c r="D394" s="379"/>
      <c r="E394" s="394">
        <v>1017196.4</v>
      </c>
      <c r="F394" s="394">
        <v>928321.86</v>
      </c>
    </row>
    <row r="395" spans="1:6">
      <c r="A395" s="366" t="s">
        <v>1975</v>
      </c>
      <c r="B395" s="366" t="s">
        <v>2663</v>
      </c>
      <c r="C395" s="367" t="s">
        <v>715</v>
      </c>
      <c r="D395" s="379"/>
      <c r="E395" s="394">
        <v>671944.54</v>
      </c>
      <c r="F395" s="394">
        <v>827308.56</v>
      </c>
    </row>
    <row r="396" spans="1:6">
      <c r="A396" s="366" t="s">
        <v>1975</v>
      </c>
      <c r="B396" s="366" t="s">
        <v>2664</v>
      </c>
      <c r="C396" s="367" t="s">
        <v>716</v>
      </c>
      <c r="D396" s="379"/>
      <c r="E396" s="394"/>
      <c r="F396" s="394"/>
    </row>
    <row r="397" spans="1:6">
      <c r="A397" s="366" t="s">
        <v>1975</v>
      </c>
      <c r="B397" s="366" t="s">
        <v>2665</v>
      </c>
      <c r="C397" s="367" t="s">
        <v>717</v>
      </c>
      <c r="D397" s="379"/>
      <c r="E397" s="394"/>
      <c r="F397" s="394"/>
    </row>
    <row r="398" spans="1:6">
      <c r="A398" s="366" t="s">
        <v>1975</v>
      </c>
      <c r="B398" s="366" t="s">
        <v>2666</v>
      </c>
      <c r="C398" s="367" t="s">
        <v>707</v>
      </c>
      <c r="D398" s="379"/>
      <c r="E398" s="394">
        <v>4251017.92</v>
      </c>
      <c r="F398" s="394">
        <v>3902823.98</v>
      </c>
    </row>
    <row r="399" spans="1:6" ht="25.5">
      <c r="A399" s="377" t="s">
        <v>1972</v>
      </c>
      <c r="B399" s="363" t="s">
        <v>718</v>
      </c>
      <c r="C399" s="363" t="s">
        <v>2667</v>
      </c>
      <c r="D399" s="378" t="s">
        <v>1248</v>
      </c>
      <c r="E399" s="391"/>
      <c r="F399" s="391"/>
    </row>
    <row r="400" spans="1:6">
      <c r="A400" s="366" t="s">
        <v>1975</v>
      </c>
      <c r="B400" s="366" t="s">
        <v>2668</v>
      </c>
      <c r="C400" s="367" t="s">
        <v>719</v>
      </c>
      <c r="D400" s="379" t="s">
        <v>1248</v>
      </c>
      <c r="E400" s="394">
        <v>593445.88</v>
      </c>
      <c r="F400" s="394">
        <v>602334.71999999997</v>
      </c>
    </row>
    <row r="401" spans="1:6" ht="24">
      <c r="A401" s="366" t="s">
        <v>1975</v>
      </c>
      <c r="B401" s="366" t="s">
        <v>2669</v>
      </c>
      <c r="C401" s="367" t="s">
        <v>720</v>
      </c>
      <c r="D401" s="379" t="s">
        <v>1248</v>
      </c>
      <c r="E401" s="394">
        <v>761907.99</v>
      </c>
      <c r="F401" s="394">
        <v>838396.04</v>
      </c>
    </row>
    <row r="402" spans="1:6">
      <c r="A402" s="377" t="s">
        <v>1972</v>
      </c>
      <c r="B402" s="363" t="s">
        <v>722</v>
      </c>
      <c r="C402" s="363" t="s">
        <v>1521</v>
      </c>
      <c r="D402" s="378" t="s">
        <v>1248</v>
      </c>
      <c r="E402" s="391"/>
      <c r="F402" s="391"/>
    </row>
    <row r="403" spans="1:6">
      <c r="A403" s="366" t="s">
        <v>1975</v>
      </c>
      <c r="B403" s="366" t="s">
        <v>2670</v>
      </c>
      <c r="C403" s="367" t="s">
        <v>721</v>
      </c>
      <c r="D403" s="379" t="s">
        <v>1248</v>
      </c>
      <c r="E403" s="394"/>
      <c r="F403" s="394"/>
    </row>
    <row r="404" spans="1:6" ht="25.5">
      <c r="A404" s="377" t="s">
        <v>1970</v>
      </c>
      <c r="B404" s="363" t="s">
        <v>723</v>
      </c>
      <c r="C404" s="363" t="s">
        <v>2671</v>
      </c>
      <c r="D404" s="378"/>
      <c r="E404" s="391"/>
      <c r="F404" s="391"/>
    </row>
    <row r="405" spans="1:6" ht="25.5">
      <c r="A405" s="377" t="s">
        <v>1972</v>
      </c>
      <c r="B405" s="363" t="s">
        <v>725</v>
      </c>
      <c r="C405" s="363" t="s">
        <v>2672</v>
      </c>
      <c r="D405" s="378" t="s">
        <v>1248</v>
      </c>
      <c r="E405" s="391"/>
      <c r="F405" s="391"/>
    </row>
    <row r="406" spans="1:6" ht="24">
      <c r="A406" s="366" t="s">
        <v>1975</v>
      </c>
      <c r="B406" s="366" t="s">
        <v>2673</v>
      </c>
      <c r="C406" s="367" t="s">
        <v>724</v>
      </c>
      <c r="D406" s="379" t="s">
        <v>1248</v>
      </c>
      <c r="E406" s="394">
        <v>10157.02</v>
      </c>
      <c r="F406" s="394">
        <v>16051.32</v>
      </c>
    </row>
    <row r="407" spans="1:6" ht="25.5">
      <c r="A407" s="377" t="s">
        <v>1972</v>
      </c>
      <c r="B407" s="363" t="s">
        <v>727</v>
      </c>
      <c r="C407" s="363" t="s">
        <v>2674</v>
      </c>
      <c r="D407" s="378"/>
      <c r="E407" s="391"/>
      <c r="F407" s="391"/>
    </row>
    <row r="408" spans="1:6" ht="24">
      <c r="A408" s="366" t="s">
        <v>1975</v>
      </c>
      <c r="B408" s="366" t="s">
        <v>2675</v>
      </c>
      <c r="C408" s="367" t="s">
        <v>726</v>
      </c>
      <c r="D408" s="379"/>
      <c r="E408" s="394">
        <v>4760.5600000000004</v>
      </c>
      <c r="F408" s="394">
        <v>6899.05</v>
      </c>
    </row>
    <row r="409" spans="1:6" ht="25.5">
      <c r="A409" s="377" t="s">
        <v>1972</v>
      </c>
      <c r="B409" s="363" t="s">
        <v>728</v>
      </c>
      <c r="C409" s="363" t="s">
        <v>2676</v>
      </c>
      <c r="D409" s="378"/>
      <c r="E409" s="391"/>
      <c r="F409" s="391"/>
    </row>
    <row r="410" spans="1:6" ht="25.5">
      <c r="A410" s="377" t="s">
        <v>1975</v>
      </c>
      <c r="B410" s="363" t="s">
        <v>730</v>
      </c>
      <c r="C410" s="363" t="s">
        <v>1526</v>
      </c>
      <c r="D410" s="378"/>
      <c r="E410" s="391"/>
      <c r="F410" s="391"/>
    </row>
    <row r="411" spans="1:6" ht="24">
      <c r="A411" s="366" t="s">
        <v>2091</v>
      </c>
      <c r="B411" s="366" t="s">
        <v>2677</v>
      </c>
      <c r="C411" s="367" t="s">
        <v>729</v>
      </c>
      <c r="D411" s="379"/>
      <c r="E411" s="394">
        <v>1347331.76</v>
      </c>
      <c r="F411" s="394">
        <v>2077641.68</v>
      </c>
    </row>
    <row r="412" spans="1:6" ht="25.5">
      <c r="A412" s="377" t="s">
        <v>1975</v>
      </c>
      <c r="B412" s="363" t="s">
        <v>731</v>
      </c>
      <c r="C412" s="363" t="s">
        <v>1527</v>
      </c>
      <c r="D412" s="378"/>
      <c r="E412" s="391"/>
      <c r="F412" s="391"/>
    </row>
    <row r="413" spans="1:6" ht="24">
      <c r="A413" s="366" t="s">
        <v>2091</v>
      </c>
      <c r="B413" s="366" t="s">
        <v>2678</v>
      </c>
      <c r="C413" s="367" t="s">
        <v>732</v>
      </c>
      <c r="D413" s="379"/>
      <c r="E413" s="394">
        <v>464723.54</v>
      </c>
      <c r="F413" s="394">
        <v>971354.19</v>
      </c>
    </row>
    <row r="414" spans="1:6">
      <c r="A414" s="366">
        <v>8</v>
      </c>
      <c r="B414" s="366" t="s">
        <v>2679</v>
      </c>
      <c r="C414" s="367" t="s">
        <v>733</v>
      </c>
      <c r="D414" s="379"/>
      <c r="E414" s="394">
        <v>28478.9</v>
      </c>
      <c r="F414" s="394">
        <v>37546.1</v>
      </c>
    </row>
    <row r="415" spans="1:6" ht="24">
      <c r="A415" s="366">
        <v>8</v>
      </c>
      <c r="B415" s="366" t="s">
        <v>2680</v>
      </c>
      <c r="C415" s="367" t="s">
        <v>734</v>
      </c>
      <c r="D415" s="379"/>
      <c r="E415" s="394"/>
      <c r="F415" s="394"/>
    </row>
    <row r="416" spans="1:6" ht="25.5">
      <c r="A416" s="377">
        <v>7</v>
      </c>
      <c r="B416" s="363" t="s">
        <v>735</v>
      </c>
      <c r="C416" s="363" t="s">
        <v>2681</v>
      </c>
      <c r="D416" s="378"/>
      <c r="E416" s="391"/>
      <c r="F416" s="391"/>
    </row>
    <row r="417" spans="1:6" ht="24">
      <c r="A417" s="366">
        <v>8</v>
      </c>
      <c r="B417" s="366" t="s">
        <v>2682</v>
      </c>
      <c r="C417" s="367" t="s">
        <v>736</v>
      </c>
      <c r="D417" s="379"/>
      <c r="E417" s="394">
        <v>627539.39</v>
      </c>
      <c r="F417" s="394">
        <v>116976.81</v>
      </c>
    </row>
    <row r="418" spans="1:6">
      <c r="A418" s="366">
        <v>8</v>
      </c>
      <c r="B418" s="366" t="s">
        <v>2683</v>
      </c>
      <c r="C418" s="367" t="s">
        <v>737</v>
      </c>
      <c r="D418" s="379"/>
      <c r="E418" s="394">
        <v>1542963.86</v>
      </c>
      <c r="F418" s="394">
        <v>3320120.97</v>
      </c>
    </row>
    <row r="419" spans="1:6">
      <c r="A419" s="366">
        <v>8</v>
      </c>
      <c r="B419" s="366" t="s">
        <v>2684</v>
      </c>
      <c r="C419" s="367" t="s">
        <v>738</v>
      </c>
      <c r="D419" s="379"/>
      <c r="E419" s="394"/>
      <c r="F419" s="394"/>
    </row>
    <row r="420" spans="1:6">
      <c r="A420" s="366">
        <v>8</v>
      </c>
      <c r="B420" s="366" t="s">
        <v>2685</v>
      </c>
      <c r="C420" s="367" t="s">
        <v>739</v>
      </c>
      <c r="D420" s="379"/>
      <c r="E420" s="394"/>
      <c r="F420" s="394"/>
    </row>
    <row r="421" spans="1:6" ht="25.5">
      <c r="A421" s="377" t="s">
        <v>1975</v>
      </c>
      <c r="B421" s="363" t="s">
        <v>740</v>
      </c>
      <c r="C421" s="363" t="s">
        <v>2686</v>
      </c>
      <c r="D421" s="378"/>
      <c r="E421" s="391"/>
      <c r="F421" s="391"/>
    </row>
    <row r="422" spans="1:6">
      <c r="A422" s="366">
        <v>8</v>
      </c>
      <c r="B422" s="366" t="s">
        <v>2687</v>
      </c>
      <c r="C422" s="367" t="s">
        <v>2688</v>
      </c>
      <c r="D422" s="379"/>
      <c r="E422" s="394">
        <v>2032238.15</v>
      </c>
      <c r="F422" s="394">
        <v>2977735.11</v>
      </c>
    </row>
    <row r="423" spans="1:6">
      <c r="A423" s="366">
        <v>8</v>
      </c>
      <c r="B423" s="366" t="s">
        <v>2689</v>
      </c>
      <c r="C423" s="367" t="s">
        <v>1953</v>
      </c>
      <c r="D423" s="379"/>
      <c r="E423" s="394">
        <v>1358831.23</v>
      </c>
      <c r="F423" s="394"/>
    </row>
    <row r="424" spans="1:6">
      <c r="A424" s="366">
        <v>8</v>
      </c>
      <c r="B424" s="366" t="s">
        <v>2690</v>
      </c>
      <c r="C424" s="367" t="s">
        <v>2691</v>
      </c>
      <c r="D424" s="379"/>
      <c r="E424" s="394">
        <v>110343.26</v>
      </c>
      <c r="F424" s="394"/>
    </row>
    <row r="425" spans="1:6" ht="24">
      <c r="A425" s="366">
        <v>8</v>
      </c>
      <c r="B425" s="366" t="s">
        <v>2692</v>
      </c>
      <c r="C425" s="367" t="s">
        <v>2693</v>
      </c>
      <c r="D425" s="379"/>
      <c r="E425" s="394">
        <v>90240.59</v>
      </c>
      <c r="F425" s="394"/>
    </row>
    <row r="426" spans="1:6">
      <c r="A426" s="366">
        <v>8</v>
      </c>
      <c r="B426" s="366" t="s">
        <v>2694</v>
      </c>
      <c r="C426" s="367" t="s">
        <v>2695</v>
      </c>
      <c r="D426" s="379"/>
      <c r="E426" s="394">
        <v>1011</v>
      </c>
      <c r="F426" s="394"/>
    </row>
    <row r="427" spans="1:6">
      <c r="A427" s="366">
        <v>8</v>
      </c>
      <c r="B427" s="366" t="s">
        <v>2696</v>
      </c>
      <c r="C427" s="367" t="s">
        <v>2697</v>
      </c>
      <c r="D427" s="379"/>
      <c r="E427" s="394">
        <v>1448039.39</v>
      </c>
      <c r="F427" s="394">
        <v>1277226</v>
      </c>
    </row>
    <row r="428" spans="1:6">
      <c r="A428" s="377" t="s">
        <v>1975</v>
      </c>
      <c r="B428" s="363" t="s">
        <v>741</v>
      </c>
      <c r="C428" s="363" t="s">
        <v>2698</v>
      </c>
      <c r="D428" s="378"/>
      <c r="E428" s="391"/>
      <c r="F428" s="391"/>
    </row>
    <row r="429" spans="1:6">
      <c r="A429" s="366" t="s">
        <v>2091</v>
      </c>
      <c r="B429" s="366" t="s">
        <v>2699</v>
      </c>
      <c r="C429" s="367" t="s">
        <v>2700</v>
      </c>
      <c r="D429" s="379"/>
      <c r="E429" s="394">
        <v>204807.87</v>
      </c>
      <c r="F429" s="394">
        <v>149140.73000000001</v>
      </c>
    </row>
    <row r="430" spans="1:6" ht="25.5">
      <c r="A430" s="377" t="s">
        <v>1975</v>
      </c>
      <c r="B430" s="363" t="s">
        <v>742</v>
      </c>
      <c r="C430" s="363" t="s">
        <v>2701</v>
      </c>
      <c r="D430" s="378"/>
      <c r="E430" s="391"/>
      <c r="F430" s="391"/>
    </row>
    <row r="431" spans="1:6">
      <c r="A431" s="366">
        <v>8</v>
      </c>
      <c r="B431" s="366" t="s">
        <v>2702</v>
      </c>
      <c r="C431" s="367" t="s">
        <v>743</v>
      </c>
      <c r="D431" s="379"/>
      <c r="E431" s="394"/>
      <c r="F431" s="394"/>
    </row>
    <row r="432" spans="1:6">
      <c r="A432" s="366">
        <v>8</v>
      </c>
      <c r="B432" s="366" t="s">
        <v>2703</v>
      </c>
      <c r="C432" s="367" t="s">
        <v>744</v>
      </c>
      <c r="D432" s="379"/>
      <c r="E432" s="394">
        <v>212092.02</v>
      </c>
      <c r="F432" s="394">
        <v>306160.12</v>
      </c>
    </row>
    <row r="433" spans="1:6">
      <c r="A433" s="366">
        <v>8</v>
      </c>
      <c r="B433" s="366" t="s">
        <v>2704</v>
      </c>
      <c r="C433" s="367" t="s">
        <v>745</v>
      </c>
      <c r="D433" s="379"/>
      <c r="E433" s="394"/>
      <c r="F433" s="394"/>
    </row>
    <row r="434" spans="1:6">
      <c r="A434" s="366">
        <v>8</v>
      </c>
      <c r="B434" s="366" t="s">
        <v>2705</v>
      </c>
      <c r="C434" s="367" t="s">
        <v>746</v>
      </c>
      <c r="D434" s="379"/>
      <c r="E434" s="394"/>
      <c r="F434" s="394"/>
    </row>
    <row r="435" spans="1:6">
      <c r="A435" s="366">
        <v>8</v>
      </c>
      <c r="B435" s="366" t="s">
        <v>2706</v>
      </c>
      <c r="C435" s="367" t="s">
        <v>747</v>
      </c>
      <c r="D435" s="379"/>
      <c r="E435" s="394">
        <v>206027.96</v>
      </c>
      <c r="F435" s="394">
        <v>200688.45</v>
      </c>
    </row>
    <row r="436" spans="1:6">
      <c r="A436" s="366">
        <v>8</v>
      </c>
      <c r="B436" s="366" t="s">
        <v>2707</v>
      </c>
      <c r="C436" s="367" t="s">
        <v>748</v>
      </c>
      <c r="D436" s="379"/>
      <c r="E436" s="394">
        <v>570631.59</v>
      </c>
      <c r="F436" s="394">
        <v>577310.18999999994</v>
      </c>
    </row>
    <row r="437" spans="1:6">
      <c r="A437" s="366">
        <v>8</v>
      </c>
      <c r="B437" s="366" t="s">
        <v>2708</v>
      </c>
      <c r="C437" s="367" t="s">
        <v>749</v>
      </c>
      <c r="D437" s="379"/>
      <c r="E437" s="394"/>
      <c r="F437" s="394"/>
    </row>
    <row r="438" spans="1:6">
      <c r="A438" s="366">
        <v>8</v>
      </c>
      <c r="B438" s="366" t="s">
        <v>2709</v>
      </c>
      <c r="C438" s="367" t="s">
        <v>750</v>
      </c>
      <c r="D438" s="379"/>
      <c r="E438" s="394"/>
      <c r="F438" s="394"/>
    </row>
    <row r="439" spans="1:6" ht="24">
      <c r="A439" s="366">
        <v>8</v>
      </c>
      <c r="B439" s="366" t="s">
        <v>2710</v>
      </c>
      <c r="C439" s="367" t="s">
        <v>2711</v>
      </c>
      <c r="D439" s="379"/>
      <c r="E439" s="394">
        <v>118588.93</v>
      </c>
      <c r="F439" s="394">
        <v>170558.19</v>
      </c>
    </row>
    <row r="440" spans="1:6" ht="25.5">
      <c r="A440" s="377" t="s">
        <v>1972</v>
      </c>
      <c r="B440" s="363" t="s">
        <v>751</v>
      </c>
      <c r="C440" s="363" t="s">
        <v>1532</v>
      </c>
      <c r="D440" s="378"/>
      <c r="E440" s="391"/>
      <c r="F440" s="391"/>
    </row>
    <row r="441" spans="1:6" ht="25.5">
      <c r="A441" s="377" t="s">
        <v>1975</v>
      </c>
      <c r="B441" s="363" t="s">
        <v>753</v>
      </c>
      <c r="C441" s="363" t="s">
        <v>1533</v>
      </c>
      <c r="D441" s="378" t="s">
        <v>1248</v>
      </c>
      <c r="E441" s="391"/>
      <c r="F441" s="391"/>
    </row>
    <row r="442" spans="1:6" ht="24">
      <c r="A442" s="366" t="s">
        <v>2091</v>
      </c>
      <c r="B442" s="366" t="s">
        <v>2712</v>
      </c>
      <c r="C442" s="367" t="s">
        <v>752</v>
      </c>
      <c r="D442" s="379" t="s">
        <v>1248</v>
      </c>
      <c r="E442" s="394">
        <v>33079.99</v>
      </c>
      <c r="F442" s="394">
        <v>53120.19</v>
      </c>
    </row>
    <row r="443" spans="1:6" ht="25.5">
      <c r="A443" s="377" t="s">
        <v>1975</v>
      </c>
      <c r="B443" s="363" t="s">
        <v>755</v>
      </c>
      <c r="C443" s="363" t="s">
        <v>1534</v>
      </c>
      <c r="D443" s="378"/>
      <c r="E443" s="391"/>
      <c r="F443" s="391"/>
    </row>
    <row r="444" spans="1:6" ht="24">
      <c r="A444" s="366" t="s">
        <v>2091</v>
      </c>
      <c r="B444" s="366" t="s">
        <v>2713</v>
      </c>
      <c r="C444" s="367" t="s">
        <v>754</v>
      </c>
      <c r="D444" s="379"/>
      <c r="E444" s="394"/>
      <c r="F444" s="394"/>
    </row>
    <row r="445" spans="1:6" ht="25.5">
      <c r="A445" s="377" t="s">
        <v>1975</v>
      </c>
      <c r="B445" s="363" t="s">
        <v>757</v>
      </c>
      <c r="C445" s="363" t="s">
        <v>1535</v>
      </c>
      <c r="D445" s="378"/>
      <c r="E445" s="391"/>
      <c r="F445" s="391"/>
    </row>
    <row r="446" spans="1:6" ht="24">
      <c r="A446" s="366" t="s">
        <v>2091</v>
      </c>
      <c r="B446" s="366" t="s">
        <v>2714</v>
      </c>
      <c r="C446" s="367" t="s">
        <v>756</v>
      </c>
      <c r="D446" s="379"/>
      <c r="E446" s="394">
        <v>27907.11</v>
      </c>
      <c r="F446" s="394"/>
    </row>
    <row r="447" spans="1:6" ht="25.5">
      <c r="A447" s="377" t="s">
        <v>1970</v>
      </c>
      <c r="B447" s="363" t="s">
        <v>758</v>
      </c>
      <c r="C447" s="363" t="s">
        <v>1536</v>
      </c>
      <c r="D447" s="378"/>
      <c r="E447" s="391"/>
      <c r="F447" s="391"/>
    </row>
    <row r="448" spans="1:6" ht="38.25">
      <c r="A448" s="377" t="s">
        <v>1972</v>
      </c>
      <c r="B448" s="363" t="s">
        <v>760</v>
      </c>
      <c r="C448" s="363" t="s">
        <v>2715</v>
      </c>
      <c r="D448" s="378" t="s">
        <v>1248</v>
      </c>
      <c r="E448" s="391"/>
      <c r="F448" s="391"/>
    </row>
    <row r="449" spans="1:6" ht="24">
      <c r="A449" s="366" t="s">
        <v>1975</v>
      </c>
      <c r="B449" s="366" t="s">
        <v>2716</v>
      </c>
      <c r="C449" s="367" t="s">
        <v>759</v>
      </c>
      <c r="D449" s="379" t="s">
        <v>1248</v>
      </c>
      <c r="E449" s="394">
        <v>84538</v>
      </c>
      <c r="F449" s="394">
        <v>98845</v>
      </c>
    </row>
    <row r="450" spans="1:6" ht="25.5">
      <c r="A450" s="377" t="s">
        <v>1972</v>
      </c>
      <c r="B450" s="363" t="s">
        <v>762</v>
      </c>
      <c r="C450" s="363" t="s">
        <v>2717</v>
      </c>
      <c r="D450" s="378"/>
      <c r="E450" s="391"/>
      <c r="F450" s="391"/>
    </row>
    <row r="451" spans="1:6" ht="24">
      <c r="A451" s="366" t="s">
        <v>1975</v>
      </c>
      <c r="B451" s="366" t="s">
        <v>2718</v>
      </c>
      <c r="C451" s="367" t="s">
        <v>761</v>
      </c>
      <c r="D451" s="379"/>
      <c r="E451" s="394"/>
      <c r="F451" s="394"/>
    </row>
    <row r="452" spans="1:6" ht="25.5">
      <c r="A452" s="377" t="s">
        <v>1972</v>
      </c>
      <c r="B452" s="363" t="s">
        <v>764</v>
      </c>
      <c r="C452" s="363" t="s">
        <v>1539</v>
      </c>
      <c r="D452" s="378"/>
      <c r="E452" s="391"/>
      <c r="F452" s="391"/>
    </row>
    <row r="453" spans="1:6" ht="24">
      <c r="A453" s="366" t="s">
        <v>1975</v>
      </c>
      <c r="B453" s="366" t="s">
        <v>2719</v>
      </c>
      <c r="C453" s="367" t="s">
        <v>763</v>
      </c>
      <c r="D453" s="379"/>
      <c r="E453" s="394">
        <v>6411.1</v>
      </c>
      <c r="F453" s="394">
        <v>8181.84</v>
      </c>
    </row>
    <row r="454" spans="1:6">
      <c r="A454" s="377" t="s">
        <v>1972</v>
      </c>
      <c r="B454" s="363" t="s">
        <v>766</v>
      </c>
      <c r="C454" s="363" t="s">
        <v>2720</v>
      </c>
      <c r="D454" s="378"/>
      <c r="E454" s="391"/>
      <c r="F454" s="391"/>
    </row>
    <row r="455" spans="1:6">
      <c r="A455" s="366">
        <v>7</v>
      </c>
      <c r="B455" s="366" t="s">
        <v>2721</v>
      </c>
      <c r="C455" s="367" t="s">
        <v>767</v>
      </c>
      <c r="D455" s="379"/>
      <c r="E455" s="394">
        <v>7147.46</v>
      </c>
      <c r="F455" s="394">
        <v>11212.32</v>
      </c>
    </row>
    <row r="456" spans="1:6">
      <c r="A456" s="366">
        <v>7</v>
      </c>
      <c r="B456" s="366" t="s">
        <v>2722</v>
      </c>
      <c r="C456" s="367" t="s">
        <v>603</v>
      </c>
      <c r="D456" s="379"/>
      <c r="E456" s="394">
        <v>3610212.63</v>
      </c>
      <c r="F456" s="394">
        <v>3099896.09</v>
      </c>
    </row>
    <row r="457" spans="1:6" s="265" customFormat="1">
      <c r="A457" s="366">
        <v>8</v>
      </c>
      <c r="B457" s="366" t="s">
        <v>3631</v>
      </c>
      <c r="C457" s="367" t="s">
        <v>3626</v>
      </c>
      <c r="D457" s="379"/>
      <c r="E457" s="394">
        <v>3388413.96</v>
      </c>
      <c r="F457" s="394">
        <v>3217140.84</v>
      </c>
    </row>
    <row r="458" spans="1:6">
      <c r="A458" s="366">
        <v>7</v>
      </c>
      <c r="B458" s="366" t="s">
        <v>2723</v>
      </c>
      <c r="C458" s="367" t="s">
        <v>765</v>
      </c>
      <c r="D458" s="379"/>
      <c r="E458" s="394">
        <v>5585113.5700000003</v>
      </c>
      <c r="F458" s="394">
        <v>5453310.2000000002</v>
      </c>
    </row>
    <row r="459" spans="1:6" ht="25.5">
      <c r="A459" s="377" t="s">
        <v>1972</v>
      </c>
      <c r="B459" s="363" t="s">
        <v>769</v>
      </c>
      <c r="C459" s="363" t="s">
        <v>2724</v>
      </c>
      <c r="D459" s="378"/>
      <c r="E459" s="391"/>
      <c r="F459" s="391"/>
    </row>
    <row r="460" spans="1:6">
      <c r="A460" s="366" t="s">
        <v>1975</v>
      </c>
      <c r="B460" s="366" t="s">
        <v>2725</v>
      </c>
      <c r="C460" s="367" t="s">
        <v>768</v>
      </c>
      <c r="D460" s="379"/>
      <c r="E460" s="394">
        <v>1020915.34</v>
      </c>
      <c r="F460" s="394">
        <v>959056.12</v>
      </c>
    </row>
    <row r="461" spans="1:6" ht="25.5">
      <c r="A461" s="377" t="s">
        <v>1972</v>
      </c>
      <c r="B461" s="363" t="s">
        <v>771</v>
      </c>
      <c r="C461" s="363" t="s">
        <v>1542</v>
      </c>
      <c r="D461" s="378" t="s">
        <v>1248</v>
      </c>
      <c r="E461" s="391"/>
      <c r="F461" s="391"/>
    </row>
    <row r="462" spans="1:6" ht="24">
      <c r="A462" s="366" t="s">
        <v>1975</v>
      </c>
      <c r="B462" s="366" t="s">
        <v>2726</v>
      </c>
      <c r="C462" s="367" t="s">
        <v>770</v>
      </c>
      <c r="D462" s="379" t="s">
        <v>1248</v>
      </c>
      <c r="E462" s="394"/>
      <c r="F462" s="394"/>
    </row>
    <row r="463" spans="1:6" ht="25.5">
      <c r="A463" s="377" t="s">
        <v>1972</v>
      </c>
      <c r="B463" s="363" t="s">
        <v>773</v>
      </c>
      <c r="C463" s="363" t="s">
        <v>2727</v>
      </c>
      <c r="D463" s="378"/>
      <c r="E463" s="391"/>
      <c r="F463" s="391"/>
    </row>
    <row r="464" spans="1:6" ht="24">
      <c r="A464" s="366" t="s">
        <v>1975</v>
      </c>
      <c r="B464" s="366" t="s">
        <v>2728</v>
      </c>
      <c r="C464" s="367" t="s">
        <v>772</v>
      </c>
      <c r="D464" s="379"/>
      <c r="E464" s="394"/>
      <c r="F464" s="394"/>
    </row>
    <row r="465" spans="1:6" ht="25.5">
      <c r="A465" s="377" t="s">
        <v>1970</v>
      </c>
      <c r="B465" s="363" t="s">
        <v>774</v>
      </c>
      <c r="C465" s="363" t="s">
        <v>1544</v>
      </c>
      <c r="D465" s="378"/>
      <c r="E465" s="391"/>
      <c r="F465" s="391"/>
    </row>
    <row r="466" spans="1:6">
      <c r="A466" s="366" t="s">
        <v>1972</v>
      </c>
      <c r="B466" s="366" t="s">
        <v>2729</v>
      </c>
      <c r="C466" s="367" t="s">
        <v>775</v>
      </c>
      <c r="D466" s="379"/>
      <c r="E466" s="394"/>
      <c r="F466" s="394"/>
    </row>
    <row r="467" spans="1:6">
      <c r="A467" s="377" t="s">
        <v>1968</v>
      </c>
      <c r="B467" s="363" t="s">
        <v>776</v>
      </c>
      <c r="C467" s="363" t="s">
        <v>1545</v>
      </c>
      <c r="D467" s="378"/>
      <c r="E467" s="391"/>
      <c r="F467" s="391"/>
    </row>
    <row r="468" spans="1:6">
      <c r="A468" s="377" t="s">
        <v>1970</v>
      </c>
      <c r="B468" s="363" t="s">
        <v>777</v>
      </c>
      <c r="C468" s="363" t="s">
        <v>2730</v>
      </c>
      <c r="D468" s="378"/>
      <c r="E468" s="391"/>
      <c r="F468" s="391"/>
    </row>
    <row r="469" spans="1:6">
      <c r="A469" s="377" t="s">
        <v>1972</v>
      </c>
      <c r="B469" s="363" t="s">
        <v>779</v>
      </c>
      <c r="C469" s="363" t="s">
        <v>2731</v>
      </c>
      <c r="D469" s="378"/>
      <c r="E469" s="391"/>
      <c r="F469" s="391"/>
    </row>
    <row r="470" spans="1:6">
      <c r="A470" s="366" t="s">
        <v>1975</v>
      </c>
      <c r="B470" s="366" t="s">
        <v>2732</v>
      </c>
      <c r="C470" s="367" t="s">
        <v>778</v>
      </c>
      <c r="D470" s="379"/>
      <c r="E470" s="394">
        <v>6563292.5</v>
      </c>
      <c r="F470" s="394">
        <v>6023128.1799999997</v>
      </c>
    </row>
    <row r="471" spans="1:6">
      <c r="A471" s="377" t="s">
        <v>1972</v>
      </c>
      <c r="B471" s="363" t="s">
        <v>781</v>
      </c>
      <c r="C471" s="363" t="s">
        <v>2733</v>
      </c>
      <c r="D471" s="378"/>
      <c r="E471" s="391"/>
      <c r="F471" s="391"/>
    </row>
    <row r="472" spans="1:6">
      <c r="A472" s="366" t="s">
        <v>1975</v>
      </c>
      <c r="B472" s="366" t="s">
        <v>2734</v>
      </c>
      <c r="C472" s="367" t="s">
        <v>780</v>
      </c>
      <c r="D472" s="379"/>
      <c r="E472" s="394">
        <v>11564745.029999999</v>
      </c>
      <c r="F472" s="394">
        <v>11614853.119999999</v>
      </c>
    </row>
    <row r="473" spans="1:6">
      <c r="A473" s="377" t="s">
        <v>1972</v>
      </c>
      <c r="B473" s="363" t="s">
        <v>782</v>
      </c>
      <c r="C473" s="363" t="s">
        <v>2735</v>
      </c>
      <c r="D473" s="378"/>
      <c r="E473" s="391"/>
      <c r="F473" s="391"/>
    </row>
    <row r="474" spans="1:6">
      <c r="A474" s="377" t="s">
        <v>1975</v>
      </c>
      <c r="B474" s="363" t="s">
        <v>784</v>
      </c>
      <c r="C474" s="363" t="s">
        <v>1550</v>
      </c>
      <c r="D474" s="378"/>
      <c r="E474" s="391"/>
      <c r="F474" s="391"/>
    </row>
    <row r="475" spans="1:6">
      <c r="A475" s="366" t="s">
        <v>2091</v>
      </c>
      <c r="B475" s="366" t="s">
        <v>2736</v>
      </c>
      <c r="C475" s="367" t="s">
        <v>783</v>
      </c>
      <c r="D475" s="379"/>
      <c r="E475" s="394">
        <v>1991787.6</v>
      </c>
      <c r="F475" s="394">
        <v>1950864.66</v>
      </c>
    </row>
    <row r="476" spans="1:6">
      <c r="A476" s="377" t="s">
        <v>1975</v>
      </c>
      <c r="B476" s="363" t="s">
        <v>786</v>
      </c>
      <c r="C476" s="363" t="s">
        <v>1551</v>
      </c>
      <c r="D476" s="378"/>
      <c r="E476" s="391"/>
      <c r="F476" s="391"/>
    </row>
    <row r="477" spans="1:6">
      <c r="A477" s="366" t="s">
        <v>2091</v>
      </c>
      <c r="B477" s="366" t="s">
        <v>2737</v>
      </c>
      <c r="C477" s="367" t="s">
        <v>785</v>
      </c>
      <c r="D477" s="379"/>
      <c r="E477" s="394">
        <v>7199709.4800000004</v>
      </c>
      <c r="F477" s="394">
        <v>6413757.1200000001</v>
      </c>
    </row>
    <row r="478" spans="1:6">
      <c r="A478" s="377" t="s">
        <v>1972</v>
      </c>
      <c r="B478" s="363" t="s">
        <v>788</v>
      </c>
      <c r="C478" s="363" t="s">
        <v>2738</v>
      </c>
      <c r="D478" s="378"/>
      <c r="E478" s="391"/>
      <c r="F478" s="391"/>
    </row>
    <row r="479" spans="1:6">
      <c r="A479" s="366" t="s">
        <v>1975</v>
      </c>
      <c r="B479" s="366" t="s">
        <v>2739</v>
      </c>
      <c r="C479" s="367" t="s">
        <v>787</v>
      </c>
      <c r="D479" s="379"/>
      <c r="E479" s="394">
        <v>14341775.289999999</v>
      </c>
      <c r="F479" s="394">
        <v>18384826.120000001</v>
      </c>
    </row>
    <row r="480" spans="1:6">
      <c r="A480" s="377" t="s">
        <v>1972</v>
      </c>
      <c r="B480" s="363" t="s">
        <v>789</v>
      </c>
      <c r="C480" s="363" t="s">
        <v>2740</v>
      </c>
      <c r="D480" s="378"/>
      <c r="E480" s="391"/>
      <c r="F480" s="391"/>
    </row>
    <row r="481" spans="1:6">
      <c r="A481" s="366" t="s">
        <v>1975</v>
      </c>
      <c r="B481" s="366" t="s">
        <v>2741</v>
      </c>
      <c r="C481" s="367" t="s">
        <v>790</v>
      </c>
      <c r="D481" s="379"/>
      <c r="E481" s="394"/>
      <c r="F481" s="394"/>
    </row>
    <row r="482" spans="1:6">
      <c r="A482" s="366" t="s">
        <v>1975</v>
      </c>
      <c r="B482" s="366" t="s">
        <v>2742</v>
      </c>
      <c r="C482" s="367" t="s">
        <v>791</v>
      </c>
      <c r="D482" s="379"/>
      <c r="E482" s="394">
        <v>111072.68</v>
      </c>
      <c r="F482" s="394">
        <v>107133.35</v>
      </c>
    </row>
    <row r="483" spans="1:6">
      <c r="A483" s="366" t="s">
        <v>1975</v>
      </c>
      <c r="B483" s="366" t="s">
        <v>2743</v>
      </c>
      <c r="C483" s="367" t="s">
        <v>792</v>
      </c>
      <c r="D483" s="379"/>
      <c r="E483" s="394">
        <v>613120.68000000005</v>
      </c>
      <c r="F483" s="394">
        <v>455801.24</v>
      </c>
    </row>
    <row r="484" spans="1:6">
      <c r="A484" s="377" t="s">
        <v>1972</v>
      </c>
      <c r="B484" s="363" t="s">
        <v>794</v>
      </c>
      <c r="C484" s="363" t="s">
        <v>2744</v>
      </c>
      <c r="D484" s="378"/>
      <c r="E484" s="391"/>
      <c r="F484" s="391"/>
    </row>
    <row r="485" spans="1:6">
      <c r="A485" s="366" t="s">
        <v>1975</v>
      </c>
      <c r="B485" s="366" t="s">
        <v>2745</v>
      </c>
      <c r="C485" s="367" t="s">
        <v>793</v>
      </c>
      <c r="D485" s="379"/>
      <c r="E485" s="394">
        <v>4031332.24</v>
      </c>
      <c r="F485" s="394">
        <v>3728471.66</v>
      </c>
    </row>
    <row r="486" spans="1:6">
      <c r="A486" s="377" t="s">
        <v>1972</v>
      </c>
      <c r="B486" s="363" t="s">
        <v>796</v>
      </c>
      <c r="C486" s="363" t="s">
        <v>2746</v>
      </c>
      <c r="D486" s="378"/>
      <c r="E486" s="391"/>
      <c r="F486" s="391"/>
    </row>
    <row r="487" spans="1:6">
      <c r="A487" s="366" t="s">
        <v>1975</v>
      </c>
      <c r="B487" s="366" t="s">
        <v>2747</v>
      </c>
      <c r="C487" s="367" t="s">
        <v>795</v>
      </c>
      <c r="D487" s="379"/>
      <c r="E487" s="394">
        <v>4462576.28</v>
      </c>
      <c r="F487" s="394">
        <v>4781115.71</v>
      </c>
    </row>
    <row r="488" spans="1:6">
      <c r="A488" s="377" t="s">
        <v>1972</v>
      </c>
      <c r="B488" s="363" t="s">
        <v>797</v>
      </c>
      <c r="C488" s="363" t="s">
        <v>2748</v>
      </c>
      <c r="D488" s="378"/>
      <c r="E488" s="391"/>
      <c r="F488" s="391"/>
    </row>
    <row r="489" spans="1:6">
      <c r="A489" s="366" t="s">
        <v>1975</v>
      </c>
      <c r="B489" s="366" t="s">
        <v>2749</v>
      </c>
      <c r="C489" s="367" t="s">
        <v>798</v>
      </c>
      <c r="D489" s="379"/>
      <c r="E489" s="394">
        <v>247733.65</v>
      </c>
      <c r="F489" s="394">
        <v>257519.43</v>
      </c>
    </row>
    <row r="490" spans="1:6">
      <c r="A490" s="366" t="s">
        <v>1975</v>
      </c>
      <c r="B490" s="366" t="s">
        <v>2750</v>
      </c>
      <c r="C490" s="367" t="s">
        <v>799</v>
      </c>
      <c r="D490" s="379"/>
      <c r="E490" s="394">
        <v>16912.259999999998</v>
      </c>
      <c r="F490" s="394">
        <v>40407.43</v>
      </c>
    </row>
    <row r="491" spans="1:6">
      <c r="A491" s="377" t="s">
        <v>1972</v>
      </c>
      <c r="B491" s="363" t="s">
        <v>801</v>
      </c>
      <c r="C491" s="363" t="s">
        <v>2751</v>
      </c>
      <c r="D491" s="378"/>
      <c r="E491" s="391"/>
      <c r="F491" s="391"/>
    </row>
    <row r="492" spans="1:6">
      <c r="A492" s="366" t="s">
        <v>1975</v>
      </c>
      <c r="B492" s="366" t="s">
        <v>2752</v>
      </c>
      <c r="C492" s="367" t="s">
        <v>800</v>
      </c>
      <c r="D492" s="379"/>
      <c r="E492" s="394">
        <v>11951996.5</v>
      </c>
      <c r="F492" s="394">
        <v>19795675.170000002</v>
      </c>
    </row>
    <row r="493" spans="1:6">
      <c r="A493" s="377" t="s">
        <v>1972</v>
      </c>
      <c r="B493" s="363" t="s">
        <v>803</v>
      </c>
      <c r="C493" s="363" t="s">
        <v>2753</v>
      </c>
      <c r="D493" s="378"/>
      <c r="E493" s="391"/>
      <c r="F493" s="391"/>
    </row>
    <row r="494" spans="1:6">
      <c r="A494" s="366" t="s">
        <v>1975</v>
      </c>
      <c r="B494" s="366" t="s">
        <v>2754</v>
      </c>
      <c r="C494" s="367" t="s">
        <v>804</v>
      </c>
      <c r="D494" s="379"/>
      <c r="E494" s="394">
        <v>1490999.63</v>
      </c>
      <c r="F494" s="394">
        <v>1554041.46</v>
      </c>
    </row>
    <row r="495" spans="1:6">
      <c r="A495" s="366" t="s">
        <v>1975</v>
      </c>
      <c r="B495" s="366" t="s">
        <v>2755</v>
      </c>
      <c r="C495" s="367" t="s">
        <v>805</v>
      </c>
      <c r="D495" s="379"/>
      <c r="E495" s="394">
        <v>216566.76</v>
      </c>
      <c r="F495" s="394">
        <v>254611.64</v>
      </c>
    </row>
    <row r="496" spans="1:6">
      <c r="A496" s="366" t="s">
        <v>1975</v>
      </c>
      <c r="B496" s="366" t="s">
        <v>2756</v>
      </c>
      <c r="C496" s="367" t="s">
        <v>806</v>
      </c>
      <c r="D496" s="379"/>
      <c r="E496" s="394">
        <v>15886.95</v>
      </c>
      <c r="F496" s="394">
        <v>16146.74</v>
      </c>
    </row>
    <row r="497" spans="1:6">
      <c r="A497" s="366" t="s">
        <v>1975</v>
      </c>
      <c r="B497" s="366" t="s">
        <v>2757</v>
      </c>
      <c r="C497" s="367" t="s">
        <v>807</v>
      </c>
      <c r="D497" s="379"/>
      <c r="E497" s="394"/>
      <c r="F497" s="394"/>
    </row>
    <row r="498" spans="1:6">
      <c r="A498" s="366" t="s">
        <v>1975</v>
      </c>
      <c r="B498" s="366" t="s">
        <v>2758</v>
      </c>
      <c r="C498" s="367" t="s">
        <v>802</v>
      </c>
      <c r="D498" s="379"/>
      <c r="E498" s="394"/>
      <c r="F498" s="394"/>
    </row>
    <row r="499" spans="1:6">
      <c r="A499" s="377" t="s">
        <v>1972</v>
      </c>
      <c r="B499" s="363" t="s">
        <v>808</v>
      </c>
      <c r="C499" s="363" t="s">
        <v>2759</v>
      </c>
      <c r="D499" s="378"/>
      <c r="E499" s="391"/>
      <c r="F499" s="391"/>
    </row>
    <row r="500" spans="1:6">
      <c r="A500" s="377" t="s">
        <v>1975</v>
      </c>
      <c r="B500" s="363" t="s">
        <v>809</v>
      </c>
      <c r="C500" s="363" t="s">
        <v>2760</v>
      </c>
      <c r="D500" s="378"/>
      <c r="E500" s="391"/>
      <c r="F500" s="391"/>
    </row>
    <row r="501" spans="1:6">
      <c r="A501" s="366" t="s">
        <v>2091</v>
      </c>
      <c r="B501" s="366" t="s">
        <v>2761</v>
      </c>
      <c r="C501" s="367" t="s">
        <v>2762</v>
      </c>
      <c r="D501" s="379"/>
      <c r="E501" s="394"/>
      <c r="F501" s="394"/>
    </row>
    <row r="502" spans="1:6" ht="25.5">
      <c r="A502" s="377" t="s">
        <v>1975</v>
      </c>
      <c r="B502" s="363" t="s">
        <v>811</v>
      </c>
      <c r="C502" s="363" t="s">
        <v>2763</v>
      </c>
      <c r="D502" s="378"/>
      <c r="E502" s="391"/>
      <c r="F502" s="391"/>
    </row>
    <row r="503" spans="1:6">
      <c r="A503" s="366" t="s">
        <v>2091</v>
      </c>
      <c r="B503" s="366" t="s">
        <v>2764</v>
      </c>
      <c r="C503" s="367" t="s">
        <v>810</v>
      </c>
      <c r="D503" s="379"/>
      <c r="E503" s="394">
        <v>840966.15</v>
      </c>
      <c r="F503" s="394">
        <v>809946.47</v>
      </c>
    </row>
    <row r="504" spans="1:6">
      <c r="A504" s="377" t="s">
        <v>1972</v>
      </c>
      <c r="B504" s="363" t="s">
        <v>812</v>
      </c>
      <c r="C504" s="363" t="s">
        <v>1562</v>
      </c>
      <c r="D504" s="378"/>
      <c r="E504" s="391"/>
      <c r="F504" s="391"/>
    </row>
    <row r="505" spans="1:6" ht="25.5">
      <c r="A505" s="377" t="s">
        <v>1975</v>
      </c>
      <c r="B505" s="363" t="s">
        <v>814</v>
      </c>
      <c r="C505" s="363" t="s">
        <v>1563</v>
      </c>
      <c r="D505" s="378" t="s">
        <v>1248</v>
      </c>
      <c r="E505" s="391"/>
      <c r="F505" s="391"/>
    </row>
    <row r="506" spans="1:6" ht="24">
      <c r="A506" s="366" t="s">
        <v>2091</v>
      </c>
      <c r="B506" s="366" t="s">
        <v>2765</v>
      </c>
      <c r="C506" s="367" t="s">
        <v>813</v>
      </c>
      <c r="D506" s="379" t="s">
        <v>1248</v>
      </c>
      <c r="E506" s="394">
        <v>2118887.13</v>
      </c>
      <c r="F506" s="394">
        <v>1968232.5</v>
      </c>
    </row>
    <row r="507" spans="1:6" ht="25.5">
      <c r="A507" s="377" t="s">
        <v>1975</v>
      </c>
      <c r="B507" s="363" t="s">
        <v>815</v>
      </c>
      <c r="C507" s="363" t="s">
        <v>1564</v>
      </c>
      <c r="D507" s="378"/>
      <c r="E507" s="391"/>
      <c r="F507" s="391"/>
    </row>
    <row r="508" spans="1:6">
      <c r="A508" s="366" t="s">
        <v>2091</v>
      </c>
      <c r="B508" s="366" t="s">
        <v>2766</v>
      </c>
      <c r="C508" s="367" t="s">
        <v>816</v>
      </c>
      <c r="D508" s="379"/>
      <c r="E508" s="394">
        <v>66470.13</v>
      </c>
      <c r="F508" s="394">
        <v>133722.9</v>
      </c>
    </row>
    <row r="509" spans="1:6">
      <c r="A509" s="366" t="s">
        <v>2091</v>
      </c>
      <c r="B509" s="366" t="s">
        <v>2767</v>
      </c>
      <c r="C509" s="367" t="s">
        <v>817</v>
      </c>
      <c r="D509" s="379"/>
      <c r="E509" s="394"/>
      <c r="F509" s="394">
        <v>1860.5</v>
      </c>
    </row>
    <row r="510" spans="1:6">
      <c r="A510" s="377" t="s">
        <v>1975</v>
      </c>
      <c r="B510" s="363" t="s">
        <v>819</v>
      </c>
      <c r="C510" s="363" t="s">
        <v>1565</v>
      </c>
      <c r="D510" s="378"/>
      <c r="E510" s="391"/>
      <c r="F510" s="391"/>
    </row>
    <row r="511" spans="1:6">
      <c r="A511" s="366" t="s">
        <v>2091</v>
      </c>
      <c r="B511" s="366" t="s">
        <v>2768</v>
      </c>
      <c r="C511" s="367" t="s">
        <v>820</v>
      </c>
      <c r="D511" s="379"/>
      <c r="E511" s="394">
        <v>1853832.38</v>
      </c>
      <c r="F511" s="394">
        <v>1626283.25</v>
      </c>
    </row>
    <row r="512" spans="1:6">
      <c r="A512" s="366" t="s">
        <v>2091</v>
      </c>
      <c r="B512" s="366" t="s">
        <v>2769</v>
      </c>
      <c r="C512" s="367" t="s">
        <v>821</v>
      </c>
      <c r="D512" s="379"/>
      <c r="E512" s="394">
        <v>153191.07999999999</v>
      </c>
      <c r="F512" s="394">
        <v>153781.79999999999</v>
      </c>
    </row>
    <row r="513" spans="1:7">
      <c r="A513" s="366" t="s">
        <v>2091</v>
      </c>
      <c r="B513" s="366" t="s">
        <v>2770</v>
      </c>
      <c r="C513" s="367" t="s">
        <v>822</v>
      </c>
      <c r="D513" s="379"/>
      <c r="E513" s="394">
        <v>9259.74</v>
      </c>
      <c r="F513" s="394">
        <v>16419.310000000001</v>
      </c>
    </row>
    <row r="514" spans="1:7">
      <c r="A514" s="366" t="s">
        <v>2091</v>
      </c>
      <c r="B514" s="366" t="s">
        <v>2771</v>
      </c>
      <c r="C514" s="367" t="s">
        <v>823</v>
      </c>
      <c r="D514" s="379"/>
      <c r="E514" s="394">
        <v>80340.25</v>
      </c>
      <c r="F514" s="394">
        <v>72404.289999999994</v>
      </c>
    </row>
    <row r="515" spans="1:7">
      <c r="A515" s="366" t="s">
        <v>2091</v>
      </c>
      <c r="B515" s="366" t="s">
        <v>2772</v>
      </c>
      <c r="C515" s="367" t="s">
        <v>824</v>
      </c>
      <c r="D515" s="379"/>
      <c r="E515" s="394">
        <v>250</v>
      </c>
      <c r="F515" s="394">
        <v>363</v>
      </c>
    </row>
    <row r="516" spans="1:7">
      <c r="A516" s="366" t="s">
        <v>2091</v>
      </c>
      <c r="B516" s="366" t="s">
        <v>2773</v>
      </c>
      <c r="C516" s="367" t="s">
        <v>825</v>
      </c>
      <c r="D516" s="379"/>
      <c r="E516" s="394">
        <v>206336.02</v>
      </c>
      <c r="F516" s="394">
        <v>250267.96</v>
      </c>
    </row>
    <row r="517" spans="1:7">
      <c r="A517" s="366" t="s">
        <v>2091</v>
      </c>
      <c r="B517" s="366" t="s">
        <v>2774</v>
      </c>
      <c r="C517" s="367" t="s">
        <v>826</v>
      </c>
      <c r="D517" s="379"/>
      <c r="E517" s="394">
        <v>257281.4</v>
      </c>
      <c r="F517" s="394">
        <v>152065.57</v>
      </c>
    </row>
    <row r="518" spans="1:7">
      <c r="A518" s="366" t="s">
        <v>2091</v>
      </c>
      <c r="B518" s="366" t="s">
        <v>2775</v>
      </c>
      <c r="C518" s="367" t="s">
        <v>827</v>
      </c>
      <c r="D518" s="379"/>
      <c r="E518" s="394">
        <v>162046.07</v>
      </c>
      <c r="F518" s="394">
        <v>154325.44</v>
      </c>
    </row>
    <row r="519" spans="1:7" s="265" customFormat="1">
      <c r="A519" s="366" t="s">
        <v>2091</v>
      </c>
      <c r="B519" s="369" t="s">
        <v>2776</v>
      </c>
      <c r="C519" s="367" t="s">
        <v>828</v>
      </c>
      <c r="D519" s="379"/>
      <c r="E519" s="394">
        <v>8003</v>
      </c>
      <c r="F519" s="394">
        <v>5225.8</v>
      </c>
      <c r="G519"/>
    </row>
    <row r="520" spans="1:7" s="265" customFormat="1">
      <c r="A520" s="366" t="s">
        <v>2091</v>
      </c>
      <c r="B520" s="366" t="s">
        <v>2777</v>
      </c>
      <c r="C520" s="367" t="s">
        <v>829</v>
      </c>
      <c r="D520" s="379"/>
      <c r="E520" s="394">
        <v>442519.46</v>
      </c>
      <c r="F520" s="394">
        <v>400413.78</v>
      </c>
      <c r="G520"/>
    </row>
    <row r="521" spans="1:7">
      <c r="A521" s="366" t="s">
        <v>2091</v>
      </c>
      <c r="B521" s="366" t="s">
        <v>2778</v>
      </c>
      <c r="C521" s="367" t="s">
        <v>830</v>
      </c>
      <c r="D521" s="379"/>
      <c r="E521" s="394">
        <v>49861.599999999999</v>
      </c>
      <c r="F521" s="394">
        <v>43462.82</v>
      </c>
    </row>
    <row r="522" spans="1:7">
      <c r="A522" s="366" t="s">
        <v>2091</v>
      </c>
      <c r="B522" s="366" t="s">
        <v>2779</v>
      </c>
      <c r="C522" s="367" t="s">
        <v>831</v>
      </c>
      <c r="D522" s="379"/>
      <c r="E522" s="394">
        <v>323788.39</v>
      </c>
      <c r="F522" s="394">
        <v>311607</v>
      </c>
    </row>
    <row r="523" spans="1:7">
      <c r="A523" s="366" t="s">
        <v>2091</v>
      </c>
      <c r="B523" s="366" t="s">
        <v>2780</v>
      </c>
      <c r="C523" s="367" t="s">
        <v>832</v>
      </c>
      <c r="D523" s="379"/>
      <c r="E523" s="394">
        <v>897193.6</v>
      </c>
      <c r="F523" s="394">
        <v>740789.68</v>
      </c>
    </row>
    <row r="524" spans="1:7">
      <c r="A524" s="366" t="s">
        <v>2091</v>
      </c>
      <c r="B524" s="366" t="s">
        <v>2781</v>
      </c>
      <c r="C524" s="367" t="s">
        <v>833</v>
      </c>
      <c r="D524" s="379"/>
      <c r="E524" s="394">
        <v>1594588.75</v>
      </c>
      <c r="F524" s="394">
        <v>1553671.07</v>
      </c>
    </row>
    <row r="525" spans="1:7">
      <c r="A525" s="366" t="s">
        <v>2091</v>
      </c>
      <c r="B525" s="366" t="s">
        <v>2782</v>
      </c>
      <c r="C525" s="367" t="s">
        <v>818</v>
      </c>
      <c r="D525" s="379"/>
      <c r="E525" s="394">
        <v>6087791.6299999999</v>
      </c>
      <c r="F525" s="394">
        <v>6077226.8300000001</v>
      </c>
    </row>
    <row r="526" spans="1:7" ht="25.5">
      <c r="A526" s="377" t="s">
        <v>1970</v>
      </c>
      <c r="B526" s="363" t="s">
        <v>834</v>
      </c>
      <c r="C526" s="363" t="s">
        <v>2783</v>
      </c>
      <c r="D526" s="378"/>
      <c r="E526" s="391"/>
      <c r="F526" s="391"/>
    </row>
    <row r="527" spans="1:7" ht="25.5">
      <c r="A527" s="377" t="s">
        <v>1972</v>
      </c>
      <c r="B527" s="363" t="s">
        <v>836</v>
      </c>
      <c r="C527" s="363" t="s">
        <v>1567</v>
      </c>
      <c r="D527" s="378" t="s">
        <v>1248</v>
      </c>
      <c r="E527" s="391"/>
      <c r="F527" s="391"/>
    </row>
    <row r="528" spans="1:7" ht="24">
      <c r="A528" s="366" t="s">
        <v>1975</v>
      </c>
      <c r="B528" s="366" t="s">
        <v>2784</v>
      </c>
      <c r="C528" s="367" t="s">
        <v>835</v>
      </c>
      <c r="D528" s="379" t="s">
        <v>1248</v>
      </c>
      <c r="E528" s="394"/>
      <c r="F528" s="394"/>
    </row>
    <row r="529" spans="1:6" ht="25.5">
      <c r="A529" s="377" t="s">
        <v>1972</v>
      </c>
      <c r="B529" s="363" t="s">
        <v>838</v>
      </c>
      <c r="C529" s="363" t="s">
        <v>1568</v>
      </c>
      <c r="D529" s="378"/>
      <c r="E529" s="391"/>
      <c r="F529" s="391"/>
    </row>
    <row r="530" spans="1:6">
      <c r="A530" s="366" t="s">
        <v>1975</v>
      </c>
      <c r="B530" s="366" t="s">
        <v>2785</v>
      </c>
      <c r="C530" s="367" t="s">
        <v>837</v>
      </c>
      <c r="D530" s="379"/>
      <c r="E530" s="394"/>
      <c r="F530" s="394"/>
    </row>
    <row r="531" spans="1:6" ht="25.5">
      <c r="A531" s="377" t="s">
        <v>1972</v>
      </c>
      <c r="B531" s="363" t="s">
        <v>839</v>
      </c>
      <c r="C531" s="363" t="s">
        <v>1569</v>
      </c>
      <c r="D531" s="378"/>
      <c r="E531" s="391"/>
      <c r="F531" s="391"/>
    </row>
    <row r="532" spans="1:6">
      <c r="A532" s="377" t="s">
        <v>1975</v>
      </c>
      <c r="B532" s="363" t="s">
        <v>840</v>
      </c>
      <c r="C532" s="363" t="s">
        <v>1570</v>
      </c>
      <c r="D532" s="378"/>
      <c r="E532" s="391"/>
      <c r="F532" s="391"/>
    </row>
    <row r="533" spans="1:6">
      <c r="A533" s="366" t="s">
        <v>2091</v>
      </c>
      <c r="B533" s="366" t="s">
        <v>2786</v>
      </c>
      <c r="C533" s="367" t="s">
        <v>841</v>
      </c>
      <c r="D533" s="379"/>
      <c r="E533" s="394">
        <v>6344</v>
      </c>
      <c r="F533" s="394">
        <v>6344</v>
      </c>
    </row>
    <row r="534" spans="1:6">
      <c r="A534" s="366" t="s">
        <v>2091</v>
      </c>
      <c r="B534" s="366" t="s">
        <v>2787</v>
      </c>
      <c r="C534" s="367" t="s">
        <v>842</v>
      </c>
      <c r="D534" s="379"/>
      <c r="E534" s="394"/>
      <c r="F534" s="394">
        <v>1586</v>
      </c>
    </row>
    <row r="535" spans="1:6">
      <c r="A535" s="366" t="s">
        <v>2091</v>
      </c>
      <c r="B535" s="366" t="s">
        <v>2788</v>
      </c>
      <c r="C535" s="367" t="s">
        <v>843</v>
      </c>
      <c r="D535" s="379"/>
      <c r="E535" s="394">
        <v>31707.87</v>
      </c>
      <c r="F535" s="394">
        <v>58441.37</v>
      </c>
    </row>
    <row r="536" spans="1:6">
      <c r="A536" s="366" t="s">
        <v>2091</v>
      </c>
      <c r="B536" s="366" t="s">
        <v>2789</v>
      </c>
      <c r="C536" s="367" t="s">
        <v>844</v>
      </c>
      <c r="D536" s="379"/>
      <c r="E536" s="394">
        <v>240172.19</v>
      </c>
      <c r="F536" s="394">
        <v>188912.35</v>
      </c>
    </row>
    <row r="537" spans="1:6">
      <c r="A537" s="366" t="s">
        <v>2091</v>
      </c>
      <c r="B537" s="366" t="s">
        <v>2790</v>
      </c>
      <c r="C537" s="367" t="s">
        <v>845</v>
      </c>
      <c r="D537" s="379"/>
      <c r="E537" s="394">
        <v>5387.95</v>
      </c>
      <c r="F537" s="394"/>
    </row>
    <row r="538" spans="1:6" ht="25.5">
      <c r="A538" s="377" t="s">
        <v>1975</v>
      </c>
      <c r="B538" s="363" t="s">
        <v>847</v>
      </c>
      <c r="C538" s="363" t="s">
        <v>1571</v>
      </c>
      <c r="D538" s="378"/>
      <c r="E538" s="391"/>
      <c r="F538" s="391"/>
    </row>
    <row r="539" spans="1:6" ht="24">
      <c r="A539" s="366" t="s">
        <v>2091</v>
      </c>
      <c r="B539" s="366" t="s">
        <v>2791</v>
      </c>
      <c r="C539" s="367" t="s">
        <v>846</v>
      </c>
      <c r="D539" s="379"/>
      <c r="E539" s="394">
        <v>54535.64</v>
      </c>
      <c r="F539" s="394">
        <v>42622.18</v>
      </c>
    </row>
    <row r="540" spans="1:6" ht="25.5">
      <c r="A540" s="377" t="s">
        <v>1975</v>
      </c>
      <c r="B540" s="363" t="s">
        <v>848</v>
      </c>
      <c r="C540" s="363" t="s">
        <v>2792</v>
      </c>
      <c r="D540" s="378"/>
      <c r="E540" s="391"/>
      <c r="F540" s="391"/>
    </row>
    <row r="541" spans="1:6">
      <c r="A541" s="366" t="s">
        <v>2091</v>
      </c>
      <c r="B541" s="366" t="s">
        <v>2793</v>
      </c>
      <c r="C541" s="367" t="s">
        <v>2794</v>
      </c>
      <c r="D541" s="379"/>
      <c r="E541" s="394"/>
      <c r="F541" s="394"/>
    </row>
    <row r="542" spans="1:6">
      <c r="A542" s="377" t="s">
        <v>1975</v>
      </c>
      <c r="B542" s="363" t="s">
        <v>849</v>
      </c>
      <c r="C542" s="363" t="s">
        <v>2795</v>
      </c>
      <c r="D542" s="378"/>
      <c r="E542" s="391"/>
      <c r="F542" s="391"/>
    </row>
    <row r="543" spans="1:6">
      <c r="A543" s="366" t="s">
        <v>2091</v>
      </c>
      <c r="B543" s="366" t="s">
        <v>2796</v>
      </c>
      <c r="C543" s="367" t="s">
        <v>2797</v>
      </c>
      <c r="D543" s="379"/>
      <c r="E543" s="394">
        <v>2019563.6</v>
      </c>
      <c r="F543" s="394">
        <v>4466731.7699999996</v>
      </c>
    </row>
    <row r="544" spans="1:6" ht="25.5">
      <c r="A544" s="377" t="s">
        <v>1975</v>
      </c>
      <c r="B544" s="363" t="s">
        <v>850</v>
      </c>
      <c r="C544" s="363" t="s">
        <v>2798</v>
      </c>
      <c r="D544" s="378"/>
      <c r="E544" s="391"/>
      <c r="F544" s="391"/>
    </row>
    <row r="545" spans="1:6">
      <c r="A545" s="366" t="s">
        <v>2091</v>
      </c>
      <c r="B545" s="366" t="s">
        <v>2799</v>
      </c>
      <c r="C545" s="367" t="s">
        <v>851</v>
      </c>
      <c r="D545" s="379"/>
      <c r="E545" s="394"/>
      <c r="F545" s="394"/>
    </row>
    <row r="546" spans="1:6" ht="24">
      <c r="A546" s="366" t="s">
        <v>2091</v>
      </c>
      <c r="B546" s="366" t="s">
        <v>2800</v>
      </c>
      <c r="C546" s="367" t="s">
        <v>852</v>
      </c>
      <c r="D546" s="379"/>
      <c r="E546" s="394">
        <v>31383.599999999999</v>
      </c>
      <c r="F546" s="394">
        <v>50920.63</v>
      </c>
    </row>
    <row r="547" spans="1:6">
      <c r="A547" s="366" t="s">
        <v>2091</v>
      </c>
      <c r="B547" s="366" t="s">
        <v>2801</v>
      </c>
      <c r="C547" s="367" t="s">
        <v>853</v>
      </c>
      <c r="D547" s="379"/>
      <c r="E547" s="394"/>
      <c r="F547" s="394"/>
    </row>
    <row r="548" spans="1:6">
      <c r="A548" s="366" t="s">
        <v>2091</v>
      </c>
      <c r="B548" s="366" t="s">
        <v>2802</v>
      </c>
      <c r="C548" s="367" t="s">
        <v>854</v>
      </c>
      <c r="D548" s="379"/>
      <c r="E548" s="394">
        <v>47241.72</v>
      </c>
      <c r="F548" s="394">
        <v>45318.67</v>
      </c>
    </row>
    <row r="549" spans="1:6">
      <c r="A549" s="366" t="s">
        <v>2091</v>
      </c>
      <c r="B549" s="366" t="s">
        <v>2803</v>
      </c>
      <c r="C549" s="367" t="s">
        <v>2804</v>
      </c>
      <c r="D549" s="379"/>
      <c r="E549" s="394">
        <v>902.4</v>
      </c>
      <c r="F549" s="394"/>
    </row>
    <row r="550" spans="1:6" ht="51">
      <c r="A550" s="377" t="s">
        <v>1975</v>
      </c>
      <c r="B550" s="363" t="s">
        <v>855</v>
      </c>
      <c r="C550" s="363" t="s">
        <v>2805</v>
      </c>
      <c r="D550" s="378"/>
      <c r="E550" s="391"/>
      <c r="F550" s="391"/>
    </row>
    <row r="551" spans="1:6" ht="48">
      <c r="A551" s="366" t="s">
        <v>2091</v>
      </c>
      <c r="B551" s="366" t="s">
        <v>2806</v>
      </c>
      <c r="C551" s="367" t="s">
        <v>2807</v>
      </c>
      <c r="D551" s="379"/>
      <c r="E551" s="394"/>
      <c r="F551" s="394"/>
    </row>
    <row r="552" spans="1:6" ht="25.5">
      <c r="A552" s="377" t="s">
        <v>1972</v>
      </c>
      <c r="B552" s="363" t="s">
        <v>856</v>
      </c>
      <c r="C552" s="363" t="s">
        <v>1576</v>
      </c>
      <c r="D552" s="378"/>
      <c r="E552" s="391"/>
      <c r="F552" s="391"/>
    </row>
    <row r="553" spans="1:6" ht="38.25">
      <c r="A553" s="377" t="s">
        <v>1975</v>
      </c>
      <c r="B553" s="363" t="s">
        <v>858</v>
      </c>
      <c r="C553" s="363" t="s">
        <v>1577</v>
      </c>
      <c r="D553" s="378" t="s">
        <v>1248</v>
      </c>
      <c r="E553" s="391"/>
      <c r="F553" s="391"/>
    </row>
    <row r="554" spans="1:6" ht="24">
      <c r="A554" s="366" t="s">
        <v>2091</v>
      </c>
      <c r="B554" s="366" t="s">
        <v>2808</v>
      </c>
      <c r="C554" s="367" t="s">
        <v>857</v>
      </c>
      <c r="D554" s="379" t="s">
        <v>1248</v>
      </c>
      <c r="E554" s="394"/>
      <c r="F554" s="394"/>
    </row>
    <row r="555" spans="1:6" ht="38.25">
      <c r="A555" s="377" t="s">
        <v>1975</v>
      </c>
      <c r="B555" s="363" t="s">
        <v>860</v>
      </c>
      <c r="C555" s="363" t="s">
        <v>1578</v>
      </c>
      <c r="D555" s="378"/>
      <c r="E555" s="391"/>
      <c r="F555" s="391"/>
    </row>
    <row r="556" spans="1:6" ht="24">
      <c r="A556" s="366" t="s">
        <v>2091</v>
      </c>
      <c r="B556" s="366" t="s">
        <v>2809</v>
      </c>
      <c r="C556" s="367" t="s">
        <v>859</v>
      </c>
      <c r="D556" s="379"/>
      <c r="E556" s="394"/>
      <c r="F556" s="394"/>
    </row>
    <row r="557" spans="1:6" ht="38.25">
      <c r="A557" s="377" t="s">
        <v>1975</v>
      </c>
      <c r="B557" s="363" t="s">
        <v>862</v>
      </c>
      <c r="C557" s="363" t="s">
        <v>1579</v>
      </c>
      <c r="D557" s="378"/>
      <c r="E557" s="391"/>
      <c r="F557" s="391"/>
    </row>
    <row r="558" spans="1:6" ht="24">
      <c r="A558" s="366" t="s">
        <v>2091</v>
      </c>
      <c r="B558" s="366" t="s">
        <v>2810</v>
      </c>
      <c r="C558" s="367" t="s">
        <v>861</v>
      </c>
      <c r="D558" s="379"/>
      <c r="E558" s="394">
        <v>22319.4</v>
      </c>
      <c r="F558" s="394"/>
    </row>
    <row r="559" spans="1:6">
      <c r="A559" s="377" t="s">
        <v>1970</v>
      </c>
      <c r="B559" s="363" t="s">
        <v>863</v>
      </c>
      <c r="C559" s="363" t="s">
        <v>1580</v>
      </c>
      <c r="D559" s="378"/>
      <c r="E559" s="391"/>
      <c r="F559" s="391"/>
    </row>
    <row r="560" spans="1:6">
      <c r="A560" s="377" t="s">
        <v>1972</v>
      </c>
      <c r="B560" s="363" t="s">
        <v>865</v>
      </c>
      <c r="C560" s="363" t="s">
        <v>1581</v>
      </c>
      <c r="D560" s="378"/>
      <c r="E560" s="391"/>
      <c r="F560" s="391"/>
    </row>
    <row r="561" spans="1:6">
      <c r="A561" s="366" t="s">
        <v>1975</v>
      </c>
      <c r="B561" s="366" t="s">
        <v>2811</v>
      </c>
      <c r="C561" s="367" t="s">
        <v>864</v>
      </c>
      <c r="D561" s="379"/>
      <c r="E561" s="394">
        <v>7283</v>
      </c>
      <c r="F561" s="394">
        <v>2100</v>
      </c>
    </row>
    <row r="562" spans="1:6">
      <c r="A562" s="377" t="s">
        <v>1972</v>
      </c>
      <c r="B562" s="363" t="s">
        <v>867</v>
      </c>
      <c r="C562" s="363" t="s">
        <v>1582</v>
      </c>
      <c r="D562" s="378"/>
      <c r="E562" s="391"/>
      <c r="F562" s="391"/>
    </row>
    <row r="563" spans="1:6">
      <c r="A563" s="366" t="s">
        <v>1975</v>
      </c>
      <c r="B563" s="366" t="s">
        <v>2812</v>
      </c>
      <c r="C563" s="367" t="s">
        <v>866</v>
      </c>
      <c r="D563" s="379"/>
      <c r="E563" s="394">
        <v>342805.32</v>
      </c>
      <c r="F563" s="394">
        <v>331015.67</v>
      </c>
    </row>
    <row r="564" spans="1:6">
      <c r="A564" s="377" t="s">
        <v>1966</v>
      </c>
      <c r="B564" s="363" t="s">
        <v>1583</v>
      </c>
      <c r="C564" s="363" t="s">
        <v>2813</v>
      </c>
      <c r="D564" s="378"/>
      <c r="E564" s="391"/>
      <c r="F564" s="391"/>
    </row>
    <row r="565" spans="1:6" ht="25.5">
      <c r="A565" s="377" t="s">
        <v>1968</v>
      </c>
      <c r="B565" s="363" t="s">
        <v>869</v>
      </c>
      <c r="C565" s="363" t="s">
        <v>2814</v>
      </c>
      <c r="D565" s="378"/>
      <c r="E565" s="391"/>
      <c r="F565" s="391"/>
    </row>
    <row r="566" spans="1:6">
      <c r="A566" s="366" t="s">
        <v>1970</v>
      </c>
      <c r="B566" s="366" t="s">
        <v>2815</v>
      </c>
      <c r="C566" s="367" t="s">
        <v>868</v>
      </c>
      <c r="D566" s="379"/>
      <c r="E566" s="394">
        <v>855540.55</v>
      </c>
      <c r="F566" s="394">
        <v>735556.98</v>
      </c>
    </row>
    <row r="567" spans="1:6" ht="25.5">
      <c r="A567" s="377" t="s">
        <v>1968</v>
      </c>
      <c r="B567" s="363" t="s">
        <v>870</v>
      </c>
      <c r="C567" s="363" t="s">
        <v>2816</v>
      </c>
      <c r="D567" s="378"/>
      <c r="E567" s="391"/>
      <c r="F567" s="391"/>
    </row>
    <row r="568" spans="1:6">
      <c r="A568" s="366">
        <v>5</v>
      </c>
      <c r="B568" s="366" t="s">
        <v>2817</v>
      </c>
      <c r="C568" s="367" t="s">
        <v>871</v>
      </c>
      <c r="D568" s="379"/>
      <c r="E568" s="394">
        <v>372364.79999999999</v>
      </c>
      <c r="F568" s="394">
        <v>726869.29</v>
      </c>
    </row>
    <row r="569" spans="1:6">
      <c r="A569" s="366">
        <v>5</v>
      </c>
      <c r="B569" s="366" t="s">
        <v>2818</v>
      </c>
      <c r="C569" s="367" t="s">
        <v>872</v>
      </c>
      <c r="D569" s="379"/>
      <c r="E569" s="394">
        <v>5516926.0300000003</v>
      </c>
      <c r="F569" s="394">
        <v>5305675.54</v>
      </c>
    </row>
    <row r="570" spans="1:6">
      <c r="A570" s="366">
        <v>5</v>
      </c>
      <c r="B570" s="366" t="s">
        <v>2819</v>
      </c>
      <c r="C570" s="367" t="s">
        <v>873</v>
      </c>
      <c r="D570" s="379"/>
      <c r="E570" s="394"/>
      <c r="F570" s="394"/>
    </row>
    <row r="571" spans="1:6" ht="25.5">
      <c r="A571" s="377" t="s">
        <v>1968</v>
      </c>
      <c r="B571" s="363" t="s">
        <v>875</v>
      </c>
      <c r="C571" s="363" t="s">
        <v>2820</v>
      </c>
      <c r="D571" s="378"/>
      <c r="E571" s="391"/>
      <c r="F571" s="391"/>
    </row>
    <row r="572" spans="1:6" ht="24">
      <c r="A572" s="366" t="s">
        <v>1970</v>
      </c>
      <c r="B572" s="366" t="s">
        <v>2821</v>
      </c>
      <c r="C572" s="367" t="s">
        <v>874</v>
      </c>
      <c r="D572" s="379"/>
      <c r="E572" s="394">
        <v>7070511.8499999996</v>
      </c>
      <c r="F572" s="394">
        <v>6412742.5199999996</v>
      </c>
    </row>
    <row r="573" spans="1:6">
      <c r="A573" s="377" t="s">
        <v>1968</v>
      </c>
      <c r="B573" s="363" t="s">
        <v>877</v>
      </c>
      <c r="C573" s="363" t="s">
        <v>2822</v>
      </c>
      <c r="D573" s="378"/>
      <c r="E573" s="391"/>
      <c r="F573" s="391"/>
    </row>
    <row r="574" spans="1:6">
      <c r="A574" s="366" t="s">
        <v>1970</v>
      </c>
      <c r="B574" s="366" t="s">
        <v>2823</v>
      </c>
      <c r="C574" s="367" t="s">
        <v>876</v>
      </c>
      <c r="D574" s="379"/>
      <c r="E574" s="394">
        <v>164292.93</v>
      </c>
      <c r="F574" s="394">
        <v>141417.92000000001</v>
      </c>
    </row>
    <row r="575" spans="1:6">
      <c r="A575" s="377" t="s">
        <v>1968</v>
      </c>
      <c r="B575" s="363" t="s">
        <v>879</v>
      </c>
      <c r="C575" s="363" t="s">
        <v>2824</v>
      </c>
      <c r="D575" s="378"/>
      <c r="E575" s="391"/>
      <c r="F575" s="391"/>
    </row>
    <row r="576" spans="1:6">
      <c r="A576" s="366" t="s">
        <v>1970</v>
      </c>
      <c r="B576" s="366" t="s">
        <v>2825</v>
      </c>
      <c r="C576" s="367" t="s">
        <v>878</v>
      </c>
      <c r="D576" s="379"/>
      <c r="E576" s="394">
        <v>503203.07</v>
      </c>
      <c r="F576" s="394">
        <v>466434.81</v>
      </c>
    </row>
    <row r="577" spans="1:6">
      <c r="A577" s="377" t="s">
        <v>1968</v>
      </c>
      <c r="B577" s="363" t="s">
        <v>881</v>
      </c>
      <c r="C577" s="363" t="s">
        <v>2826</v>
      </c>
      <c r="D577" s="378"/>
      <c r="E577" s="391"/>
      <c r="F577" s="391"/>
    </row>
    <row r="578" spans="1:6">
      <c r="A578" s="366" t="s">
        <v>1970</v>
      </c>
      <c r="B578" s="366" t="s">
        <v>2827</v>
      </c>
      <c r="C578" s="367" t="s">
        <v>882</v>
      </c>
      <c r="D578" s="379"/>
      <c r="E578" s="394">
        <v>1782079.24</v>
      </c>
      <c r="F578" s="394">
        <v>1194743.4099999999</v>
      </c>
    </row>
    <row r="579" spans="1:6">
      <c r="A579" s="366" t="s">
        <v>1970</v>
      </c>
      <c r="B579" s="366" t="s">
        <v>2828</v>
      </c>
      <c r="C579" s="367" t="s">
        <v>883</v>
      </c>
      <c r="D579" s="379"/>
      <c r="E579" s="394">
        <v>556032.23</v>
      </c>
      <c r="F579" s="394">
        <v>419624.56</v>
      </c>
    </row>
    <row r="580" spans="1:6">
      <c r="A580" s="366" t="s">
        <v>1970</v>
      </c>
      <c r="B580" s="366" t="s">
        <v>2829</v>
      </c>
      <c r="C580" s="367" t="s">
        <v>880</v>
      </c>
      <c r="D580" s="379"/>
      <c r="E580" s="394">
        <v>979592.87</v>
      </c>
      <c r="F580" s="394">
        <v>740241.51</v>
      </c>
    </row>
    <row r="581" spans="1:6" ht="25.5">
      <c r="A581" s="377" t="s">
        <v>1968</v>
      </c>
      <c r="B581" s="363" t="s">
        <v>885</v>
      </c>
      <c r="C581" s="363" t="s">
        <v>2830</v>
      </c>
      <c r="D581" s="378" t="s">
        <v>1248</v>
      </c>
      <c r="E581" s="391"/>
      <c r="F581" s="391"/>
    </row>
    <row r="582" spans="1:6" ht="24">
      <c r="A582" s="366" t="s">
        <v>1970</v>
      </c>
      <c r="B582" s="366" t="s">
        <v>2831</v>
      </c>
      <c r="C582" s="367" t="s">
        <v>884</v>
      </c>
      <c r="D582" s="379" t="s">
        <v>1248</v>
      </c>
      <c r="E582" s="394"/>
      <c r="F582" s="394"/>
    </row>
    <row r="583" spans="1:6">
      <c r="A583" s="377" t="s">
        <v>1966</v>
      </c>
      <c r="B583" s="363" t="s">
        <v>886</v>
      </c>
      <c r="C583" s="363" t="s">
        <v>2832</v>
      </c>
      <c r="D583" s="378"/>
      <c r="E583" s="391"/>
      <c r="F583" s="391"/>
    </row>
    <row r="584" spans="1:6">
      <c r="A584" s="377" t="s">
        <v>1968</v>
      </c>
      <c r="B584" s="363" t="s">
        <v>887</v>
      </c>
      <c r="C584" s="363" t="s">
        <v>2833</v>
      </c>
      <c r="D584" s="378"/>
      <c r="E584" s="391"/>
      <c r="F584" s="391"/>
    </row>
    <row r="585" spans="1:6">
      <c r="A585" s="366">
        <v>5</v>
      </c>
      <c r="B585" s="366" t="s">
        <v>2834</v>
      </c>
      <c r="C585" s="367" t="s">
        <v>888</v>
      </c>
      <c r="D585" s="379"/>
      <c r="E585" s="394">
        <v>272591.71999999997</v>
      </c>
      <c r="F585" s="394">
        <v>348736.04</v>
      </c>
    </row>
    <row r="586" spans="1:6">
      <c r="A586" s="366">
        <v>5</v>
      </c>
      <c r="B586" s="366" t="s">
        <v>2835</v>
      </c>
      <c r="C586" s="367" t="s">
        <v>889</v>
      </c>
      <c r="D586" s="379"/>
      <c r="E586" s="394">
        <v>66217.64</v>
      </c>
      <c r="F586" s="394">
        <v>61950.38</v>
      </c>
    </row>
    <row r="587" spans="1:6">
      <c r="A587" s="377" t="s">
        <v>1968</v>
      </c>
      <c r="B587" s="363" t="s">
        <v>890</v>
      </c>
      <c r="C587" s="363" t="s">
        <v>2836</v>
      </c>
      <c r="D587" s="378"/>
      <c r="E587" s="391"/>
      <c r="F587" s="391"/>
    </row>
    <row r="588" spans="1:6">
      <c r="A588" s="377" t="s">
        <v>1970</v>
      </c>
      <c r="B588" s="363" t="s">
        <v>892</v>
      </c>
      <c r="C588" s="363" t="s">
        <v>1595</v>
      </c>
      <c r="D588" s="378"/>
      <c r="E588" s="391"/>
      <c r="F588" s="391"/>
    </row>
    <row r="589" spans="1:6">
      <c r="A589" s="366" t="s">
        <v>1972</v>
      </c>
      <c r="B589" s="366" t="s">
        <v>2837</v>
      </c>
      <c r="C589" s="367" t="s">
        <v>891</v>
      </c>
      <c r="D589" s="379"/>
      <c r="E589" s="394">
        <v>2416593.16</v>
      </c>
      <c r="F589" s="394">
        <v>2749263.45</v>
      </c>
    </row>
    <row r="590" spans="1:6">
      <c r="A590" s="377" t="s">
        <v>1970</v>
      </c>
      <c r="B590" s="363" t="s">
        <v>893</v>
      </c>
      <c r="C590" s="363" t="s">
        <v>1596</v>
      </c>
      <c r="D590" s="378"/>
      <c r="E590" s="391"/>
      <c r="F590" s="391"/>
    </row>
    <row r="591" spans="1:6">
      <c r="A591" s="366" t="s">
        <v>1972</v>
      </c>
      <c r="B591" s="366" t="s">
        <v>2838</v>
      </c>
      <c r="C591" s="367" t="s">
        <v>894</v>
      </c>
      <c r="D591" s="379"/>
      <c r="E591" s="394">
        <v>160061.79</v>
      </c>
      <c r="F591" s="394">
        <v>470710.94</v>
      </c>
    </row>
    <row r="592" spans="1:6">
      <c r="A592" s="366" t="s">
        <v>1972</v>
      </c>
      <c r="B592" s="366" t="s">
        <v>2839</v>
      </c>
      <c r="C592" s="367" t="s">
        <v>895</v>
      </c>
      <c r="D592" s="379"/>
      <c r="E592" s="394">
        <v>573052.29</v>
      </c>
      <c r="F592" s="394">
        <v>500676.43</v>
      </c>
    </row>
    <row r="593" spans="1:6">
      <c r="A593" s="366" t="s">
        <v>1972</v>
      </c>
      <c r="B593" s="366" t="s">
        <v>2840</v>
      </c>
      <c r="C593" s="367" t="s">
        <v>896</v>
      </c>
      <c r="D593" s="379"/>
      <c r="E593" s="394">
        <v>50627.57</v>
      </c>
      <c r="F593" s="394">
        <v>58614.26</v>
      </c>
    </row>
    <row r="594" spans="1:6">
      <c r="A594" s="366" t="s">
        <v>1972</v>
      </c>
      <c r="B594" s="366" t="s">
        <v>2841</v>
      </c>
      <c r="C594" s="367" t="s">
        <v>897</v>
      </c>
      <c r="D594" s="379"/>
      <c r="E594" s="394">
        <v>634673.94999999995</v>
      </c>
      <c r="F594" s="394">
        <v>815364.64</v>
      </c>
    </row>
    <row r="595" spans="1:6">
      <c r="A595" s="377" t="s">
        <v>1968</v>
      </c>
      <c r="B595" s="363" t="s">
        <v>898</v>
      </c>
      <c r="C595" s="363" t="s">
        <v>2842</v>
      </c>
      <c r="D595" s="378"/>
      <c r="E595" s="391"/>
      <c r="F595" s="391"/>
    </row>
    <row r="596" spans="1:6">
      <c r="A596" s="377" t="s">
        <v>1970</v>
      </c>
      <c r="B596" s="363" t="s">
        <v>899</v>
      </c>
      <c r="C596" s="363" t="s">
        <v>1598</v>
      </c>
      <c r="D596" s="378"/>
      <c r="E596" s="391"/>
      <c r="F596" s="391"/>
    </row>
    <row r="597" spans="1:6">
      <c r="A597" s="366" t="s">
        <v>1972</v>
      </c>
      <c r="B597" s="366" t="s">
        <v>2843</v>
      </c>
      <c r="C597" s="367" t="s">
        <v>2844</v>
      </c>
      <c r="D597" s="379"/>
      <c r="E597" s="394"/>
      <c r="F597" s="394"/>
    </row>
    <row r="598" spans="1:6">
      <c r="A598" s="366" t="s">
        <v>1972</v>
      </c>
      <c r="B598" s="366" t="s">
        <v>2845</v>
      </c>
      <c r="C598" s="367" t="s">
        <v>2846</v>
      </c>
      <c r="D598" s="379"/>
      <c r="E598" s="394"/>
      <c r="F598" s="394"/>
    </row>
    <row r="599" spans="1:6">
      <c r="A599" s="377" t="s">
        <v>1970</v>
      </c>
      <c r="B599" s="363" t="s">
        <v>900</v>
      </c>
      <c r="C599" s="363" t="s">
        <v>1599</v>
      </c>
      <c r="D599" s="378"/>
      <c r="E599" s="391"/>
      <c r="F599" s="391"/>
    </row>
    <row r="600" spans="1:6">
      <c r="A600" s="366" t="s">
        <v>1972</v>
      </c>
      <c r="B600" s="366" t="s">
        <v>2847</v>
      </c>
      <c r="C600" s="367" t="s">
        <v>2848</v>
      </c>
      <c r="D600" s="379"/>
      <c r="E600" s="394"/>
      <c r="F600" s="394"/>
    </row>
    <row r="601" spans="1:6">
      <c r="A601" s="366" t="s">
        <v>1972</v>
      </c>
      <c r="B601" s="366" t="s">
        <v>2849</v>
      </c>
      <c r="C601" s="367" t="s">
        <v>2850</v>
      </c>
      <c r="D601" s="379"/>
      <c r="E601" s="394"/>
      <c r="F601" s="394"/>
    </row>
    <row r="602" spans="1:6">
      <c r="A602" s="377" t="s">
        <v>1968</v>
      </c>
      <c r="B602" s="363" t="s">
        <v>902</v>
      </c>
      <c r="C602" s="363" t="s">
        <v>1600</v>
      </c>
      <c r="D602" s="378"/>
      <c r="E602" s="391"/>
      <c r="F602" s="391"/>
    </row>
    <row r="603" spans="1:6">
      <c r="A603" s="366" t="s">
        <v>1970</v>
      </c>
      <c r="B603" s="366" t="s">
        <v>2851</v>
      </c>
      <c r="C603" s="367" t="s">
        <v>901</v>
      </c>
      <c r="D603" s="379"/>
      <c r="E603" s="394">
        <v>355099.11</v>
      </c>
      <c r="F603" s="394"/>
    </row>
    <row r="604" spans="1:6" ht="25.5">
      <c r="A604" s="377" t="s">
        <v>1968</v>
      </c>
      <c r="B604" s="363" t="s">
        <v>904</v>
      </c>
      <c r="C604" s="363" t="s">
        <v>1601</v>
      </c>
      <c r="D604" s="378" t="s">
        <v>1248</v>
      </c>
      <c r="E604" s="391"/>
      <c r="F604" s="391"/>
    </row>
    <row r="605" spans="1:6" ht="24">
      <c r="A605" s="366" t="s">
        <v>1970</v>
      </c>
      <c r="B605" s="366" t="s">
        <v>2852</v>
      </c>
      <c r="C605" s="367" t="s">
        <v>903</v>
      </c>
      <c r="D605" s="379" t="s">
        <v>1248</v>
      </c>
      <c r="E605" s="394"/>
      <c r="F605" s="394"/>
    </row>
    <row r="606" spans="1:6">
      <c r="A606" s="377">
        <v>4</v>
      </c>
      <c r="B606" s="363" t="s">
        <v>905</v>
      </c>
      <c r="C606" s="363" t="s">
        <v>2853</v>
      </c>
      <c r="D606" s="378"/>
      <c r="E606" s="391"/>
      <c r="F606" s="391"/>
    </row>
    <row r="607" spans="1:6">
      <c r="A607" s="377">
        <v>5</v>
      </c>
      <c r="B607" s="363" t="s">
        <v>906</v>
      </c>
      <c r="C607" s="363" t="s">
        <v>1605</v>
      </c>
      <c r="D607" s="378"/>
      <c r="E607" s="391"/>
      <c r="F607" s="391"/>
    </row>
    <row r="608" spans="1:6">
      <c r="A608" s="377">
        <v>6</v>
      </c>
      <c r="B608" s="363" t="s">
        <v>907</v>
      </c>
      <c r="C608" s="363" t="s">
        <v>1606</v>
      </c>
      <c r="D608" s="378"/>
      <c r="E608" s="391"/>
      <c r="F608" s="391"/>
    </row>
    <row r="609" spans="1:6" ht="25.5">
      <c r="A609" s="377">
        <v>7</v>
      </c>
      <c r="B609" s="363" t="s">
        <v>908</v>
      </c>
      <c r="C609" s="363" t="s">
        <v>1607</v>
      </c>
      <c r="D609" s="378"/>
      <c r="E609" s="391"/>
      <c r="F609" s="391"/>
    </row>
    <row r="610" spans="1:6" ht="24">
      <c r="A610" s="366">
        <v>8</v>
      </c>
      <c r="B610" s="366" t="s">
        <v>2854</v>
      </c>
      <c r="C610" s="367" t="s">
        <v>2855</v>
      </c>
      <c r="D610" s="379"/>
      <c r="E610" s="394">
        <v>49504223.240000002</v>
      </c>
      <c r="F610" s="394">
        <v>47554279.460000001</v>
      </c>
    </row>
    <row r="611" spans="1:6" ht="24">
      <c r="A611" s="366">
        <v>8</v>
      </c>
      <c r="B611" s="366" t="s">
        <v>2856</v>
      </c>
      <c r="C611" s="367" t="s">
        <v>2857</v>
      </c>
      <c r="D611" s="379"/>
      <c r="E611" s="394">
        <v>13921277.810000001</v>
      </c>
      <c r="F611" s="394">
        <v>13615473.279999999</v>
      </c>
    </row>
    <row r="612" spans="1:6" ht="24">
      <c r="A612" s="366">
        <v>8</v>
      </c>
      <c r="B612" s="366" t="s">
        <v>2858</v>
      </c>
      <c r="C612" s="367" t="s">
        <v>2859</v>
      </c>
      <c r="D612" s="379"/>
      <c r="E612" s="394">
        <v>3487601.29</v>
      </c>
      <c r="F612" s="394">
        <v>5161219.6399999997</v>
      </c>
    </row>
    <row r="613" spans="1:6" ht="24">
      <c r="A613" s="366">
        <v>8</v>
      </c>
      <c r="B613" s="366" t="s">
        <v>2860</v>
      </c>
      <c r="C613" s="367" t="s">
        <v>2861</v>
      </c>
      <c r="D613" s="379"/>
      <c r="E613" s="394">
        <v>2576081.2999999998</v>
      </c>
      <c r="F613" s="394">
        <v>2667149.81</v>
      </c>
    </row>
    <row r="614" spans="1:6" ht="24">
      <c r="A614" s="366">
        <v>8</v>
      </c>
      <c r="B614" s="366" t="s">
        <v>2862</v>
      </c>
      <c r="C614" s="367" t="s">
        <v>2863</v>
      </c>
      <c r="D614" s="379"/>
      <c r="E614" s="394"/>
      <c r="F614" s="394"/>
    </row>
    <row r="615" spans="1:6" ht="24">
      <c r="A615" s="366">
        <v>8</v>
      </c>
      <c r="B615" s="366" t="s">
        <v>2864</v>
      </c>
      <c r="C615" s="367" t="s">
        <v>2865</v>
      </c>
      <c r="D615" s="379"/>
      <c r="E615" s="394"/>
      <c r="F615" s="394"/>
    </row>
    <row r="616" spans="1:6" ht="24">
      <c r="A616" s="366">
        <v>8</v>
      </c>
      <c r="B616" s="366" t="s">
        <v>2866</v>
      </c>
      <c r="C616" s="367" t="s">
        <v>2867</v>
      </c>
      <c r="D616" s="379"/>
      <c r="E616" s="394">
        <v>91015.72</v>
      </c>
      <c r="F616" s="394">
        <v>300664.18</v>
      </c>
    </row>
    <row r="617" spans="1:6" ht="24">
      <c r="A617" s="366">
        <v>8</v>
      </c>
      <c r="B617" s="366" t="s">
        <v>2868</v>
      </c>
      <c r="C617" s="367" t="s">
        <v>2869</v>
      </c>
      <c r="D617" s="379"/>
      <c r="E617" s="394">
        <v>19258120.5</v>
      </c>
      <c r="F617" s="394">
        <v>18257118.23</v>
      </c>
    </row>
    <row r="618" spans="1:6" ht="25.5">
      <c r="A618" s="377">
        <v>7</v>
      </c>
      <c r="B618" s="363" t="s">
        <v>909</v>
      </c>
      <c r="C618" s="363" t="s">
        <v>2870</v>
      </c>
      <c r="D618" s="378"/>
      <c r="E618" s="391"/>
      <c r="F618" s="391"/>
    </row>
    <row r="619" spans="1:6" ht="24">
      <c r="A619" s="366">
        <v>8</v>
      </c>
      <c r="B619" s="366" t="s">
        <v>2871</v>
      </c>
      <c r="C619" s="367" t="s">
        <v>2872</v>
      </c>
      <c r="D619" s="379"/>
      <c r="E619" s="394">
        <v>2583659.84</v>
      </c>
      <c r="F619" s="394">
        <v>2811265.79</v>
      </c>
    </row>
    <row r="620" spans="1:6" ht="24">
      <c r="A620" s="366">
        <v>8</v>
      </c>
      <c r="B620" s="366" t="s">
        <v>2873</v>
      </c>
      <c r="C620" s="367" t="s">
        <v>2874</v>
      </c>
      <c r="D620" s="379"/>
      <c r="E620" s="394">
        <v>545545.57999999996</v>
      </c>
      <c r="F620" s="394">
        <v>615002.31999999995</v>
      </c>
    </row>
    <row r="621" spans="1:6" ht="24">
      <c r="A621" s="366">
        <v>8</v>
      </c>
      <c r="B621" s="366" t="s">
        <v>2875</v>
      </c>
      <c r="C621" s="367" t="s">
        <v>2876</v>
      </c>
      <c r="D621" s="379"/>
      <c r="E621" s="394">
        <v>206399.17</v>
      </c>
      <c r="F621" s="394">
        <v>79443.710000000006</v>
      </c>
    </row>
    <row r="622" spans="1:6" ht="24">
      <c r="A622" s="366">
        <v>8</v>
      </c>
      <c r="B622" s="366" t="s">
        <v>2877</v>
      </c>
      <c r="C622" s="367" t="s">
        <v>2878</v>
      </c>
      <c r="D622" s="379"/>
      <c r="E622" s="394">
        <v>220274.93</v>
      </c>
      <c r="F622" s="394">
        <v>226459.46</v>
      </c>
    </row>
    <row r="623" spans="1:6" ht="24">
      <c r="A623" s="366">
        <v>8</v>
      </c>
      <c r="B623" s="366" t="s">
        <v>2879</v>
      </c>
      <c r="C623" s="367" t="s">
        <v>2880</v>
      </c>
      <c r="D623" s="379"/>
      <c r="E623" s="394"/>
      <c r="F623" s="394"/>
    </row>
    <row r="624" spans="1:6" ht="24">
      <c r="A624" s="366">
        <v>8</v>
      </c>
      <c r="B624" s="366" t="s">
        <v>2881</v>
      </c>
      <c r="C624" s="367" t="s">
        <v>2882</v>
      </c>
      <c r="D624" s="379"/>
      <c r="E624" s="394"/>
      <c r="F624" s="394"/>
    </row>
    <row r="625" spans="1:6">
      <c r="A625" s="366">
        <v>8</v>
      </c>
      <c r="B625" s="366" t="s">
        <v>2883</v>
      </c>
      <c r="C625" s="367" t="s">
        <v>2884</v>
      </c>
      <c r="D625" s="379"/>
      <c r="E625" s="394"/>
      <c r="F625" s="394"/>
    </row>
    <row r="626" spans="1:6" ht="24">
      <c r="A626" s="366">
        <v>8</v>
      </c>
      <c r="B626" s="366" t="s">
        <v>2885</v>
      </c>
      <c r="C626" s="367" t="s">
        <v>2886</v>
      </c>
      <c r="D626" s="379"/>
      <c r="E626" s="394">
        <v>1635830.71</v>
      </c>
      <c r="F626" s="394">
        <v>2335994.94</v>
      </c>
    </row>
    <row r="627" spans="1:6">
      <c r="A627" s="377">
        <v>7</v>
      </c>
      <c r="B627" s="363" t="s">
        <v>911</v>
      </c>
      <c r="C627" s="363" t="s">
        <v>1609</v>
      </c>
      <c r="D627" s="378"/>
      <c r="E627" s="391"/>
      <c r="F627" s="391"/>
    </row>
    <row r="628" spans="1:6">
      <c r="A628" s="366">
        <v>8</v>
      </c>
      <c r="B628" s="366" t="s">
        <v>2887</v>
      </c>
      <c r="C628" s="367" t="s">
        <v>910</v>
      </c>
      <c r="D628" s="379"/>
      <c r="E628" s="394"/>
      <c r="F628" s="394"/>
    </row>
    <row r="629" spans="1:6">
      <c r="A629" s="377">
        <v>6</v>
      </c>
      <c r="B629" s="363" t="s">
        <v>912</v>
      </c>
      <c r="C629" s="363" t="s">
        <v>1610</v>
      </c>
      <c r="D629" s="378"/>
      <c r="E629" s="391"/>
      <c r="F629" s="391"/>
    </row>
    <row r="630" spans="1:6" ht="25.5">
      <c r="A630" s="377">
        <v>7</v>
      </c>
      <c r="B630" s="363" t="s">
        <v>913</v>
      </c>
      <c r="C630" s="363" t="s">
        <v>2888</v>
      </c>
      <c r="D630" s="378"/>
      <c r="E630" s="391"/>
      <c r="F630" s="391"/>
    </row>
    <row r="631" spans="1:6" ht="24">
      <c r="A631" s="366">
        <v>8</v>
      </c>
      <c r="B631" s="366" t="s">
        <v>2889</v>
      </c>
      <c r="C631" s="367" t="s">
        <v>2890</v>
      </c>
      <c r="D631" s="379"/>
      <c r="E631" s="394">
        <v>7251102.6299999999</v>
      </c>
      <c r="F631" s="394">
        <v>6867196.2599999998</v>
      </c>
    </row>
    <row r="632" spans="1:6" ht="24">
      <c r="A632" s="366">
        <v>8</v>
      </c>
      <c r="B632" s="366" t="s">
        <v>2891</v>
      </c>
      <c r="C632" s="367" t="s">
        <v>2892</v>
      </c>
      <c r="D632" s="379"/>
      <c r="E632" s="394">
        <v>1103305.1100000001</v>
      </c>
      <c r="F632" s="394">
        <v>1096715.55</v>
      </c>
    </row>
    <row r="633" spans="1:6" ht="24">
      <c r="A633" s="366">
        <v>8</v>
      </c>
      <c r="B633" s="366" t="s">
        <v>2893</v>
      </c>
      <c r="C633" s="367" t="s">
        <v>2894</v>
      </c>
      <c r="D633" s="379"/>
      <c r="E633" s="394">
        <v>587806.57999999996</v>
      </c>
      <c r="F633" s="394">
        <v>603531.56999999995</v>
      </c>
    </row>
    <row r="634" spans="1:6" ht="24">
      <c r="A634" s="366">
        <v>8</v>
      </c>
      <c r="B634" s="366" t="s">
        <v>2895</v>
      </c>
      <c r="C634" s="367" t="s">
        <v>2896</v>
      </c>
      <c r="D634" s="379"/>
      <c r="E634" s="394">
        <v>170463.21</v>
      </c>
      <c r="F634" s="394">
        <v>353847.78</v>
      </c>
    </row>
    <row r="635" spans="1:6" ht="24">
      <c r="A635" s="366">
        <v>8</v>
      </c>
      <c r="B635" s="366" t="s">
        <v>2897</v>
      </c>
      <c r="C635" s="367" t="s">
        <v>2898</v>
      </c>
      <c r="D635" s="379"/>
      <c r="E635" s="394"/>
      <c r="F635" s="394"/>
    </row>
    <row r="636" spans="1:6" ht="24">
      <c r="A636" s="366">
        <v>8</v>
      </c>
      <c r="B636" s="366" t="s">
        <v>2899</v>
      </c>
      <c r="C636" s="367" t="s">
        <v>2900</v>
      </c>
      <c r="D636" s="379"/>
      <c r="E636" s="394"/>
      <c r="F636" s="394"/>
    </row>
    <row r="637" spans="1:6" ht="24">
      <c r="A637" s="366">
        <v>8</v>
      </c>
      <c r="B637" s="366" t="s">
        <v>2901</v>
      </c>
      <c r="C637" s="367" t="s">
        <v>2902</v>
      </c>
      <c r="D637" s="379"/>
      <c r="E637" s="394">
        <v>8478.8700000000008</v>
      </c>
      <c r="F637" s="394">
        <v>21579.34</v>
      </c>
    </row>
    <row r="638" spans="1:6" ht="24">
      <c r="A638" s="366">
        <v>8</v>
      </c>
      <c r="B638" s="366" t="s">
        <v>2903</v>
      </c>
      <c r="C638" s="367" t="s">
        <v>2904</v>
      </c>
      <c r="D638" s="379"/>
      <c r="E638" s="394">
        <v>2656899.6800000002</v>
      </c>
      <c r="F638" s="394">
        <v>2597097.17</v>
      </c>
    </row>
    <row r="639" spans="1:6" ht="25.5">
      <c r="A639" s="377">
        <v>7</v>
      </c>
      <c r="B639" s="363" t="s">
        <v>914</v>
      </c>
      <c r="C639" s="363" t="s">
        <v>2905</v>
      </c>
      <c r="D639" s="378"/>
      <c r="E639" s="391"/>
      <c r="F639" s="391"/>
    </row>
    <row r="640" spans="1:6" ht="24">
      <c r="A640" s="366">
        <v>8</v>
      </c>
      <c r="B640" s="366" t="s">
        <v>2906</v>
      </c>
      <c r="C640" s="367" t="s">
        <v>2907</v>
      </c>
      <c r="D640" s="379"/>
      <c r="E640" s="394">
        <v>219468.56</v>
      </c>
      <c r="F640" s="394">
        <v>183853.82</v>
      </c>
    </row>
    <row r="641" spans="1:6" ht="24">
      <c r="A641" s="366">
        <v>8</v>
      </c>
      <c r="B641" s="366" t="s">
        <v>2908</v>
      </c>
      <c r="C641" s="367" t="s">
        <v>2909</v>
      </c>
      <c r="D641" s="379"/>
      <c r="E641" s="394">
        <v>6364.86</v>
      </c>
      <c r="F641" s="394">
        <v>6558.19</v>
      </c>
    </row>
    <row r="642" spans="1:6" ht="24">
      <c r="A642" s="366">
        <v>8</v>
      </c>
      <c r="B642" s="366" t="s">
        <v>2910</v>
      </c>
      <c r="C642" s="367" t="s">
        <v>2911</v>
      </c>
      <c r="D642" s="379"/>
      <c r="E642" s="394">
        <v>47002.74</v>
      </c>
      <c r="F642" s="394">
        <v>30916.639999999999</v>
      </c>
    </row>
    <row r="643" spans="1:6" ht="24">
      <c r="A643" s="366">
        <v>8</v>
      </c>
      <c r="B643" s="366" t="s">
        <v>2912</v>
      </c>
      <c r="C643" s="367" t="s">
        <v>2913</v>
      </c>
      <c r="D643" s="379"/>
      <c r="E643" s="394">
        <v>11247.73</v>
      </c>
      <c r="F643" s="394">
        <v>9161.6299999999992</v>
      </c>
    </row>
    <row r="644" spans="1:6" ht="24">
      <c r="A644" s="366">
        <v>8</v>
      </c>
      <c r="B644" s="366" t="s">
        <v>2914</v>
      </c>
      <c r="C644" s="367" t="s">
        <v>2915</v>
      </c>
      <c r="D644" s="379"/>
      <c r="E644" s="394"/>
      <c r="F644" s="394"/>
    </row>
    <row r="645" spans="1:6" ht="24">
      <c r="A645" s="366">
        <v>8</v>
      </c>
      <c r="B645" s="366" t="s">
        <v>2916</v>
      </c>
      <c r="C645" s="367" t="s">
        <v>2917</v>
      </c>
      <c r="D645" s="379"/>
      <c r="E645" s="394"/>
      <c r="F645" s="394"/>
    </row>
    <row r="646" spans="1:6" ht="24">
      <c r="A646" s="366">
        <v>8</v>
      </c>
      <c r="B646" s="366" t="s">
        <v>2918</v>
      </c>
      <c r="C646" s="367" t="s">
        <v>2919</v>
      </c>
      <c r="D646" s="379"/>
      <c r="E646" s="394">
        <v>1092.33</v>
      </c>
      <c r="F646" s="394">
        <v>3519.72</v>
      </c>
    </row>
    <row r="647" spans="1:6" ht="24">
      <c r="A647" s="366">
        <v>8</v>
      </c>
      <c r="B647" s="366" t="s">
        <v>2920</v>
      </c>
      <c r="C647" s="367" t="s">
        <v>2921</v>
      </c>
      <c r="D647" s="379"/>
      <c r="E647" s="394">
        <v>76402.31</v>
      </c>
      <c r="F647" s="394">
        <v>61236.480000000003</v>
      </c>
    </row>
    <row r="648" spans="1:6">
      <c r="A648" s="377">
        <v>7</v>
      </c>
      <c r="B648" s="363" t="s">
        <v>915</v>
      </c>
      <c r="C648" s="363" t="s">
        <v>1613</v>
      </c>
      <c r="D648" s="378"/>
      <c r="E648" s="391"/>
      <c r="F648" s="391"/>
    </row>
    <row r="649" spans="1:6">
      <c r="A649" s="366">
        <v>8</v>
      </c>
      <c r="B649" s="366" t="s">
        <v>2922</v>
      </c>
      <c r="C649" s="367" t="s">
        <v>2923</v>
      </c>
      <c r="D649" s="379"/>
      <c r="E649" s="394"/>
      <c r="F649" s="394"/>
    </row>
    <row r="650" spans="1:6">
      <c r="A650" s="377">
        <v>5</v>
      </c>
      <c r="B650" s="363" t="s">
        <v>916</v>
      </c>
      <c r="C650" s="363" t="s">
        <v>1614</v>
      </c>
      <c r="D650" s="378"/>
      <c r="E650" s="391"/>
      <c r="F650" s="391"/>
    </row>
    <row r="651" spans="1:6" ht="25.5">
      <c r="A651" s="377">
        <v>6</v>
      </c>
      <c r="B651" s="363" t="s">
        <v>917</v>
      </c>
      <c r="C651" s="363" t="s">
        <v>2924</v>
      </c>
      <c r="D651" s="378"/>
      <c r="E651" s="391"/>
      <c r="F651" s="391"/>
    </row>
    <row r="652" spans="1:6" ht="24">
      <c r="A652" s="366">
        <v>8</v>
      </c>
      <c r="B652" s="366" t="s">
        <v>2925</v>
      </c>
      <c r="C652" s="367" t="s">
        <v>2926</v>
      </c>
      <c r="D652" s="379"/>
      <c r="E652" s="394">
        <v>81125195.810000002</v>
      </c>
      <c r="F652" s="394">
        <v>79879864.400000006</v>
      </c>
    </row>
    <row r="653" spans="1:6" ht="24">
      <c r="A653" s="371">
        <v>8</v>
      </c>
      <c r="B653" s="371" t="s">
        <v>2927</v>
      </c>
      <c r="C653" s="372" t="s">
        <v>2928</v>
      </c>
      <c r="D653" s="384"/>
      <c r="E653" s="396"/>
      <c r="F653" s="396"/>
    </row>
    <row r="654" spans="1:6" ht="24">
      <c r="A654" s="366">
        <v>9</v>
      </c>
      <c r="B654" s="366" t="s">
        <v>2929</v>
      </c>
      <c r="C654" s="367" t="s">
        <v>2930</v>
      </c>
      <c r="D654" s="379"/>
      <c r="E654" s="394">
        <v>1054263.25</v>
      </c>
      <c r="F654" s="394">
        <v>1170425.6399999999</v>
      </c>
    </row>
    <row r="655" spans="1:6" ht="24">
      <c r="A655" s="366">
        <v>9</v>
      </c>
      <c r="B655" s="366" t="s">
        <v>2931</v>
      </c>
      <c r="C655" s="367" t="s">
        <v>2932</v>
      </c>
      <c r="D655" s="379"/>
      <c r="E655" s="394">
        <v>5299587.33</v>
      </c>
      <c r="F655" s="394">
        <v>4967037.68</v>
      </c>
    </row>
    <row r="656" spans="1:6" ht="24">
      <c r="A656" s="366">
        <v>9</v>
      </c>
      <c r="B656" s="366" t="s">
        <v>2933</v>
      </c>
      <c r="C656" s="367" t="s">
        <v>2934</v>
      </c>
      <c r="D656" s="379"/>
      <c r="E656" s="394">
        <v>5894533.46</v>
      </c>
      <c r="F656" s="394">
        <v>9174548.3200000003</v>
      </c>
    </row>
    <row r="657" spans="1:6" ht="24">
      <c r="A657" s="371">
        <v>8</v>
      </c>
      <c r="B657" s="371" t="s">
        <v>2935</v>
      </c>
      <c r="C657" s="372" t="s">
        <v>2936</v>
      </c>
      <c r="D657" s="384"/>
      <c r="E657" s="396"/>
      <c r="F657" s="396"/>
    </row>
    <row r="658" spans="1:6" ht="24">
      <c r="A658" s="366">
        <v>9</v>
      </c>
      <c r="B658" s="366" t="s">
        <v>2937</v>
      </c>
      <c r="C658" s="367" t="s">
        <v>2938</v>
      </c>
      <c r="D658" s="379"/>
      <c r="E658" s="394">
        <v>4958562.74</v>
      </c>
      <c r="F658" s="394"/>
    </row>
    <row r="659" spans="1:6" ht="24">
      <c r="A659" s="366">
        <v>9</v>
      </c>
      <c r="B659" s="366" t="s">
        <v>2939</v>
      </c>
      <c r="C659" s="367" t="s">
        <v>2940</v>
      </c>
      <c r="D659" s="379"/>
      <c r="E659" s="394">
        <v>8556872.4900000002</v>
      </c>
      <c r="F659" s="394"/>
    </row>
    <row r="660" spans="1:6" ht="24">
      <c r="A660" s="366">
        <v>9</v>
      </c>
      <c r="B660" s="366" t="s">
        <v>2941</v>
      </c>
      <c r="C660" s="367" t="s">
        <v>2942</v>
      </c>
      <c r="D660" s="379"/>
      <c r="E660" s="394">
        <v>1378512.92</v>
      </c>
      <c r="F660" s="394">
        <v>13330553.859999999</v>
      </c>
    </row>
    <row r="661" spans="1:6" ht="24">
      <c r="A661" s="366">
        <v>9</v>
      </c>
      <c r="B661" s="366" t="s">
        <v>2943</v>
      </c>
      <c r="C661" s="367" t="s">
        <v>2944</v>
      </c>
      <c r="D661" s="379"/>
      <c r="E661" s="394"/>
      <c r="F661" s="394"/>
    </row>
    <row r="662" spans="1:6" ht="24">
      <c r="A662" s="366">
        <v>9</v>
      </c>
      <c r="B662" s="366" t="s">
        <v>2945</v>
      </c>
      <c r="C662" s="367" t="s">
        <v>2946</v>
      </c>
      <c r="D662" s="379"/>
      <c r="E662" s="394"/>
      <c r="F662" s="394"/>
    </row>
    <row r="663" spans="1:6" ht="24">
      <c r="A663" s="366">
        <v>9</v>
      </c>
      <c r="B663" s="366" t="s">
        <v>2947</v>
      </c>
      <c r="C663" s="367" t="s">
        <v>2948</v>
      </c>
      <c r="D663" s="379"/>
      <c r="E663" s="394">
        <v>87957.78</v>
      </c>
      <c r="F663" s="394">
        <v>109063.7</v>
      </c>
    </row>
    <row r="664" spans="1:6" ht="24">
      <c r="A664" s="366">
        <v>9</v>
      </c>
      <c r="B664" s="366" t="s">
        <v>2949</v>
      </c>
      <c r="C664" s="367" t="s">
        <v>2950</v>
      </c>
      <c r="D664" s="379"/>
      <c r="E664" s="394">
        <v>31840397</v>
      </c>
      <c r="F664" s="394">
        <v>32238117.16</v>
      </c>
    </row>
    <row r="665" spans="1:6" ht="25.5">
      <c r="A665" s="377">
        <v>6</v>
      </c>
      <c r="B665" s="363" t="s">
        <v>918</v>
      </c>
      <c r="C665" s="363" t="s">
        <v>2951</v>
      </c>
      <c r="D665" s="378"/>
      <c r="E665" s="391"/>
      <c r="F665" s="391"/>
    </row>
    <row r="666" spans="1:6" ht="24">
      <c r="A666" s="371">
        <v>7</v>
      </c>
      <c r="B666" s="371" t="s">
        <v>2952</v>
      </c>
      <c r="C666" s="372" t="s">
        <v>2953</v>
      </c>
      <c r="D666" s="384"/>
      <c r="E666" s="396"/>
      <c r="F666" s="396"/>
    </row>
    <row r="667" spans="1:6" ht="24">
      <c r="A667" s="366">
        <v>8</v>
      </c>
      <c r="B667" s="369" t="s">
        <v>2954</v>
      </c>
      <c r="C667" s="367" t="s">
        <v>2955</v>
      </c>
      <c r="D667" s="379"/>
      <c r="E667" s="394">
        <v>3593071.74</v>
      </c>
      <c r="F667" s="394">
        <v>3559340.41</v>
      </c>
    </row>
    <row r="668" spans="1:6" ht="24">
      <c r="A668" s="371">
        <v>8</v>
      </c>
      <c r="B668" s="371" t="s">
        <v>2956</v>
      </c>
      <c r="C668" s="372" t="s">
        <v>2957</v>
      </c>
      <c r="D668" s="384"/>
      <c r="E668" s="396"/>
      <c r="F668" s="396"/>
    </row>
    <row r="669" spans="1:6" ht="24">
      <c r="A669" s="366">
        <v>9</v>
      </c>
      <c r="B669" s="366" t="s">
        <v>2958</v>
      </c>
      <c r="C669" s="367" t="s">
        <v>2959</v>
      </c>
      <c r="D669" s="379"/>
      <c r="E669" s="394">
        <v>59077.69</v>
      </c>
      <c r="F669" s="394">
        <v>61127.9</v>
      </c>
    </row>
    <row r="670" spans="1:6" ht="24">
      <c r="A670" s="366">
        <v>9</v>
      </c>
      <c r="B670" s="366" t="s">
        <v>2960</v>
      </c>
      <c r="C670" s="367" t="s">
        <v>2961</v>
      </c>
      <c r="D670" s="379"/>
      <c r="E670" s="394">
        <v>319175.34999999998</v>
      </c>
      <c r="F670" s="394">
        <v>329687.82</v>
      </c>
    </row>
    <row r="671" spans="1:6" ht="24">
      <c r="A671" s="366">
        <v>9</v>
      </c>
      <c r="B671" s="366" t="s">
        <v>2962</v>
      </c>
      <c r="C671" s="367" t="s">
        <v>2963</v>
      </c>
      <c r="D671" s="379"/>
      <c r="E671" s="394">
        <v>438933.04</v>
      </c>
      <c r="F671" s="394">
        <v>205471.57</v>
      </c>
    </row>
    <row r="672" spans="1:6" ht="24">
      <c r="A672" s="371">
        <v>8</v>
      </c>
      <c r="B672" s="371" t="s">
        <v>2964</v>
      </c>
      <c r="C672" s="372" t="s">
        <v>2965</v>
      </c>
      <c r="D672" s="384"/>
      <c r="E672" s="396"/>
      <c r="F672" s="396"/>
    </row>
    <row r="673" spans="1:6">
      <c r="A673" s="366">
        <v>9</v>
      </c>
      <c r="B673" s="366" t="s">
        <v>2966</v>
      </c>
      <c r="C673" s="367" t="s">
        <v>2967</v>
      </c>
      <c r="D673" s="379"/>
      <c r="E673" s="394">
        <v>177634.92</v>
      </c>
      <c r="F673" s="394"/>
    </row>
    <row r="674" spans="1:6" ht="24">
      <c r="A674" s="366">
        <v>9</v>
      </c>
      <c r="B674" s="366" t="s">
        <v>2968</v>
      </c>
      <c r="C674" s="367" t="s">
        <v>2969</v>
      </c>
      <c r="D674" s="379"/>
      <c r="E674" s="394"/>
      <c r="F674" s="394"/>
    </row>
    <row r="675" spans="1:6" ht="24">
      <c r="A675" s="366">
        <v>9</v>
      </c>
      <c r="B675" s="366" t="s">
        <v>2970</v>
      </c>
      <c r="C675" s="367" t="s">
        <v>2971</v>
      </c>
      <c r="D675" s="379"/>
      <c r="E675" s="394">
        <v>62228.49</v>
      </c>
      <c r="F675" s="394">
        <v>508981.96</v>
      </c>
    </row>
    <row r="676" spans="1:6" ht="24">
      <c r="A676" s="366">
        <v>9</v>
      </c>
      <c r="B676" s="366" t="s">
        <v>2972</v>
      </c>
      <c r="C676" s="367" t="s">
        <v>2973</v>
      </c>
      <c r="D676" s="379"/>
      <c r="E676" s="394"/>
      <c r="F676" s="394"/>
    </row>
    <row r="677" spans="1:6" ht="24">
      <c r="A677" s="366">
        <v>9</v>
      </c>
      <c r="B677" s="366" t="s">
        <v>2974</v>
      </c>
      <c r="C677" s="367" t="s">
        <v>2975</v>
      </c>
      <c r="D677" s="379"/>
      <c r="E677" s="394"/>
      <c r="F677" s="394"/>
    </row>
    <row r="678" spans="1:6" ht="24">
      <c r="A678" s="366">
        <v>9</v>
      </c>
      <c r="B678" s="366" t="s">
        <v>2976</v>
      </c>
      <c r="C678" s="367" t="s">
        <v>2977</v>
      </c>
      <c r="D678" s="379"/>
      <c r="E678" s="394"/>
      <c r="F678" s="394">
        <v>1800.69</v>
      </c>
    </row>
    <row r="679" spans="1:6" ht="24">
      <c r="A679" s="366">
        <v>9</v>
      </c>
      <c r="B679" s="366" t="s">
        <v>2978</v>
      </c>
      <c r="C679" s="367" t="s">
        <v>2979</v>
      </c>
      <c r="D679" s="379"/>
      <c r="E679" s="394">
        <v>1440927.98</v>
      </c>
      <c r="F679" s="394">
        <v>1490735.86</v>
      </c>
    </row>
    <row r="680" spans="1:6" ht="24">
      <c r="A680" s="371">
        <v>8</v>
      </c>
      <c r="B680" s="371" t="s">
        <v>2980</v>
      </c>
      <c r="C680" s="372" t="s">
        <v>2981</v>
      </c>
      <c r="D680" s="384"/>
      <c r="E680" s="396"/>
      <c r="F680" s="396"/>
    </row>
    <row r="681" spans="1:6" ht="24">
      <c r="A681" s="366">
        <v>9</v>
      </c>
      <c r="B681" s="366" t="s">
        <v>2982</v>
      </c>
      <c r="C681" s="367" t="s">
        <v>2983</v>
      </c>
      <c r="D681" s="379"/>
      <c r="E681" s="394"/>
      <c r="F681" s="394"/>
    </row>
    <row r="682" spans="1:6" ht="24">
      <c r="A682" s="371">
        <v>8</v>
      </c>
      <c r="B682" s="371" t="s">
        <v>2984</v>
      </c>
      <c r="C682" s="372" t="s">
        <v>2985</v>
      </c>
      <c r="D682" s="384"/>
      <c r="E682" s="396"/>
      <c r="F682" s="396"/>
    </row>
    <row r="683" spans="1:6" ht="24">
      <c r="A683" s="366">
        <v>9</v>
      </c>
      <c r="B683" s="366" t="s">
        <v>2986</v>
      </c>
      <c r="C683" s="367" t="s">
        <v>2987</v>
      </c>
      <c r="D683" s="379"/>
      <c r="E683" s="394"/>
      <c r="F683" s="394"/>
    </row>
    <row r="684" spans="1:6" ht="24">
      <c r="A684" s="366">
        <v>9</v>
      </c>
      <c r="B684" s="366" t="s">
        <v>2988</v>
      </c>
      <c r="C684" s="367" t="s">
        <v>2989</v>
      </c>
      <c r="D684" s="379"/>
      <c r="E684" s="394"/>
      <c r="F684" s="394"/>
    </row>
    <row r="685" spans="1:6">
      <c r="A685" s="366">
        <v>9</v>
      </c>
      <c r="B685" s="366" t="s">
        <v>2990</v>
      </c>
      <c r="C685" s="367" t="s">
        <v>2991</v>
      </c>
      <c r="D685" s="379"/>
      <c r="E685" s="394"/>
      <c r="F685" s="394"/>
    </row>
    <row r="686" spans="1:6" ht="24">
      <c r="A686" s="371">
        <v>8</v>
      </c>
      <c r="B686" s="371" t="s">
        <v>2992</v>
      </c>
      <c r="C686" s="372" t="s">
        <v>2993</v>
      </c>
      <c r="D686" s="384"/>
      <c r="E686" s="396"/>
      <c r="F686" s="396"/>
    </row>
    <row r="687" spans="1:6" ht="24">
      <c r="A687" s="366">
        <v>9</v>
      </c>
      <c r="B687" s="366" t="s">
        <v>2994</v>
      </c>
      <c r="C687" s="367" t="s">
        <v>2995</v>
      </c>
      <c r="D687" s="379"/>
      <c r="E687" s="394"/>
      <c r="F687" s="394"/>
    </row>
    <row r="688" spans="1:6" ht="24">
      <c r="A688" s="366">
        <v>9</v>
      </c>
      <c r="B688" s="366" t="s">
        <v>2996</v>
      </c>
      <c r="C688" s="367" t="s">
        <v>2997</v>
      </c>
      <c r="D688" s="379"/>
      <c r="E688" s="394"/>
      <c r="F688" s="394"/>
    </row>
    <row r="689" spans="1:6" ht="24">
      <c r="A689" s="366">
        <v>9</v>
      </c>
      <c r="B689" s="366" t="s">
        <v>2998</v>
      </c>
      <c r="C689" s="367" t="s">
        <v>2999</v>
      </c>
      <c r="D689" s="379"/>
      <c r="E689" s="394"/>
      <c r="F689" s="394"/>
    </row>
    <row r="690" spans="1:6" ht="24">
      <c r="A690" s="366">
        <v>9</v>
      </c>
      <c r="B690" s="366" t="s">
        <v>3000</v>
      </c>
      <c r="C690" s="367" t="s">
        <v>3001</v>
      </c>
      <c r="D690" s="379"/>
      <c r="E690" s="394"/>
      <c r="F690" s="394"/>
    </row>
    <row r="691" spans="1:6" ht="24">
      <c r="A691" s="366">
        <v>9</v>
      </c>
      <c r="B691" s="366" t="s">
        <v>3002</v>
      </c>
      <c r="C691" s="367" t="s">
        <v>3003</v>
      </c>
      <c r="D691" s="379"/>
      <c r="E691" s="394"/>
      <c r="F691" s="394"/>
    </row>
    <row r="692" spans="1:6" ht="24">
      <c r="A692" s="366">
        <v>9</v>
      </c>
      <c r="B692" s="366" t="s">
        <v>3004</v>
      </c>
      <c r="C692" s="367" t="s">
        <v>3005</v>
      </c>
      <c r="D692" s="379"/>
      <c r="E692" s="394"/>
      <c r="F692" s="394"/>
    </row>
    <row r="693" spans="1:6" ht="24">
      <c r="A693" s="366">
        <v>9</v>
      </c>
      <c r="B693" s="366" t="s">
        <v>3006</v>
      </c>
      <c r="C693" s="367" t="s">
        <v>3007</v>
      </c>
      <c r="D693" s="379"/>
      <c r="E693" s="394"/>
      <c r="F693" s="394"/>
    </row>
    <row r="694" spans="1:6" ht="24">
      <c r="A694" s="371">
        <v>7</v>
      </c>
      <c r="B694" s="371" t="s">
        <v>3008</v>
      </c>
      <c r="C694" s="372" t="s">
        <v>3009</v>
      </c>
      <c r="D694" s="384"/>
      <c r="E694" s="396"/>
      <c r="F694" s="396"/>
    </row>
    <row r="695" spans="1:6" ht="24">
      <c r="A695" s="366">
        <v>8</v>
      </c>
      <c r="B695" s="366" t="s">
        <v>3010</v>
      </c>
      <c r="C695" s="367" t="s">
        <v>3011</v>
      </c>
      <c r="D695" s="379"/>
      <c r="E695" s="394"/>
      <c r="F695" s="394"/>
    </row>
    <row r="696" spans="1:6" ht="24">
      <c r="A696" s="371">
        <v>8</v>
      </c>
      <c r="B696" s="371" t="s">
        <v>3012</v>
      </c>
      <c r="C696" s="372" t="s">
        <v>3013</v>
      </c>
      <c r="D696" s="384"/>
      <c r="E696" s="396"/>
      <c r="F696" s="396"/>
    </row>
    <row r="697" spans="1:6" ht="24">
      <c r="A697" s="366">
        <v>9</v>
      </c>
      <c r="B697" s="366" t="s">
        <v>3014</v>
      </c>
      <c r="C697" s="367" t="s">
        <v>3015</v>
      </c>
      <c r="D697" s="379"/>
      <c r="E697" s="394"/>
      <c r="F697" s="394"/>
    </row>
    <row r="698" spans="1:6" ht="24">
      <c r="A698" s="366">
        <v>9</v>
      </c>
      <c r="B698" s="366" t="s">
        <v>3016</v>
      </c>
      <c r="C698" s="367" t="s">
        <v>3017</v>
      </c>
      <c r="D698" s="379"/>
      <c r="E698" s="394"/>
      <c r="F698" s="394"/>
    </row>
    <row r="699" spans="1:6">
      <c r="A699" s="366">
        <v>9</v>
      </c>
      <c r="B699" s="366" t="s">
        <v>3018</v>
      </c>
      <c r="C699" s="367" t="s">
        <v>3019</v>
      </c>
      <c r="D699" s="379"/>
      <c r="E699" s="394"/>
      <c r="F699" s="394"/>
    </row>
    <row r="700" spans="1:6" ht="24">
      <c r="A700" s="371">
        <v>8</v>
      </c>
      <c r="B700" s="371" t="s">
        <v>3020</v>
      </c>
      <c r="C700" s="372" t="s">
        <v>3021</v>
      </c>
      <c r="D700" s="384"/>
      <c r="E700" s="396"/>
      <c r="F700" s="396"/>
    </row>
    <row r="701" spans="1:6" ht="24">
      <c r="A701" s="366">
        <v>9</v>
      </c>
      <c r="B701" s="366" t="s">
        <v>3022</v>
      </c>
      <c r="C701" s="367" t="s">
        <v>3023</v>
      </c>
      <c r="D701" s="379"/>
      <c r="E701" s="394"/>
      <c r="F701" s="394"/>
    </row>
    <row r="702" spans="1:6" ht="24">
      <c r="A702" s="366">
        <v>9</v>
      </c>
      <c r="B702" s="366" t="s">
        <v>3024</v>
      </c>
      <c r="C702" s="367" t="s">
        <v>3025</v>
      </c>
      <c r="D702" s="379"/>
      <c r="E702" s="394"/>
      <c r="F702" s="394"/>
    </row>
    <row r="703" spans="1:6" ht="24">
      <c r="A703" s="366">
        <v>9</v>
      </c>
      <c r="B703" s="366" t="s">
        <v>3026</v>
      </c>
      <c r="C703" s="367" t="s">
        <v>3027</v>
      </c>
      <c r="D703" s="379"/>
      <c r="E703" s="394"/>
      <c r="F703" s="394"/>
    </row>
    <row r="704" spans="1:6" ht="24">
      <c r="A704" s="366">
        <v>8</v>
      </c>
      <c r="B704" s="366" t="s">
        <v>3028</v>
      </c>
      <c r="C704" s="367" t="s">
        <v>3029</v>
      </c>
      <c r="D704" s="379"/>
      <c r="E704" s="394"/>
      <c r="F704" s="394"/>
    </row>
    <row r="705" spans="1:6" ht="24">
      <c r="A705" s="366">
        <v>8</v>
      </c>
      <c r="B705" s="366" t="s">
        <v>3030</v>
      </c>
      <c r="C705" s="367" t="s">
        <v>3031</v>
      </c>
      <c r="D705" s="379"/>
      <c r="E705" s="394"/>
      <c r="F705" s="394"/>
    </row>
    <row r="706" spans="1:6" ht="24">
      <c r="A706" s="366">
        <v>8</v>
      </c>
      <c r="B706" s="366" t="s">
        <v>3032</v>
      </c>
      <c r="C706" s="367" t="s">
        <v>3033</v>
      </c>
      <c r="D706" s="379"/>
      <c r="E706" s="394"/>
      <c r="F706" s="394"/>
    </row>
    <row r="707" spans="1:6" ht="24">
      <c r="A707" s="366">
        <v>8</v>
      </c>
      <c r="B707" s="366" t="s">
        <v>3034</v>
      </c>
      <c r="C707" s="367" t="s">
        <v>3035</v>
      </c>
      <c r="D707" s="379"/>
      <c r="E707" s="394"/>
      <c r="F707" s="394"/>
    </row>
    <row r="708" spans="1:6">
      <c r="A708" s="377">
        <v>6</v>
      </c>
      <c r="B708" s="363" t="s">
        <v>920</v>
      </c>
      <c r="C708" s="363" t="s">
        <v>1617</v>
      </c>
      <c r="D708" s="378"/>
      <c r="E708" s="391"/>
      <c r="F708" s="391"/>
    </row>
    <row r="709" spans="1:6">
      <c r="A709" s="366">
        <v>7</v>
      </c>
      <c r="B709" s="366" t="s">
        <v>3036</v>
      </c>
      <c r="C709" s="367" t="s">
        <v>919</v>
      </c>
      <c r="D709" s="379"/>
      <c r="E709" s="394"/>
      <c r="F709" s="394"/>
    </row>
    <row r="710" spans="1:6">
      <c r="A710" s="377">
        <v>4</v>
      </c>
      <c r="B710" s="363" t="s">
        <v>921</v>
      </c>
      <c r="C710" s="363" t="s">
        <v>3037</v>
      </c>
      <c r="D710" s="378"/>
      <c r="E710" s="391"/>
      <c r="F710" s="391"/>
    </row>
    <row r="711" spans="1:6">
      <c r="A711" s="377">
        <v>5</v>
      </c>
      <c r="B711" s="363" t="s">
        <v>922</v>
      </c>
      <c r="C711" s="363" t="s">
        <v>1619</v>
      </c>
      <c r="D711" s="378"/>
      <c r="E711" s="391"/>
      <c r="F711" s="391"/>
    </row>
    <row r="712" spans="1:6" ht="25.5">
      <c r="A712" s="377">
        <v>6</v>
      </c>
      <c r="B712" s="363" t="s">
        <v>923</v>
      </c>
      <c r="C712" s="363" t="s">
        <v>3038</v>
      </c>
      <c r="D712" s="378"/>
      <c r="E712" s="391"/>
      <c r="F712" s="391"/>
    </row>
    <row r="713" spans="1:6" ht="24">
      <c r="A713" s="366">
        <v>7</v>
      </c>
      <c r="B713" s="366" t="s">
        <v>3039</v>
      </c>
      <c r="C713" s="367" t="s">
        <v>3040</v>
      </c>
      <c r="D713" s="379"/>
      <c r="E713" s="394">
        <v>579325.80000000005</v>
      </c>
      <c r="F713" s="394">
        <v>446831.47</v>
      </c>
    </row>
    <row r="714" spans="1:6" ht="24">
      <c r="A714" s="366">
        <v>7</v>
      </c>
      <c r="B714" s="366" t="s">
        <v>3041</v>
      </c>
      <c r="C714" s="367" t="s">
        <v>3042</v>
      </c>
      <c r="D714" s="379"/>
      <c r="E714" s="394">
        <v>237916.47</v>
      </c>
      <c r="F714" s="394">
        <v>200769.9</v>
      </c>
    </row>
    <row r="715" spans="1:6" ht="24">
      <c r="A715" s="366">
        <v>7</v>
      </c>
      <c r="B715" s="366" t="s">
        <v>3043</v>
      </c>
      <c r="C715" s="367" t="s">
        <v>3044</v>
      </c>
      <c r="D715" s="379"/>
      <c r="E715" s="394">
        <v>59567.86</v>
      </c>
      <c r="F715" s="394">
        <v>58896.91</v>
      </c>
    </row>
    <row r="716" spans="1:6" ht="24">
      <c r="A716" s="366">
        <v>7</v>
      </c>
      <c r="B716" s="366" t="s">
        <v>3045</v>
      </c>
      <c r="C716" s="367" t="s">
        <v>3046</v>
      </c>
      <c r="D716" s="379"/>
      <c r="E716" s="394">
        <v>4842.57</v>
      </c>
      <c r="F716" s="394">
        <v>4993.62</v>
      </c>
    </row>
    <row r="717" spans="1:6" ht="24">
      <c r="A717" s="366">
        <v>7</v>
      </c>
      <c r="B717" s="366" t="s">
        <v>3047</v>
      </c>
      <c r="C717" s="367" t="s">
        <v>3048</v>
      </c>
      <c r="D717" s="379"/>
      <c r="E717" s="394"/>
      <c r="F717" s="394"/>
    </row>
    <row r="718" spans="1:6" ht="24">
      <c r="A718" s="366">
        <v>7</v>
      </c>
      <c r="B718" s="366" t="s">
        <v>3049</v>
      </c>
      <c r="C718" s="367" t="s">
        <v>3050</v>
      </c>
      <c r="D718" s="379"/>
      <c r="E718" s="394"/>
      <c r="F718" s="394"/>
    </row>
    <row r="719" spans="1:6" ht="24">
      <c r="A719" s="366">
        <v>7</v>
      </c>
      <c r="B719" s="366" t="s">
        <v>3051</v>
      </c>
      <c r="C719" s="367" t="s">
        <v>3052</v>
      </c>
      <c r="D719" s="379"/>
      <c r="E719" s="394">
        <v>8465.65</v>
      </c>
      <c r="F719" s="394">
        <v>37519.19</v>
      </c>
    </row>
    <row r="720" spans="1:6" ht="24">
      <c r="A720" s="366">
        <v>7</v>
      </c>
      <c r="B720" s="366" t="s">
        <v>3053</v>
      </c>
      <c r="C720" s="367" t="s">
        <v>3054</v>
      </c>
      <c r="D720" s="379"/>
      <c r="E720" s="394">
        <v>248055.63</v>
      </c>
      <c r="F720" s="394">
        <v>187850.14</v>
      </c>
    </row>
    <row r="721" spans="1:6" ht="25.5">
      <c r="A721" s="377">
        <v>6</v>
      </c>
      <c r="B721" s="363" t="s">
        <v>924</v>
      </c>
      <c r="C721" s="363" t="s">
        <v>3055</v>
      </c>
      <c r="D721" s="378"/>
      <c r="E721" s="391"/>
      <c r="F721" s="391"/>
    </row>
    <row r="722" spans="1:6" ht="24">
      <c r="A722" s="366">
        <v>7</v>
      </c>
      <c r="B722" s="366" t="s">
        <v>3056</v>
      </c>
      <c r="C722" s="367" t="s">
        <v>3057</v>
      </c>
      <c r="D722" s="379"/>
      <c r="E722" s="394">
        <v>141432.54999999999</v>
      </c>
      <c r="F722" s="394">
        <v>178412.95</v>
      </c>
    </row>
    <row r="723" spans="1:6" ht="24">
      <c r="A723" s="366">
        <v>7</v>
      </c>
      <c r="B723" s="366" t="s">
        <v>3058</v>
      </c>
      <c r="C723" s="367" t="s">
        <v>3059</v>
      </c>
      <c r="D723" s="379"/>
      <c r="E723" s="394">
        <v>30319.03</v>
      </c>
      <c r="F723" s="394">
        <v>75724.39</v>
      </c>
    </row>
    <row r="724" spans="1:6" ht="24">
      <c r="A724" s="366">
        <v>7</v>
      </c>
      <c r="B724" s="366" t="s">
        <v>3060</v>
      </c>
      <c r="C724" s="367" t="s">
        <v>3061</v>
      </c>
      <c r="D724" s="379"/>
      <c r="E724" s="394">
        <v>13747.03</v>
      </c>
      <c r="F724" s="394">
        <v>23883.14</v>
      </c>
    </row>
    <row r="725" spans="1:6" ht="24">
      <c r="A725" s="366">
        <v>7</v>
      </c>
      <c r="B725" s="366" t="s">
        <v>3062</v>
      </c>
      <c r="C725" s="367" t="s">
        <v>3063</v>
      </c>
      <c r="D725" s="379"/>
      <c r="E725" s="394"/>
      <c r="F725" s="394"/>
    </row>
    <row r="726" spans="1:6" ht="24">
      <c r="A726" s="366">
        <v>7</v>
      </c>
      <c r="B726" s="366" t="s">
        <v>3064</v>
      </c>
      <c r="C726" s="367" t="s">
        <v>3065</v>
      </c>
      <c r="D726" s="379"/>
      <c r="E726" s="394"/>
      <c r="F726" s="394"/>
    </row>
    <row r="727" spans="1:6" ht="24">
      <c r="A727" s="366">
        <v>7</v>
      </c>
      <c r="B727" s="366" t="s">
        <v>3066</v>
      </c>
      <c r="C727" s="367" t="s">
        <v>3067</v>
      </c>
      <c r="D727" s="379"/>
      <c r="E727" s="394"/>
      <c r="F727" s="394"/>
    </row>
    <row r="728" spans="1:6" ht="24">
      <c r="A728" s="366">
        <v>7</v>
      </c>
      <c r="B728" s="366" t="s">
        <v>3068</v>
      </c>
      <c r="C728" s="367" t="s">
        <v>3069</v>
      </c>
      <c r="D728" s="379"/>
      <c r="E728" s="394">
        <v>65245.55</v>
      </c>
      <c r="F728" s="394"/>
    </row>
    <row r="729" spans="1:6" ht="24">
      <c r="A729" s="366">
        <v>7</v>
      </c>
      <c r="B729" s="366" t="s">
        <v>3070</v>
      </c>
      <c r="C729" s="367" t="s">
        <v>3071</v>
      </c>
      <c r="D729" s="379"/>
      <c r="E729" s="394">
        <v>73300.44</v>
      </c>
      <c r="F729" s="394">
        <v>106595.93</v>
      </c>
    </row>
    <row r="730" spans="1:6" ht="25.5">
      <c r="A730" s="377">
        <v>6</v>
      </c>
      <c r="B730" s="363" t="s">
        <v>926</v>
      </c>
      <c r="C730" s="363" t="s">
        <v>1622</v>
      </c>
      <c r="D730" s="378"/>
      <c r="E730" s="391"/>
      <c r="F730" s="391"/>
    </row>
    <row r="731" spans="1:6">
      <c r="A731" s="366">
        <v>7</v>
      </c>
      <c r="B731" s="366" t="s">
        <v>3072</v>
      </c>
      <c r="C731" s="367" t="s">
        <v>925</v>
      </c>
      <c r="D731" s="379"/>
      <c r="E731" s="394"/>
      <c r="F731" s="394"/>
    </row>
    <row r="732" spans="1:6">
      <c r="A732" s="377">
        <v>5</v>
      </c>
      <c r="B732" s="363" t="s">
        <v>927</v>
      </c>
      <c r="C732" s="363" t="s">
        <v>1623</v>
      </c>
      <c r="D732" s="378"/>
      <c r="E732" s="391"/>
      <c r="F732" s="391"/>
    </row>
    <row r="733" spans="1:6" ht="25.5">
      <c r="A733" s="377">
        <v>6</v>
      </c>
      <c r="B733" s="363" t="s">
        <v>928</v>
      </c>
      <c r="C733" s="363" t="s">
        <v>3073</v>
      </c>
      <c r="D733" s="378"/>
      <c r="E733" s="391"/>
      <c r="F733" s="391"/>
    </row>
    <row r="734" spans="1:6" ht="24">
      <c r="A734" s="366">
        <v>7</v>
      </c>
      <c r="B734" s="366" t="s">
        <v>3074</v>
      </c>
      <c r="C734" s="367" t="s">
        <v>3075</v>
      </c>
      <c r="D734" s="379"/>
      <c r="E734" s="394"/>
      <c r="F734" s="394"/>
    </row>
    <row r="735" spans="1:6" ht="24">
      <c r="A735" s="371">
        <v>7</v>
      </c>
      <c r="B735" s="371" t="s">
        <v>3076</v>
      </c>
      <c r="C735" s="372" t="s">
        <v>3077</v>
      </c>
      <c r="D735" s="384"/>
      <c r="E735" s="396"/>
      <c r="F735" s="396"/>
    </row>
    <row r="736" spans="1:6" ht="24">
      <c r="A736" s="366">
        <v>8</v>
      </c>
      <c r="B736" s="366" t="s">
        <v>3078</v>
      </c>
      <c r="C736" s="367" t="s">
        <v>3079</v>
      </c>
      <c r="D736" s="379"/>
      <c r="E736" s="394"/>
      <c r="F736" s="394"/>
    </row>
    <row r="737" spans="1:6" ht="24">
      <c r="A737" s="366">
        <v>8</v>
      </c>
      <c r="B737" s="366" t="s">
        <v>3080</v>
      </c>
      <c r="C737" s="367" t="s">
        <v>3081</v>
      </c>
      <c r="D737" s="379"/>
      <c r="E737" s="394"/>
      <c r="F737" s="394"/>
    </row>
    <row r="738" spans="1:6">
      <c r="A738" s="366">
        <v>8</v>
      </c>
      <c r="B738" s="366" t="s">
        <v>3082</v>
      </c>
      <c r="C738" s="367" t="s">
        <v>3083</v>
      </c>
      <c r="D738" s="379"/>
      <c r="E738" s="394"/>
      <c r="F738" s="394"/>
    </row>
    <row r="739" spans="1:6" ht="24">
      <c r="A739" s="371">
        <v>7</v>
      </c>
      <c r="B739" s="371" t="s">
        <v>3084</v>
      </c>
      <c r="C739" s="372" t="s">
        <v>2936</v>
      </c>
      <c r="D739" s="384"/>
      <c r="E739" s="396"/>
      <c r="F739" s="396"/>
    </row>
    <row r="740" spans="1:6" ht="24">
      <c r="A740" s="366">
        <v>8</v>
      </c>
      <c r="B740" s="366" t="s">
        <v>3085</v>
      </c>
      <c r="C740" s="367" t="s">
        <v>3086</v>
      </c>
      <c r="D740" s="379"/>
      <c r="E740" s="394"/>
      <c r="F740" s="394"/>
    </row>
    <row r="741" spans="1:6" ht="24">
      <c r="A741" s="366">
        <v>8</v>
      </c>
      <c r="B741" s="366" t="s">
        <v>3087</v>
      </c>
      <c r="C741" s="367" t="s">
        <v>3088</v>
      </c>
      <c r="D741" s="379"/>
      <c r="E741" s="394"/>
      <c r="F741" s="394"/>
    </row>
    <row r="742" spans="1:6" ht="24">
      <c r="A742" s="366">
        <v>8</v>
      </c>
      <c r="B742" s="366" t="s">
        <v>3089</v>
      </c>
      <c r="C742" s="367" t="s">
        <v>3090</v>
      </c>
      <c r="D742" s="379"/>
      <c r="E742" s="394"/>
      <c r="F742" s="394"/>
    </row>
    <row r="743" spans="1:6" ht="24">
      <c r="A743" s="366">
        <v>7</v>
      </c>
      <c r="B743" s="366" t="s">
        <v>3091</v>
      </c>
      <c r="C743" s="367" t="s">
        <v>3092</v>
      </c>
      <c r="D743" s="379"/>
      <c r="E743" s="394"/>
      <c r="F743" s="394"/>
    </row>
    <row r="744" spans="1:6" ht="24">
      <c r="A744" s="366">
        <v>7</v>
      </c>
      <c r="B744" s="366" t="s">
        <v>3093</v>
      </c>
      <c r="C744" s="367" t="s">
        <v>3094</v>
      </c>
      <c r="D744" s="379"/>
      <c r="E744" s="394"/>
      <c r="F744" s="394"/>
    </row>
    <row r="745" spans="1:6" ht="24">
      <c r="A745" s="366">
        <v>7</v>
      </c>
      <c r="B745" s="366" t="s">
        <v>3095</v>
      </c>
      <c r="C745" s="367" t="s">
        <v>3096</v>
      </c>
      <c r="D745" s="379"/>
      <c r="E745" s="394"/>
      <c r="F745" s="394"/>
    </row>
    <row r="746" spans="1:6" ht="24">
      <c r="A746" s="366">
        <v>7</v>
      </c>
      <c r="B746" s="366" t="s">
        <v>3097</v>
      </c>
      <c r="C746" s="367" t="s">
        <v>3098</v>
      </c>
      <c r="D746" s="379"/>
      <c r="E746" s="394"/>
      <c r="F746" s="394"/>
    </row>
    <row r="747" spans="1:6" ht="25.5">
      <c r="A747" s="377">
        <v>6</v>
      </c>
      <c r="B747" s="363" t="s">
        <v>929</v>
      </c>
      <c r="C747" s="363" t="s">
        <v>3099</v>
      </c>
      <c r="D747" s="378"/>
      <c r="E747" s="391"/>
      <c r="F747" s="391"/>
    </row>
    <row r="748" spans="1:6" ht="24">
      <c r="A748" s="366">
        <v>7</v>
      </c>
      <c r="B748" s="366" t="s">
        <v>3100</v>
      </c>
      <c r="C748" s="367" t="s">
        <v>3101</v>
      </c>
      <c r="D748" s="379"/>
      <c r="E748" s="394"/>
      <c r="F748" s="394"/>
    </row>
    <row r="749" spans="1:6" ht="24">
      <c r="A749" s="371">
        <v>7</v>
      </c>
      <c r="B749" s="371" t="s">
        <v>3102</v>
      </c>
      <c r="C749" s="372" t="s">
        <v>3103</v>
      </c>
      <c r="D749" s="384"/>
      <c r="E749" s="396"/>
      <c r="F749" s="396"/>
    </row>
    <row r="750" spans="1:6" ht="24">
      <c r="A750" s="366">
        <v>8</v>
      </c>
      <c r="B750" s="366" t="s">
        <v>3104</v>
      </c>
      <c r="C750" s="367" t="s">
        <v>3105</v>
      </c>
      <c r="D750" s="379"/>
      <c r="E750" s="394"/>
      <c r="F750" s="394"/>
    </row>
    <row r="751" spans="1:6" ht="24">
      <c r="A751" s="366">
        <v>8</v>
      </c>
      <c r="B751" s="366" t="s">
        <v>3106</v>
      </c>
      <c r="C751" s="367" t="s">
        <v>3107</v>
      </c>
      <c r="D751" s="379"/>
      <c r="E751" s="394"/>
      <c r="F751" s="394"/>
    </row>
    <row r="752" spans="1:6">
      <c r="A752" s="366">
        <v>8</v>
      </c>
      <c r="B752" s="366" t="s">
        <v>3108</v>
      </c>
      <c r="C752" s="367" t="s">
        <v>3109</v>
      </c>
      <c r="D752" s="379"/>
      <c r="E752" s="394"/>
      <c r="F752" s="394"/>
    </row>
    <row r="753" spans="1:6" ht="24">
      <c r="A753" s="371">
        <v>7</v>
      </c>
      <c r="B753" s="371" t="s">
        <v>3110</v>
      </c>
      <c r="C753" s="372" t="s">
        <v>2965</v>
      </c>
      <c r="D753" s="384"/>
      <c r="E753" s="396"/>
      <c r="F753" s="396"/>
    </row>
    <row r="754" spans="1:6" ht="24">
      <c r="A754" s="366">
        <v>8</v>
      </c>
      <c r="B754" s="366" t="s">
        <v>3111</v>
      </c>
      <c r="C754" s="367" t="s">
        <v>3112</v>
      </c>
      <c r="D754" s="379"/>
      <c r="E754" s="394"/>
      <c r="F754" s="394"/>
    </row>
    <row r="755" spans="1:6" ht="24">
      <c r="A755" s="366">
        <v>8</v>
      </c>
      <c r="B755" s="366" t="s">
        <v>3113</v>
      </c>
      <c r="C755" s="367" t="s">
        <v>3114</v>
      </c>
      <c r="D755" s="379"/>
      <c r="E755" s="394"/>
      <c r="F755" s="394"/>
    </row>
    <row r="756" spans="1:6" ht="24">
      <c r="A756" s="366">
        <v>8</v>
      </c>
      <c r="B756" s="366" t="s">
        <v>3115</v>
      </c>
      <c r="C756" s="367" t="s">
        <v>3116</v>
      </c>
      <c r="D756" s="379"/>
      <c r="E756" s="394"/>
      <c r="F756" s="394"/>
    </row>
    <row r="757" spans="1:6" ht="24">
      <c r="A757" s="366">
        <v>7</v>
      </c>
      <c r="B757" s="366" t="s">
        <v>3117</v>
      </c>
      <c r="C757" s="367" t="s">
        <v>3118</v>
      </c>
      <c r="D757" s="379"/>
      <c r="E757" s="394"/>
      <c r="F757" s="394"/>
    </row>
    <row r="758" spans="1:6" ht="24">
      <c r="A758" s="366">
        <v>7</v>
      </c>
      <c r="B758" s="366" t="s">
        <v>3119</v>
      </c>
      <c r="C758" s="367" t="s">
        <v>3120</v>
      </c>
      <c r="D758" s="379"/>
      <c r="E758" s="394"/>
      <c r="F758" s="394"/>
    </row>
    <row r="759" spans="1:6" ht="24">
      <c r="A759" s="366">
        <v>7</v>
      </c>
      <c r="B759" s="366" t="s">
        <v>3121</v>
      </c>
      <c r="C759" s="367" t="s">
        <v>3122</v>
      </c>
      <c r="D759" s="379"/>
      <c r="E759" s="394"/>
      <c r="F759" s="394"/>
    </row>
    <row r="760" spans="1:6" ht="24">
      <c r="A760" s="366">
        <v>7</v>
      </c>
      <c r="B760" s="366" t="s">
        <v>3123</v>
      </c>
      <c r="C760" s="367" t="s">
        <v>3124</v>
      </c>
      <c r="D760" s="379"/>
      <c r="E760" s="394"/>
      <c r="F760" s="394"/>
    </row>
    <row r="761" spans="1:6" ht="25.5">
      <c r="A761" s="377">
        <v>6</v>
      </c>
      <c r="B761" s="363" t="s">
        <v>931</v>
      </c>
      <c r="C761" s="363" t="s">
        <v>1626</v>
      </c>
      <c r="D761" s="378"/>
      <c r="E761" s="391"/>
      <c r="F761" s="391"/>
    </row>
    <row r="762" spans="1:6">
      <c r="A762" s="366">
        <v>7</v>
      </c>
      <c r="B762" s="366" t="s">
        <v>3125</v>
      </c>
      <c r="C762" s="367" t="s">
        <v>930</v>
      </c>
      <c r="D762" s="379"/>
      <c r="E762" s="394"/>
      <c r="F762" s="394"/>
    </row>
    <row r="763" spans="1:6">
      <c r="A763" s="377">
        <v>4</v>
      </c>
      <c r="B763" s="363" t="s">
        <v>932</v>
      </c>
      <c r="C763" s="363" t="s">
        <v>3126</v>
      </c>
      <c r="D763" s="378"/>
      <c r="E763" s="391"/>
      <c r="F763" s="391"/>
    </row>
    <row r="764" spans="1:6">
      <c r="A764" s="377">
        <v>5</v>
      </c>
      <c r="B764" s="363" t="s">
        <v>933</v>
      </c>
      <c r="C764" s="363" t="s">
        <v>1628</v>
      </c>
      <c r="D764" s="378"/>
      <c r="E764" s="391"/>
      <c r="F764" s="391"/>
    </row>
    <row r="765" spans="1:6" ht="25.5">
      <c r="A765" s="377">
        <v>6</v>
      </c>
      <c r="B765" s="363" t="s">
        <v>934</v>
      </c>
      <c r="C765" s="363" t="s">
        <v>1629</v>
      </c>
      <c r="D765" s="378"/>
      <c r="E765" s="391"/>
      <c r="F765" s="391"/>
    </row>
    <row r="766" spans="1:6" ht="24">
      <c r="A766" s="366">
        <v>7</v>
      </c>
      <c r="B766" s="366" t="s">
        <v>3127</v>
      </c>
      <c r="C766" s="367" t="s">
        <v>3128</v>
      </c>
      <c r="D766" s="379"/>
      <c r="E766" s="394">
        <v>62816.71</v>
      </c>
      <c r="F766" s="394">
        <v>44706.18</v>
      </c>
    </row>
    <row r="767" spans="1:6" ht="24">
      <c r="A767" s="366">
        <v>7</v>
      </c>
      <c r="B767" s="366" t="s">
        <v>3129</v>
      </c>
      <c r="C767" s="367" t="s">
        <v>3130</v>
      </c>
      <c r="D767" s="379"/>
      <c r="E767" s="394">
        <v>33264.199999999997</v>
      </c>
      <c r="F767" s="394">
        <v>8597.1299999999992</v>
      </c>
    </row>
    <row r="768" spans="1:6" ht="24">
      <c r="A768" s="366">
        <v>7</v>
      </c>
      <c r="B768" s="366" t="s">
        <v>3131</v>
      </c>
      <c r="C768" s="367" t="s">
        <v>3132</v>
      </c>
      <c r="D768" s="379"/>
      <c r="E768" s="394">
        <v>5542.33</v>
      </c>
      <c r="F768" s="394">
        <v>7033.5</v>
      </c>
    </row>
    <row r="769" spans="1:6" ht="24">
      <c r="A769" s="366">
        <v>7</v>
      </c>
      <c r="B769" s="366" t="s">
        <v>3133</v>
      </c>
      <c r="C769" s="367" t="s">
        <v>3134</v>
      </c>
      <c r="D769" s="379"/>
      <c r="E769" s="394">
        <v>5454.1</v>
      </c>
      <c r="F769" s="394"/>
    </row>
    <row r="770" spans="1:6" ht="24">
      <c r="A770" s="366">
        <v>7</v>
      </c>
      <c r="B770" s="366" t="s">
        <v>3135</v>
      </c>
      <c r="C770" s="367" t="s">
        <v>3136</v>
      </c>
      <c r="D770" s="379"/>
      <c r="E770" s="394"/>
      <c r="F770" s="394"/>
    </row>
    <row r="771" spans="1:6" ht="24">
      <c r="A771" s="366">
        <v>7</v>
      </c>
      <c r="B771" s="366" t="s">
        <v>3137</v>
      </c>
      <c r="C771" s="367" t="s">
        <v>3138</v>
      </c>
      <c r="D771" s="379"/>
      <c r="E771" s="394"/>
      <c r="F771" s="394"/>
    </row>
    <row r="772" spans="1:6" ht="24">
      <c r="A772" s="366">
        <v>7</v>
      </c>
      <c r="B772" s="366" t="s">
        <v>3139</v>
      </c>
      <c r="C772" s="367" t="s">
        <v>3140</v>
      </c>
      <c r="D772" s="379"/>
      <c r="E772" s="394">
        <v>3170.19</v>
      </c>
      <c r="F772" s="394">
        <v>6525.3</v>
      </c>
    </row>
    <row r="773" spans="1:6" ht="24">
      <c r="A773" s="366">
        <v>7</v>
      </c>
      <c r="B773" s="366" t="s">
        <v>3141</v>
      </c>
      <c r="C773" s="367" t="s">
        <v>3142</v>
      </c>
      <c r="D773" s="379"/>
      <c r="E773" s="394">
        <v>28869.360000000001</v>
      </c>
      <c r="F773" s="394">
        <v>19125.810000000001</v>
      </c>
    </row>
    <row r="774" spans="1:6" ht="25.5">
      <c r="A774" s="377">
        <v>6</v>
      </c>
      <c r="B774" s="363" t="s">
        <v>935</v>
      </c>
      <c r="C774" s="363" t="s">
        <v>1630</v>
      </c>
      <c r="D774" s="378"/>
      <c r="E774" s="391"/>
      <c r="F774" s="391"/>
    </row>
    <row r="775" spans="1:6" ht="24">
      <c r="A775" s="366">
        <v>7</v>
      </c>
      <c r="B775" s="366" t="s">
        <v>3143</v>
      </c>
      <c r="C775" s="367" t="s">
        <v>3144</v>
      </c>
      <c r="D775" s="379"/>
      <c r="E775" s="394">
        <v>28055.599999999999</v>
      </c>
      <c r="F775" s="394">
        <v>44839.82</v>
      </c>
    </row>
    <row r="776" spans="1:6" ht="24">
      <c r="A776" s="366">
        <v>7</v>
      </c>
      <c r="B776" s="366" t="s">
        <v>3145</v>
      </c>
      <c r="C776" s="367" t="s">
        <v>3146</v>
      </c>
      <c r="D776" s="379"/>
      <c r="E776" s="394">
        <v>5257.51</v>
      </c>
      <c r="F776" s="394">
        <v>8597.1299999999992</v>
      </c>
    </row>
    <row r="777" spans="1:6" ht="24">
      <c r="A777" s="366">
        <v>7</v>
      </c>
      <c r="B777" s="366" t="s">
        <v>3147</v>
      </c>
      <c r="C777" s="367" t="s">
        <v>3148</v>
      </c>
      <c r="D777" s="379"/>
      <c r="E777" s="394">
        <v>7566.65</v>
      </c>
      <c r="F777" s="394">
        <v>7033.5</v>
      </c>
    </row>
    <row r="778" spans="1:6" ht="24">
      <c r="A778" s="366">
        <v>7</v>
      </c>
      <c r="B778" s="366" t="s">
        <v>3149</v>
      </c>
      <c r="C778" s="367" t="s">
        <v>3150</v>
      </c>
      <c r="D778" s="379"/>
      <c r="E778" s="394"/>
      <c r="F778" s="394">
        <v>2000.67</v>
      </c>
    </row>
    <row r="779" spans="1:6" ht="24">
      <c r="A779" s="366">
        <v>7</v>
      </c>
      <c r="B779" s="366" t="s">
        <v>3151</v>
      </c>
      <c r="C779" s="367" t="s">
        <v>3152</v>
      </c>
      <c r="D779" s="379"/>
      <c r="E779" s="394"/>
      <c r="F779" s="394"/>
    </row>
    <row r="780" spans="1:6" ht="24">
      <c r="A780" s="366">
        <v>7</v>
      </c>
      <c r="B780" s="366" t="s">
        <v>3153</v>
      </c>
      <c r="C780" s="367" t="s">
        <v>3154</v>
      </c>
      <c r="D780" s="379"/>
      <c r="E780" s="394"/>
      <c r="F780" s="394"/>
    </row>
    <row r="781" spans="1:6" ht="24">
      <c r="A781" s="366">
        <v>7</v>
      </c>
      <c r="B781" s="366" t="s">
        <v>3155</v>
      </c>
      <c r="C781" s="367" t="s">
        <v>3156</v>
      </c>
      <c r="D781" s="379"/>
      <c r="E781" s="394"/>
      <c r="F781" s="394"/>
    </row>
    <row r="782" spans="1:6" ht="24">
      <c r="A782" s="366">
        <v>7</v>
      </c>
      <c r="B782" s="366" t="s">
        <v>3157</v>
      </c>
      <c r="C782" s="367" t="s">
        <v>3158</v>
      </c>
      <c r="D782" s="379"/>
      <c r="E782" s="394">
        <v>13205.83</v>
      </c>
      <c r="F782" s="394">
        <v>18128.560000000001</v>
      </c>
    </row>
    <row r="783" spans="1:6">
      <c r="A783" s="377">
        <v>6</v>
      </c>
      <c r="B783" s="363" t="s">
        <v>937</v>
      </c>
      <c r="C783" s="363" t="s">
        <v>1631</v>
      </c>
      <c r="D783" s="378"/>
      <c r="E783" s="391"/>
      <c r="F783" s="391"/>
    </row>
    <row r="784" spans="1:6">
      <c r="A784" s="366">
        <v>7</v>
      </c>
      <c r="B784" s="366" t="s">
        <v>3159</v>
      </c>
      <c r="C784" s="367" t="s">
        <v>936</v>
      </c>
      <c r="D784" s="379"/>
      <c r="E784" s="394"/>
      <c r="F784" s="394"/>
    </row>
    <row r="785" spans="1:6">
      <c r="A785" s="377">
        <v>5</v>
      </c>
      <c r="B785" s="363" t="s">
        <v>938</v>
      </c>
      <c r="C785" s="363" t="s">
        <v>1632</v>
      </c>
      <c r="D785" s="378"/>
      <c r="E785" s="391"/>
      <c r="F785" s="391"/>
    </row>
    <row r="786" spans="1:6" ht="25.5">
      <c r="A786" s="377">
        <v>6</v>
      </c>
      <c r="B786" s="363" t="s">
        <v>939</v>
      </c>
      <c r="C786" s="363" t="s">
        <v>1633</v>
      </c>
      <c r="D786" s="378"/>
      <c r="E786" s="391"/>
      <c r="F786" s="391"/>
    </row>
    <row r="787" spans="1:6" ht="24">
      <c r="A787" s="371">
        <v>7</v>
      </c>
      <c r="B787" s="371" t="s">
        <v>3160</v>
      </c>
      <c r="C787" s="372" t="s">
        <v>3161</v>
      </c>
      <c r="D787" s="385"/>
      <c r="E787" s="397"/>
      <c r="F787" s="397"/>
    </row>
    <row r="788" spans="1:6" ht="24">
      <c r="A788" s="366">
        <v>8</v>
      </c>
      <c r="B788" s="366" t="s">
        <v>3162</v>
      </c>
      <c r="C788" s="367" t="s">
        <v>3163</v>
      </c>
      <c r="D788" s="379"/>
      <c r="E788" s="394">
        <v>7133143.1600000001</v>
      </c>
      <c r="F788" s="394">
        <v>26683395.289999999</v>
      </c>
    </row>
    <row r="789" spans="1:6" ht="24">
      <c r="A789" s="371">
        <v>8</v>
      </c>
      <c r="B789" s="371" t="s">
        <v>3164</v>
      </c>
      <c r="C789" s="372" t="s">
        <v>3165</v>
      </c>
      <c r="D789" s="385"/>
      <c r="E789" s="397"/>
      <c r="F789" s="397"/>
    </row>
    <row r="790" spans="1:6" ht="24">
      <c r="A790" s="366">
        <v>9</v>
      </c>
      <c r="B790" s="366" t="s">
        <v>3166</v>
      </c>
      <c r="C790" s="367" t="s">
        <v>3167</v>
      </c>
      <c r="D790" s="379"/>
      <c r="E790" s="394">
        <v>127699.71</v>
      </c>
      <c r="F790" s="394">
        <v>409310.92</v>
      </c>
    </row>
    <row r="791" spans="1:6">
      <c r="A791" s="366">
        <v>9</v>
      </c>
      <c r="B791" s="366" t="s">
        <v>3168</v>
      </c>
      <c r="C791" s="367" t="s">
        <v>3169</v>
      </c>
      <c r="D791" s="379"/>
      <c r="E791" s="394">
        <v>452146.99</v>
      </c>
      <c r="F791" s="394">
        <v>1749887.98</v>
      </c>
    </row>
    <row r="792" spans="1:6">
      <c r="A792" s="366">
        <v>9</v>
      </c>
      <c r="B792" s="366" t="s">
        <v>3170</v>
      </c>
      <c r="C792" s="367" t="s">
        <v>3171</v>
      </c>
      <c r="D792" s="379"/>
      <c r="E792" s="394">
        <v>647466.47</v>
      </c>
      <c r="F792" s="394">
        <v>2211861.4500000002</v>
      </c>
    </row>
    <row r="793" spans="1:6" ht="24">
      <c r="A793" s="371">
        <v>8</v>
      </c>
      <c r="B793" s="371" t="s">
        <v>3172</v>
      </c>
      <c r="C793" s="372" t="s">
        <v>3173</v>
      </c>
      <c r="D793" s="385"/>
      <c r="E793" s="397"/>
      <c r="F793" s="397"/>
    </row>
    <row r="794" spans="1:6">
      <c r="A794" s="366">
        <v>9</v>
      </c>
      <c r="B794" s="366" t="s">
        <v>3174</v>
      </c>
      <c r="C794" s="367" t="s">
        <v>3175</v>
      </c>
      <c r="D794" s="379"/>
      <c r="E794" s="394">
        <v>97116.72</v>
      </c>
      <c r="F794" s="394"/>
    </row>
    <row r="795" spans="1:6" ht="24">
      <c r="A795" s="366">
        <v>9</v>
      </c>
      <c r="B795" s="366" t="s">
        <v>3176</v>
      </c>
      <c r="C795" s="367" t="s">
        <v>3177</v>
      </c>
      <c r="D795" s="379"/>
      <c r="E795" s="394">
        <v>550433.84</v>
      </c>
      <c r="F795" s="394"/>
    </row>
    <row r="796" spans="1:6" ht="24">
      <c r="A796" s="366">
        <v>9</v>
      </c>
      <c r="B796" s="366" t="s">
        <v>3178</v>
      </c>
      <c r="C796" s="367" t="s">
        <v>3179</v>
      </c>
      <c r="D796" s="379"/>
      <c r="E796" s="394">
        <v>124110.18</v>
      </c>
      <c r="F796" s="394">
        <v>845375.05</v>
      </c>
    </row>
    <row r="797" spans="1:6" ht="24">
      <c r="A797" s="366">
        <v>8</v>
      </c>
      <c r="B797" s="366" t="s">
        <v>3180</v>
      </c>
      <c r="C797" s="367" t="s">
        <v>3181</v>
      </c>
      <c r="D797" s="379"/>
      <c r="E797" s="394"/>
      <c r="F797" s="394"/>
    </row>
    <row r="798" spans="1:6" ht="24">
      <c r="A798" s="366">
        <v>8</v>
      </c>
      <c r="B798" s="366" t="s">
        <v>3182</v>
      </c>
      <c r="C798" s="367" t="s">
        <v>3183</v>
      </c>
      <c r="D798" s="379"/>
      <c r="E798" s="394"/>
      <c r="F798" s="394"/>
    </row>
    <row r="799" spans="1:6" ht="24">
      <c r="A799" s="366">
        <v>8</v>
      </c>
      <c r="B799" s="366" t="s">
        <v>3184</v>
      </c>
      <c r="C799" s="367" t="s">
        <v>3185</v>
      </c>
      <c r="D799" s="379"/>
      <c r="E799" s="394">
        <v>2680.22</v>
      </c>
      <c r="F799" s="394">
        <v>7587.46</v>
      </c>
    </row>
    <row r="800" spans="1:6" ht="24">
      <c r="A800" s="366">
        <v>8</v>
      </c>
      <c r="B800" s="366" t="s">
        <v>3186</v>
      </c>
      <c r="C800" s="367" t="s">
        <v>3187</v>
      </c>
      <c r="D800" s="379"/>
      <c r="E800" s="394">
        <v>2671700.54</v>
      </c>
      <c r="F800" s="394">
        <v>9458226.0899999999</v>
      </c>
    </row>
    <row r="801" spans="1:6" ht="24">
      <c r="A801" s="371">
        <v>7</v>
      </c>
      <c r="B801" s="371" t="s">
        <v>3188</v>
      </c>
      <c r="C801" s="372" t="s">
        <v>3189</v>
      </c>
      <c r="D801" s="385"/>
      <c r="E801" s="397"/>
      <c r="F801" s="397"/>
    </row>
    <row r="802" spans="1:6" ht="24">
      <c r="A802" s="366">
        <v>8</v>
      </c>
      <c r="B802" s="366" t="s">
        <v>3190</v>
      </c>
      <c r="C802" s="367" t="s">
        <v>3191</v>
      </c>
      <c r="D802" s="379"/>
      <c r="E802" s="394">
        <v>22204582.870000001</v>
      </c>
      <c r="F802" s="394"/>
    </row>
    <row r="803" spans="1:6" ht="24">
      <c r="A803" s="371">
        <v>8</v>
      </c>
      <c r="B803" s="371" t="s">
        <v>3192</v>
      </c>
      <c r="C803" s="372" t="s">
        <v>3193</v>
      </c>
      <c r="D803" s="385"/>
      <c r="E803" s="397"/>
      <c r="F803" s="397"/>
    </row>
    <row r="804" spans="1:6" ht="24">
      <c r="A804" s="366">
        <v>9</v>
      </c>
      <c r="B804" s="366" t="s">
        <v>3194</v>
      </c>
      <c r="C804" s="367" t="s">
        <v>3195</v>
      </c>
      <c r="D804" s="379"/>
      <c r="E804" s="394">
        <v>289620.5</v>
      </c>
      <c r="F804" s="394"/>
    </row>
    <row r="805" spans="1:6" ht="24">
      <c r="A805" s="366">
        <v>9</v>
      </c>
      <c r="B805" s="366" t="s">
        <v>3196</v>
      </c>
      <c r="C805" s="367" t="s">
        <v>3197</v>
      </c>
      <c r="D805" s="379"/>
      <c r="E805" s="394">
        <v>1550758.56</v>
      </c>
      <c r="F805" s="394"/>
    </row>
    <row r="806" spans="1:6">
      <c r="A806" s="366">
        <v>9</v>
      </c>
      <c r="B806" s="366" t="s">
        <v>3198</v>
      </c>
      <c r="C806" s="367" t="s">
        <v>3199</v>
      </c>
      <c r="D806" s="379"/>
      <c r="E806" s="394">
        <v>1857908.93</v>
      </c>
      <c r="F806" s="394"/>
    </row>
    <row r="807" spans="1:6" ht="24">
      <c r="A807" s="371">
        <v>8</v>
      </c>
      <c r="B807" s="371" t="s">
        <v>3200</v>
      </c>
      <c r="C807" s="372" t="s">
        <v>3201</v>
      </c>
      <c r="D807" s="385"/>
      <c r="E807" s="397"/>
      <c r="F807" s="397"/>
    </row>
    <row r="808" spans="1:6" ht="24">
      <c r="A808" s="366">
        <v>9</v>
      </c>
      <c r="B808" s="366" t="s">
        <v>3202</v>
      </c>
      <c r="C808" s="367" t="s">
        <v>3203</v>
      </c>
      <c r="D808" s="379"/>
      <c r="E808" s="394">
        <v>52325.120000000003</v>
      </c>
      <c r="F808" s="394"/>
    </row>
    <row r="809" spans="1:6" ht="24">
      <c r="A809" s="366">
        <v>9</v>
      </c>
      <c r="B809" s="366" t="s">
        <v>3204</v>
      </c>
      <c r="C809" s="367" t="s">
        <v>3205</v>
      </c>
      <c r="D809" s="379"/>
      <c r="E809" s="394">
        <v>998518.46</v>
      </c>
      <c r="F809" s="394"/>
    </row>
    <row r="810" spans="1:6" ht="24">
      <c r="A810" s="366">
        <v>9</v>
      </c>
      <c r="B810" s="366" t="s">
        <v>3206</v>
      </c>
      <c r="C810" s="367" t="s">
        <v>3207</v>
      </c>
      <c r="D810" s="379"/>
      <c r="E810" s="394">
        <v>148053.41</v>
      </c>
      <c r="F810" s="394"/>
    </row>
    <row r="811" spans="1:6" ht="24">
      <c r="A811" s="366">
        <v>8</v>
      </c>
      <c r="B811" s="366" t="s">
        <v>3208</v>
      </c>
      <c r="C811" s="367" t="s">
        <v>3209</v>
      </c>
      <c r="D811" s="379"/>
      <c r="E811" s="394"/>
      <c r="F811" s="394"/>
    </row>
    <row r="812" spans="1:6" ht="24">
      <c r="A812" s="366">
        <v>8</v>
      </c>
      <c r="B812" s="366" t="s">
        <v>3210</v>
      </c>
      <c r="C812" s="367" t="s">
        <v>3211</v>
      </c>
      <c r="D812" s="379"/>
      <c r="E812" s="394"/>
      <c r="F812" s="394"/>
    </row>
    <row r="813" spans="1:6" ht="24">
      <c r="A813" s="366">
        <v>8</v>
      </c>
      <c r="B813" s="366" t="s">
        <v>3212</v>
      </c>
      <c r="C813" s="367" t="s">
        <v>3213</v>
      </c>
      <c r="D813" s="379"/>
      <c r="E813" s="394">
        <v>3588.92</v>
      </c>
      <c r="F813" s="394"/>
    </row>
    <row r="814" spans="1:6" ht="24">
      <c r="A814" s="366">
        <v>8</v>
      </c>
      <c r="B814" s="366" t="s">
        <v>3214</v>
      </c>
      <c r="C814" s="367" t="s">
        <v>3215</v>
      </c>
      <c r="D814" s="379"/>
      <c r="E814" s="394">
        <v>8035501.2199999997</v>
      </c>
      <c r="F814" s="394"/>
    </row>
    <row r="815" spans="1:6" ht="25.5">
      <c r="A815" s="377">
        <v>6</v>
      </c>
      <c r="B815" s="363" t="s">
        <v>940</v>
      </c>
      <c r="C815" s="363" t="s">
        <v>1634</v>
      </c>
      <c r="D815" s="378"/>
      <c r="E815" s="391"/>
      <c r="F815" s="391"/>
    </row>
    <row r="816" spans="1:6" ht="24">
      <c r="A816" s="371">
        <v>7</v>
      </c>
      <c r="B816" s="371" t="s">
        <v>3216</v>
      </c>
      <c r="C816" s="372" t="s">
        <v>3217</v>
      </c>
      <c r="D816" s="385"/>
      <c r="E816" s="397"/>
      <c r="F816" s="397"/>
    </row>
    <row r="817" spans="1:6" ht="24">
      <c r="A817" s="366">
        <v>8</v>
      </c>
      <c r="B817" s="366" t="s">
        <v>3218</v>
      </c>
      <c r="C817" s="367" t="s">
        <v>3219</v>
      </c>
      <c r="D817" s="379"/>
      <c r="E817" s="394">
        <v>1288515.74</v>
      </c>
      <c r="F817" s="394">
        <v>3093289.55</v>
      </c>
    </row>
    <row r="818" spans="1:6" ht="24">
      <c r="A818" s="371">
        <v>8</v>
      </c>
      <c r="B818" s="371" t="s">
        <v>3220</v>
      </c>
      <c r="C818" s="372" t="s">
        <v>3221</v>
      </c>
      <c r="D818" s="385"/>
      <c r="E818" s="397"/>
      <c r="F818" s="397"/>
    </row>
    <row r="819" spans="1:6" ht="24">
      <c r="A819" s="366">
        <v>9</v>
      </c>
      <c r="B819" s="366" t="s">
        <v>3222</v>
      </c>
      <c r="C819" s="367" t="s">
        <v>3223</v>
      </c>
      <c r="D819" s="379"/>
      <c r="E819" s="394">
        <v>30226.58</v>
      </c>
      <c r="F819" s="394">
        <v>65475.839999999997</v>
      </c>
    </row>
    <row r="820" spans="1:6">
      <c r="A820" s="366">
        <v>9</v>
      </c>
      <c r="B820" s="366" t="s">
        <v>3224</v>
      </c>
      <c r="C820" s="367" t="s">
        <v>3225</v>
      </c>
      <c r="D820" s="379"/>
      <c r="E820" s="394">
        <v>97043.67</v>
      </c>
      <c r="F820" s="394">
        <v>302167.14</v>
      </c>
    </row>
    <row r="821" spans="1:6">
      <c r="A821" s="366">
        <v>9</v>
      </c>
      <c r="B821" s="366" t="s">
        <v>3226</v>
      </c>
      <c r="C821" s="367" t="s">
        <v>3227</v>
      </c>
      <c r="D821" s="379"/>
      <c r="E821" s="394">
        <v>75088.37</v>
      </c>
      <c r="F821" s="394">
        <v>200630.58</v>
      </c>
    </row>
    <row r="822" spans="1:6" ht="24">
      <c r="A822" s="371">
        <v>8</v>
      </c>
      <c r="B822" s="371" t="s">
        <v>3228</v>
      </c>
      <c r="C822" s="372" t="s">
        <v>3229</v>
      </c>
      <c r="D822" s="385"/>
      <c r="E822" s="397"/>
      <c r="F822" s="397"/>
    </row>
    <row r="823" spans="1:6">
      <c r="A823" s="366">
        <v>9</v>
      </c>
      <c r="B823" s="366" t="s">
        <v>3230</v>
      </c>
      <c r="C823" s="367" t="s">
        <v>3231</v>
      </c>
      <c r="D823" s="379"/>
      <c r="E823" s="394">
        <v>3418.34</v>
      </c>
      <c r="F823" s="394"/>
    </row>
    <row r="824" spans="1:6" ht="24">
      <c r="A824" s="366">
        <v>9</v>
      </c>
      <c r="B824" s="366" t="s">
        <v>3232</v>
      </c>
      <c r="C824" s="367" t="s">
        <v>3233</v>
      </c>
      <c r="D824" s="379"/>
      <c r="E824" s="394"/>
      <c r="F824" s="394"/>
    </row>
    <row r="825" spans="1:6" ht="24">
      <c r="A825" s="366">
        <v>9</v>
      </c>
      <c r="B825" s="366" t="s">
        <v>3234</v>
      </c>
      <c r="C825" s="367" t="s">
        <v>3235</v>
      </c>
      <c r="D825" s="379"/>
      <c r="E825" s="394">
        <v>19856.73</v>
      </c>
      <c r="F825" s="394">
        <v>98315.49</v>
      </c>
    </row>
    <row r="826" spans="1:6" ht="24">
      <c r="A826" s="366">
        <v>8</v>
      </c>
      <c r="B826" s="366" t="s">
        <v>3236</v>
      </c>
      <c r="C826" s="367" t="s">
        <v>3237</v>
      </c>
      <c r="D826" s="379"/>
      <c r="E826" s="394"/>
      <c r="F826" s="394"/>
    </row>
    <row r="827" spans="1:6" ht="24">
      <c r="A827" s="366">
        <v>8</v>
      </c>
      <c r="B827" s="366" t="s">
        <v>3238</v>
      </c>
      <c r="C827" s="367" t="s">
        <v>3239</v>
      </c>
      <c r="D827" s="379"/>
      <c r="E827" s="394"/>
      <c r="F827" s="394"/>
    </row>
    <row r="828" spans="1:6" ht="24">
      <c r="A828" s="366">
        <v>8</v>
      </c>
      <c r="B828" s="366" t="s">
        <v>3240</v>
      </c>
      <c r="C828" s="367" t="s">
        <v>3241</v>
      </c>
      <c r="D828" s="379"/>
      <c r="E828" s="394"/>
      <c r="F828" s="394"/>
    </row>
    <row r="829" spans="1:6" ht="24">
      <c r="A829" s="366">
        <v>8</v>
      </c>
      <c r="B829" s="366" t="s">
        <v>3242</v>
      </c>
      <c r="C829" s="367" t="s">
        <v>3243</v>
      </c>
      <c r="D829" s="379"/>
      <c r="E829" s="394">
        <v>477548.74</v>
      </c>
      <c r="F829" s="394">
        <v>1188993.05</v>
      </c>
    </row>
    <row r="830" spans="1:6" ht="24">
      <c r="A830" s="371">
        <v>7</v>
      </c>
      <c r="B830" s="371" t="s">
        <v>3244</v>
      </c>
      <c r="C830" s="372" t="s">
        <v>3245</v>
      </c>
      <c r="D830" s="385"/>
      <c r="E830" s="397"/>
      <c r="F830" s="397"/>
    </row>
    <row r="831" spans="1:6" ht="24">
      <c r="A831" s="366">
        <v>8</v>
      </c>
      <c r="B831" s="366" t="s">
        <v>3246</v>
      </c>
      <c r="C831" s="367" t="s">
        <v>3247</v>
      </c>
      <c r="D831" s="379"/>
      <c r="E831" s="394">
        <v>1563864.81</v>
      </c>
      <c r="F831" s="394"/>
    </row>
    <row r="832" spans="1:6" ht="24">
      <c r="A832" s="371">
        <v>8</v>
      </c>
      <c r="B832" s="371" t="s">
        <v>3248</v>
      </c>
      <c r="C832" s="372" t="s">
        <v>3249</v>
      </c>
      <c r="D832" s="385"/>
      <c r="E832" s="397"/>
      <c r="F832" s="397"/>
    </row>
    <row r="833" spans="1:6" ht="24">
      <c r="A833" s="366">
        <v>9</v>
      </c>
      <c r="B833" s="366" t="s">
        <v>3250</v>
      </c>
      <c r="C833" s="367" t="s">
        <v>3251</v>
      </c>
      <c r="D833" s="379"/>
      <c r="E833" s="394">
        <v>28774.27</v>
      </c>
      <c r="F833" s="394"/>
    </row>
    <row r="834" spans="1:6" ht="24">
      <c r="A834" s="366">
        <v>9</v>
      </c>
      <c r="B834" s="366" t="s">
        <v>3252</v>
      </c>
      <c r="C834" s="367" t="s">
        <v>3253</v>
      </c>
      <c r="D834" s="379"/>
      <c r="E834" s="394">
        <v>151479.31</v>
      </c>
      <c r="F834" s="394"/>
    </row>
    <row r="835" spans="1:6">
      <c r="A835" s="366">
        <v>9</v>
      </c>
      <c r="B835" s="366" t="s">
        <v>3254</v>
      </c>
      <c r="C835" s="367" t="s">
        <v>3255</v>
      </c>
      <c r="D835" s="379"/>
      <c r="E835" s="394">
        <v>252074.59</v>
      </c>
      <c r="F835" s="394"/>
    </row>
    <row r="836" spans="1:6" ht="24">
      <c r="A836" s="371">
        <v>8</v>
      </c>
      <c r="B836" s="371" t="s">
        <v>3256</v>
      </c>
      <c r="C836" s="372" t="s">
        <v>3257</v>
      </c>
      <c r="D836" s="385"/>
      <c r="E836" s="397"/>
      <c r="F836" s="397"/>
    </row>
    <row r="837" spans="1:6" ht="24">
      <c r="A837" s="366">
        <v>9</v>
      </c>
      <c r="B837" s="366" t="s">
        <v>3258</v>
      </c>
      <c r="C837" s="367" t="s">
        <v>3259</v>
      </c>
      <c r="D837" s="379"/>
      <c r="E837" s="394"/>
      <c r="F837" s="394"/>
    </row>
    <row r="838" spans="1:6" ht="24">
      <c r="A838" s="366">
        <v>9</v>
      </c>
      <c r="B838" s="366" t="s">
        <v>3260</v>
      </c>
      <c r="C838" s="367" t="s">
        <v>3261</v>
      </c>
      <c r="D838" s="379"/>
      <c r="E838" s="394"/>
      <c r="F838" s="394"/>
    </row>
    <row r="839" spans="1:6" ht="24">
      <c r="A839" s="366">
        <v>9</v>
      </c>
      <c r="B839" s="366" t="s">
        <v>3262</v>
      </c>
      <c r="C839" s="367" t="s">
        <v>3263</v>
      </c>
      <c r="D839" s="379"/>
      <c r="E839" s="394">
        <v>11230.48</v>
      </c>
      <c r="F839" s="394"/>
    </row>
    <row r="840" spans="1:6" ht="24">
      <c r="A840" s="366">
        <v>8</v>
      </c>
      <c r="B840" s="366" t="s">
        <v>3264</v>
      </c>
      <c r="C840" s="367" t="s">
        <v>3265</v>
      </c>
      <c r="D840" s="379"/>
      <c r="E840" s="394"/>
      <c r="F840" s="394"/>
    </row>
    <row r="841" spans="1:6" ht="24">
      <c r="A841" s="366">
        <v>8</v>
      </c>
      <c r="B841" s="366" t="s">
        <v>3266</v>
      </c>
      <c r="C841" s="367" t="s">
        <v>3267</v>
      </c>
      <c r="D841" s="379"/>
      <c r="E841" s="394"/>
      <c r="F841" s="394"/>
    </row>
    <row r="842" spans="1:6" ht="24">
      <c r="A842" s="366">
        <v>8</v>
      </c>
      <c r="B842" s="366" t="s">
        <v>3268</v>
      </c>
      <c r="C842" s="367" t="s">
        <v>3269</v>
      </c>
      <c r="D842" s="379"/>
      <c r="E842" s="394"/>
      <c r="F842" s="394"/>
    </row>
    <row r="843" spans="1:6" ht="24">
      <c r="A843" s="366">
        <v>8</v>
      </c>
      <c r="B843" s="366" t="s">
        <v>3270</v>
      </c>
      <c r="C843" s="367" t="s">
        <v>3271</v>
      </c>
      <c r="D843" s="379"/>
      <c r="E843" s="394">
        <v>624656.17000000004</v>
      </c>
      <c r="F843" s="394"/>
    </row>
    <row r="844" spans="1:6">
      <c r="A844" s="377">
        <v>6</v>
      </c>
      <c r="B844" s="363" t="s">
        <v>942</v>
      </c>
      <c r="C844" s="363" t="s">
        <v>1635</v>
      </c>
      <c r="D844" s="378"/>
      <c r="E844" s="391"/>
      <c r="F844" s="391"/>
    </row>
    <row r="845" spans="1:6">
      <c r="A845" s="366">
        <v>7</v>
      </c>
      <c r="B845" s="366" t="s">
        <v>3272</v>
      </c>
      <c r="C845" s="367" t="s">
        <v>941</v>
      </c>
      <c r="D845" s="379"/>
      <c r="E845" s="394"/>
      <c r="F845" s="394"/>
    </row>
    <row r="846" spans="1:6">
      <c r="A846" s="377">
        <v>4</v>
      </c>
      <c r="B846" s="363" t="s">
        <v>943</v>
      </c>
      <c r="C846" s="363" t="s">
        <v>3273</v>
      </c>
      <c r="D846" s="378"/>
      <c r="E846" s="391"/>
      <c r="F846" s="391"/>
    </row>
    <row r="847" spans="1:6">
      <c r="A847" s="377">
        <v>5</v>
      </c>
      <c r="B847" s="363" t="s">
        <v>944</v>
      </c>
      <c r="C847" s="363" t="s">
        <v>1637</v>
      </c>
      <c r="D847" s="378"/>
      <c r="E847" s="391"/>
      <c r="F847" s="391"/>
    </row>
    <row r="848" spans="1:6" ht="25.5">
      <c r="A848" s="377">
        <v>6</v>
      </c>
      <c r="B848" s="363" t="s">
        <v>945</v>
      </c>
      <c r="C848" s="363" t="s">
        <v>1638</v>
      </c>
      <c r="D848" s="378"/>
      <c r="E848" s="391"/>
      <c r="F848" s="391"/>
    </row>
    <row r="849" spans="1:6" ht="24">
      <c r="A849" s="366">
        <v>7</v>
      </c>
      <c r="B849" s="366" t="s">
        <v>3274</v>
      </c>
      <c r="C849" s="367" t="s">
        <v>3275</v>
      </c>
      <c r="D849" s="379"/>
      <c r="E849" s="394">
        <v>785394.77</v>
      </c>
      <c r="F849" s="394">
        <v>801816.1</v>
      </c>
    </row>
    <row r="850" spans="1:6" ht="24">
      <c r="A850" s="366">
        <v>7</v>
      </c>
      <c r="B850" s="366" t="s">
        <v>3276</v>
      </c>
      <c r="C850" s="367" t="s">
        <v>3277</v>
      </c>
      <c r="D850" s="379"/>
      <c r="E850" s="394">
        <v>439234.82</v>
      </c>
      <c r="F850" s="394">
        <v>468541</v>
      </c>
    </row>
    <row r="851" spans="1:6" ht="24">
      <c r="A851" s="366">
        <v>7</v>
      </c>
      <c r="B851" s="366" t="s">
        <v>3278</v>
      </c>
      <c r="C851" s="367" t="s">
        <v>3279</v>
      </c>
      <c r="D851" s="379"/>
      <c r="E851" s="394">
        <v>81203.789999999994</v>
      </c>
      <c r="F851" s="394">
        <v>91938.97</v>
      </c>
    </row>
    <row r="852" spans="1:6" ht="24">
      <c r="A852" s="366">
        <v>7</v>
      </c>
      <c r="B852" s="366" t="s">
        <v>3280</v>
      </c>
      <c r="C852" s="367" t="s">
        <v>3281</v>
      </c>
      <c r="D852" s="379"/>
      <c r="E852" s="394">
        <v>591.30999999999995</v>
      </c>
      <c r="F852" s="394"/>
    </row>
    <row r="853" spans="1:6" ht="24">
      <c r="A853" s="366">
        <v>7</v>
      </c>
      <c r="B853" s="366" t="s">
        <v>3282</v>
      </c>
      <c r="C853" s="367" t="s">
        <v>3283</v>
      </c>
      <c r="D853" s="379"/>
      <c r="E853" s="394"/>
      <c r="F853" s="394"/>
    </row>
    <row r="854" spans="1:6" ht="24">
      <c r="A854" s="366">
        <v>7</v>
      </c>
      <c r="B854" s="366" t="s">
        <v>3284</v>
      </c>
      <c r="C854" s="367" t="s">
        <v>3285</v>
      </c>
      <c r="D854" s="379"/>
      <c r="E854" s="394"/>
      <c r="F854" s="394"/>
    </row>
    <row r="855" spans="1:6" ht="24">
      <c r="A855" s="366">
        <v>7</v>
      </c>
      <c r="B855" s="366" t="s">
        <v>3286</v>
      </c>
      <c r="C855" s="367" t="s">
        <v>3287</v>
      </c>
      <c r="D855" s="379"/>
      <c r="E855" s="394">
        <v>12925.69</v>
      </c>
      <c r="F855" s="394"/>
    </row>
    <row r="856" spans="1:6" ht="24">
      <c r="A856" s="366">
        <v>7</v>
      </c>
      <c r="B856" s="366" t="s">
        <v>3288</v>
      </c>
      <c r="C856" s="367" t="s">
        <v>3289</v>
      </c>
      <c r="D856" s="379"/>
      <c r="E856" s="394">
        <v>402742.06</v>
      </c>
      <c r="F856" s="394">
        <v>385423.59</v>
      </c>
    </row>
    <row r="857" spans="1:6" ht="25.5">
      <c r="A857" s="377">
        <v>6</v>
      </c>
      <c r="B857" s="363" t="s">
        <v>946</v>
      </c>
      <c r="C857" s="363" t="s">
        <v>1639</v>
      </c>
      <c r="D857" s="378"/>
      <c r="E857" s="391"/>
      <c r="F857" s="391"/>
    </row>
    <row r="858" spans="1:6" ht="24">
      <c r="A858" s="366">
        <v>7</v>
      </c>
      <c r="B858" s="366" t="s">
        <v>3290</v>
      </c>
      <c r="C858" s="367" t="s">
        <v>3291</v>
      </c>
      <c r="D858" s="379"/>
      <c r="E858" s="394">
        <v>121680.19</v>
      </c>
      <c r="F858" s="394">
        <v>67006.429999999993</v>
      </c>
    </row>
    <row r="859" spans="1:6" ht="24">
      <c r="A859" s="366">
        <v>7</v>
      </c>
      <c r="B859" s="366" t="s">
        <v>3292</v>
      </c>
      <c r="C859" s="367" t="s">
        <v>3293</v>
      </c>
      <c r="D859" s="379"/>
      <c r="E859" s="394">
        <v>17007.599999999999</v>
      </c>
      <c r="F859" s="394"/>
    </row>
    <row r="860" spans="1:6" ht="24">
      <c r="A860" s="366">
        <v>7</v>
      </c>
      <c r="B860" s="366" t="s">
        <v>3294</v>
      </c>
      <c r="C860" s="367" t="s">
        <v>3295</v>
      </c>
      <c r="D860" s="379"/>
      <c r="E860" s="394">
        <v>12461.14</v>
      </c>
      <c r="F860" s="394">
        <v>14724.23</v>
      </c>
    </row>
    <row r="861" spans="1:6" ht="24">
      <c r="A861" s="366">
        <v>7</v>
      </c>
      <c r="B861" s="366" t="s">
        <v>3296</v>
      </c>
      <c r="C861" s="367" t="s">
        <v>3297</v>
      </c>
      <c r="D861" s="379"/>
      <c r="E861" s="394"/>
      <c r="F861" s="394"/>
    </row>
    <row r="862" spans="1:6" ht="24">
      <c r="A862" s="366">
        <v>7</v>
      </c>
      <c r="B862" s="366" t="s">
        <v>3298</v>
      </c>
      <c r="C862" s="367" t="s">
        <v>3299</v>
      </c>
      <c r="D862" s="379"/>
      <c r="E862" s="394"/>
      <c r="F862" s="394"/>
    </row>
    <row r="863" spans="1:6" ht="24">
      <c r="A863" s="366">
        <v>7</v>
      </c>
      <c r="B863" s="366" t="s">
        <v>3300</v>
      </c>
      <c r="C863" s="367" t="s">
        <v>3301</v>
      </c>
      <c r="D863" s="379"/>
      <c r="E863" s="394"/>
      <c r="F863" s="394"/>
    </row>
    <row r="864" spans="1:6" ht="24">
      <c r="A864" s="366">
        <v>7</v>
      </c>
      <c r="B864" s="366" t="s">
        <v>3302</v>
      </c>
      <c r="C864" s="367" t="s">
        <v>3303</v>
      </c>
      <c r="D864" s="379"/>
      <c r="E864" s="394">
        <v>756.47</v>
      </c>
      <c r="F864" s="394"/>
    </row>
    <row r="865" spans="1:6" ht="24">
      <c r="A865" s="366">
        <v>7</v>
      </c>
      <c r="B865" s="366" t="s">
        <v>3304</v>
      </c>
      <c r="C865" s="367" t="s">
        <v>3305</v>
      </c>
      <c r="D865" s="379"/>
      <c r="E865" s="394">
        <v>55217.19</v>
      </c>
      <c r="F865" s="394">
        <v>73676.25</v>
      </c>
    </row>
    <row r="866" spans="1:6" ht="25.5">
      <c r="A866" s="377">
        <v>6</v>
      </c>
      <c r="B866" s="363" t="s">
        <v>948</v>
      </c>
      <c r="C866" s="363" t="s">
        <v>1640</v>
      </c>
      <c r="D866" s="378"/>
      <c r="E866" s="391"/>
      <c r="F866" s="391"/>
    </row>
    <row r="867" spans="1:6">
      <c r="A867" s="366">
        <v>7</v>
      </c>
      <c r="B867" s="366" t="s">
        <v>3306</v>
      </c>
      <c r="C867" s="367" t="s">
        <v>947</v>
      </c>
      <c r="D867" s="379"/>
      <c r="E867" s="394"/>
      <c r="F867" s="394"/>
    </row>
    <row r="868" spans="1:6">
      <c r="A868" s="377">
        <v>5</v>
      </c>
      <c r="B868" s="363" t="s">
        <v>949</v>
      </c>
      <c r="C868" s="363" t="s">
        <v>1641</v>
      </c>
      <c r="D868" s="378"/>
      <c r="E868" s="391"/>
      <c r="F868" s="391"/>
    </row>
    <row r="869" spans="1:6" ht="25.5">
      <c r="A869" s="377">
        <v>6</v>
      </c>
      <c r="B869" s="363" t="s">
        <v>950</v>
      </c>
      <c r="C869" s="363" t="s">
        <v>1642</v>
      </c>
      <c r="D869" s="378"/>
      <c r="E869" s="391"/>
      <c r="F869" s="391"/>
    </row>
    <row r="870" spans="1:6" ht="24">
      <c r="A870" s="366">
        <v>7</v>
      </c>
      <c r="B870" s="366" t="s">
        <v>3307</v>
      </c>
      <c r="C870" s="367" t="s">
        <v>3308</v>
      </c>
      <c r="D870" s="379"/>
      <c r="E870" s="394">
        <v>8548437.4900000002</v>
      </c>
      <c r="F870" s="394">
        <v>8546983.6099999994</v>
      </c>
    </row>
    <row r="871" spans="1:6" ht="24">
      <c r="A871" s="371">
        <v>7</v>
      </c>
      <c r="B871" s="371" t="s">
        <v>3309</v>
      </c>
      <c r="C871" s="372" t="s">
        <v>3310</v>
      </c>
      <c r="D871" s="385"/>
      <c r="E871" s="397"/>
      <c r="F871" s="397"/>
    </row>
    <row r="872" spans="1:6" ht="24">
      <c r="A872" s="366">
        <v>8</v>
      </c>
      <c r="B872" s="366" t="s">
        <v>3311</v>
      </c>
      <c r="C872" s="367" t="s">
        <v>3312</v>
      </c>
      <c r="D872" s="379"/>
      <c r="E872" s="394">
        <v>32168.53</v>
      </c>
      <c r="F872" s="394">
        <v>20286.32</v>
      </c>
    </row>
    <row r="873" spans="1:6" ht="24">
      <c r="A873" s="366">
        <v>8</v>
      </c>
      <c r="B873" s="366" t="s">
        <v>3313</v>
      </c>
      <c r="C873" s="367" t="s">
        <v>3314</v>
      </c>
      <c r="D873" s="379"/>
      <c r="E873" s="394">
        <v>5964.8</v>
      </c>
      <c r="F873" s="394">
        <v>6782.77</v>
      </c>
    </row>
    <row r="874" spans="1:6">
      <c r="A874" s="366">
        <v>8</v>
      </c>
      <c r="B874" s="366" t="s">
        <v>3315</v>
      </c>
      <c r="C874" s="367" t="s">
        <v>3316</v>
      </c>
      <c r="D874" s="379"/>
      <c r="E874" s="394">
        <v>335663.88</v>
      </c>
      <c r="F874" s="394">
        <v>673908.55</v>
      </c>
    </row>
    <row r="875" spans="1:6" ht="24">
      <c r="A875" s="371">
        <v>7</v>
      </c>
      <c r="B875" s="371" t="s">
        <v>3317</v>
      </c>
      <c r="C875" s="372" t="s">
        <v>3318</v>
      </c>
      <c r="D875" s="385"/>
      <c r="E875" s="397"/>
      <c r="F875" s="397"/>
    </row>
    <row r="876" spans="1:6" ht="24">
      <c r="A876" s="366">
        <v>8</v>
      </c>
      <c r="B876" s="366" t="s">
        <v>3319</v>
      </c>
      <c r="C876" s="367" t="s">
        <v>3320</v>
      </c>
      <c r="D876" s="379"/>
      <c r="E876" s="394">
        <v>259885.92</v>
      </c>
      <c r="F876" s="394"/>
    </row>
    <row r="877" spans="1:6" ht="24">
      <c r="A877" s="366">
        <v>8</v>
      </c>
      <c r="B877" s="366" t="s">
        <v>3321</v>
      </c>
      <c r="C877" s="367" t="s">
        <v>3322</v>
      </c>
      <c r="D877" s="379"/>
      <c r="E877" s="394">
        <v>644959.80000000005</v>
      </c>
      <c r="F877" s="394"/>
    </row>
    <row r="878" spans="1:6" ht="24">
      <c r="A878" s="366">
        <v>8</v>
      </c>
      <c r="B878" s="366" t="s">
        <v>3323</v>
      </c>
      <c r="C878" s="367" t="s">
        <v>3324</v>
      </c>
      <c r="D878" s="379"/>
      <c r="E878" s="394">
        <v>235368.37</v>
      </c>
      <c r="F878" s="394">
        <v>1049930.8500000001</v>
      </c>
    </row>
    <row r="879" spans="1:6" ht="24">
      <c r="A879" s="366">
        <v>7</v>
      </c>
      <c r="B879" s="366" t="s">
        <v>3325</v>
      </c>
      <c r="C879" s="367" t="s">
        <v>3326</v>
      </c>
      <c r="D879" s="379"/>
      <c r="E879" s="394"/>
      <c r="F879" s="394"/>
    </row>
    <row r="880" spans="1:6" ht="24">
      <c r="A880" s="366">
        <v>7</v>
      </c>
      <c r="B880" s="366" t="s">
        <v>3327</v>
      </c>
      <c r="C880" s="367" t="s">
        <v>3328</v>
      </c>
      <c r="D880" s="379"/>
      <c r="E880" s="394"/>
      <c r="F880" s="394"/>
    </row>
    <row r="881" spans="1:6" ht="24">
      <c r="A881" s="366">
        <v>7</v>
      </c>
      <c r="B881" s="366" t="s">
        <v>3329</v>
      </c>
      <c r="C881" s="367" t="s">
        <v>3330</v>
      </c>
      <c r="D881" s="379"/>
      <c r="E881" s="394">
        <v>17767.34</v>
      </c>
      <c r="F881" s="394">
        <v>20861.259999999998</v>
      </c>
    </row>
    <row r="882" spans="1:6" ht="24">
      <c r="A882" s="366">
        <v>7</v>
      </c>
      <c r="B882" s="366" t="s">
        <v>3331</v>
      </c>
      <c r="C882" s="367" t="s">
        <v>3332</v>
      </c>
      <c r="D882" s="379"/>
      <c r="E882" s="394">
        <v>2966815.39</v>
      </c>
      <c r="F882" s="394">
        <v>3044712.82</v>
      </c>
    </row>
    <row r="883" spans="1:6" ht="25.5">
      <c r="A883" s="377">
        <v>6</v>
      </c>
      <c r="B883" s="363" t="s">
        <v>951</v>
      </c>
      <c r="C883" s="363" t="s">
        <v>1643</v>
      </c>
      <c r="D883" s="378"/>
      <c r="E883" s="391"/>
      <c r="F883" s="391"/>
    </row>
    <row r="884" spans="1:6" ht="24">
      <c r="A884" s="366">
        <v>7</v>
      </c>
      <c r="B884" s="366" t="s">
        <v>3333</v>
      </c>
      <c r="C884" s="367" t="s">
        <v>3334</v>
      </c>
      <c r="D884" s="379"/>
      <c r="E884" s="394">
        <v>2164978.04</v>
      </c>
      <c r="F884" s="394">
        <v>1526249.73</v>
      </c>
    </row>
    <row r="885" spans="1:6" ht="24">
      <c r="A885" s="371">
        <v>7</v>
      </c>
      <c r="B885" s="371" t="s">
        <v>3335</v>
      </c>
      <c r="C885" s="372" t="s">
        <v>3336</v>
      </c>
      <c r="D885" s="385"/>
      <c r="E885" s="397"/>
      <c r="F885" s="397"/>
    </row>
    <row r="886" spans="1:6" ht="24">
      <c r="A886" s="366">
        <v>8</v>
      </c>
      <c r="B886" s="366" t="s">
        <v>3337</v>
      </c>
      <c r="C886" s="367" t="s">
        <v>3338</v>
      </c>
      <c r="D886" s="379"/>
      <c r="E886" s="394">
        <v>7309.18</v>
      </c>
      <c r="F886" s="394">
        <v>3504.29</v>
      </c>
    </row>
    <row r="887" spans="1:6" ht="24">
      <c r="A887" s="366">
        <v>8</v>
      </c>
      <c r="B887" s="366" t="s">
        <v>3339</v>
      </c>
      <c r="C887" s="367" t="s">
        <v>3340</v>
      </c>
      <c r="D887" s="379"/>
      <c r="E887" s="394">
        <v>1664.78</v>
      </c>
      <c r="F887" s="394">
        <v>768.62</v>
      </c>
    </row>
    <row r="888" spans="1:6">
      <c r="A888" s="366">
        <v>8</v>
      </c>
      <c r="B888" s="366" t="s">
        <v>3341</v>
      </c>
      <c r="C888" s="367" t="s">
        <v>3342</v>
      </c>
      <c r="D888" s="379"/>
      <c r="E888" s="394"/>
      <c r="F888" s="394">
        <v>1248.46</v>
      </c>
    </row>
    <row r="889" spans="1:6" ht="24">
      <c r="A889" s="371">
        <v>7</v>
      </c>
      <c r="B889" s="371" t="s">
        <v>3343</v>
      </c>
      <c r="C889" s="372" t="s">
        <v>3344</v>
      </c>
      <c r="D889" s="385"/>
      <c r="E889" s="397"/>
      <c r="F889" s="397"/>
    </row>
    <row r="890" spans="1:6" ht="24">
      <c r="A890" s="366">
        <v>8</v>
      </c>
      <c r="B890" s="366" t="s">
        <v>3345</v>
      </c>
      <c r="C890" s="367" t="s">
        <v>3346</v>
      </c>
      <c r="D890" s="379"/>
      <c r="E890" s="394">
        <v>43208.92</v>
      </c>
      <c r="F890" s="394"/>
    </row>
    <row r="891" spans="1:6" ht="24">
      <c r="A891" s="366">
        <v>8</v>
      </c>
      <c r="B891" s="366" t="s">
        <v>3347</v>
      </c>
      <c r="C891" s="367" t="s">
        <v>3348</v>
      </c>
      <c r="D891" s="379"/>
      <c r="E891" s="394">
        <v>742.36</v>
      </c>
      <c r="F891" s="394"/>
    </row>
    <row r="892" spans="1:6" ht="24">
      <c r="A892" s="366">
        <v>8</v>
      </c>
      <c r="B892" s="366" t="s">
        <v>3349</v>
      </c>
      <c r="C892" s="367" t="s">
        <v>3350</v>
      </c>
      <c r="D892" s="379"/>
      <c r="E892" s="394">
        <v>65611.97</v>
      </c>
      <c r="F892" s="394">
        <v>186450.64</v>
      </c>
    </row>
    <row r="893" spans="1:6" ht="24">
      <c r="A893" s="366">
        <v>7</v>
      </c>
      <c r="B893" s="366" t="s">
        <v>3351</v>
      </c>
      <c r="C893" s="367" t="s">
        <v>3352</v>
      </c>
      <c r="D893" s="379"/>
      <c r="E893" s="394"/>
      <c r="F893" s="394"/>
    </row>
    <row r="894" spans="1:6" ht="24">
      <c r="A894" s="366">
        <v>7</v>
      </c>
      <c r="B894" s="366" t="s">
        <v>3353</v>
      </c>
      <c r="C894" s="367" t="s">
        <v>3354</v>
      </c>
      <c r="D894" s="379"/>
      <c r="E894" s="394"/>
      <c r="F894" s="394"/>
    </row>
    <row r="895" spans="1:6" ht="24">
      <c r="A895" s="366">
        <v>7</v>
      </c>
      <c r="B895" s="366" t="s">
        <v>3355</v>
      </c>
      <c r="C895" s="367" t="s">
        <v>3356</v>
      </c>
      <c r="D895" s="379"/>
      <c r="E895" s="394">
        <v>143.63999999999999</v>
      </c>
      <c r="F895" s="394">
        <v>279.69</v>
      </c>
    </row>
    <row r="896" spans="1:6" ht="24">
      <c r="A896" s="366">
        <v>7</v>
      </c>
      <c r="B896" s="366" t="s">
        <v>3357</v>
      </c>
      <c r="C896" s="367" t="s">
        <v>3358</v>
      </c>
      <c r="D896" s="379"/>
      <c r="E896" s="394">
        <v>696452.45</v>
      </c>
      <c r="F896" s="394">
        <v>532337.36</v>
      </c>
    </row>
    <row r="897" spans="1:6" ht="25.5">
      <c r="A897" s="377">
        <v>6</v>
      </c>
      <c r="B897" s="363" t="s">
        <v>953</v>
      </c>
      <c r="C897" s="363" t="s">
        <v>1644</v>
      </c>
      <c r="D897" s="378"/>
      <c r="E897" s="391"/>
      <c r="F897" s="391"/>
    </row>
    <row r="898" spans="1:6">
      <c r="A898" s="366">
        <v>7</v>
      </c>
      <c r="B898" s="366" t="s">
        <v>3359</v>
      </c>
      <c r="C898" s="367" t="s">
        <v>952</v>
      </c>
      <c r="D898" s="379"/>
      <c r="E898" s="394"/>
      <c r="F898" s="394"/>
    </row>
    <row r="899" spans="1:6">
      <c r="A899" s="377" t="s">
        <v>1966</v>
      </c>
      <c r="B899" s="363" t="s">
        <v>954</v>
      </c>
      <c r="C899" s="363" t="s">
        <v>3360</v>
      </c>
      <c r="D899" s="378"/>
      <c r="E899" s="391"/>
      <c r="F899" s="391"/>
    </row>
    <row r="900" spans="1:6">
      <c r="A900" s="377" t="s">
        <v>1968</v>
      </c>
      <c r="B900" s="363" t="s">
        <v>955</v>
      </c>
      <c r="C900" s="363" t="s">
        <v>3361</v>
      </c>
      <c r="D900" s="378"/>
      <c r="E900" s="391"/>
      <c r="F900" s="391"/>
    </row>
    <row r="901" spans="1:6">
      <c r="A901" s="366">
        <v>5</v>
      </c>
      <c r="B901" s="366" t="s">
        <v>3362</v>
      </c>
      <c r="C901" s="367" t="s">
        <v>956</v>
      </c>
      <c r="D901" s="379"/>
      <c r="E901" s="394">
        <v>7922</v>
      </c>
      <c r="F901" s="394">
        <v>5742.76</v>
      </c>
    </row>
    <row r="902" spans="1:6">
      <c r="A902" s="366">
        <v>5</v>
      </c>
      <c r="B902" s="366" t="s">
        <v>3363</v>
      </c>
      <c r="C902" s="367" t="s">
        <v>957</v>
      </c>
      <c r="D902" s="379"/>
      <c r="E902" s="394">
        <v>139756.88</v>
      </c>
      <c r="F902" s="394">
        <v>127201.96</v>
      </c>
    </row>
    <row r="903" spans="1:6">
      <c r="A903" s="366">
        <v>5</v>
      </c>
      <c r="B903" s="366" t="s">
        <v>3364</v>
      </c>
      <c r="C903" s="367" t="s">
        <v>958</v>
      </c>
      <c r="D903" s="379"/>
      <c r="E903" s="394">
        <v>33.049999999999997</v>
      </c>
      <c r="F903" s="394">
        <v>30.57</v>
      </c>
    </row>
    <row r="904" spans="1:6">
      <c r="A904" s="366">
        <v>5</v>
      </c>
      <c r="B904" s="366" t="s">
        <v>3365</v>
      </c>
      <c r="C904" s="367" t="s">
        <v>959</v>
      </c>
      <c r="D904" s="379"/>
      <c r="E904" s="394">
        <v>1249450</v>
      </c>
      <c r="F904" s="394">
        <v>1099835</v>
      </c>
    </row>
    <row r="905" spans="1:6">
      <c r="A905" s="366">
        <v>5</v>
      </c>
      <c r="B905" s="366" t="s">
        <v>3366</v>
      </c>
      <c r="C905" s="367" t="s">
        <v>960</v>
      </c>
      <c r="D905" s="379"/>
      <c r="E905" s="394">
        <v>13106.08</v>
      </c>
      <c r="F905" s="394">
        <v>13335.95</v>
      </c>
    </row>
    <row r="906" spans="1:6">
      <c r="A906" s="366">
        <v>5</v>
      </c>
      <c r="B906" s="366" t="s">
        <v>3367</v>
      </c>
      <c r="C906" s="367" t="s">
        <v>961</v>
      </c>
      <c r="D906" s="379"/>
      <c r="E906" s="394">
        <v>6556.8</v>
      </c>
      <c r="F906" s="394">
        <v>6285.2</v>
      </c>
    </row>
    <row r="907" spans="1:6">
      <c r="A907" s="366">
        <v>5</v>
      </c>
      <c r="B907" s="366" t="s">
        <v>3368</v>
      </c>
      <c r="C907" s="367" t="s">
        <v>962</v>
      </c>
      <c r="D907" s="379"/>
      <c r="E907" s="394">
        <v>34640.199999999997</v>
      </c>
      <c r="F907" s="394">
        <v>40154.39</v>
      </c>
    </row>
    <row r="908" spans="1:6">
      <c r="A908" s="377" t="s">
        <v>1968</v>
      </c>
      <c r="B908" s="363" t="s">
        <v>964</v>
      </c>
      <c r="C908" s="363" t="s">
        <v>3369</v>
      </c>
      <c r="D908" s="378"/>
      <c r="E908" s="391"/>
      <c r="F908" s="391"/>
    </row>
    <row r="909" spans="1:6">
      <c r="A909" s="366" t="s">
        <v>1970</v>
      </c>
      <c r="B909" s="366" t="s">
        <v>3370</v>
      </c>
      <c r="C909" s="367" t="s">
        <v>963</v>
      </c>
      <c r="D909" s="379"/>
      <c r="E909" s="394"/>
      <c r="F909" s="394"/>
    </row>
    <row r="910" spans="1:6">
      <c r="A910" s="377" t="s">
        <v>1968</v>
      </c>
      <c r="B910" s="363" t="s">
        <v>966</v>
      </c>
      <c r="C910" s="363" t="s">
        <v>1648</v>
      </c>
      <c r="D910" s="378"/>
      <c r="E910" s="391"/>
      <c r="F910" s="391"/>
    </row>
    <row r="911" spans="1:6" ht="25.5">
      <c r="A911" s="377" t="s">
        <v>1970</v>
      </c>
      <c r="B911" s="363" t="s">
        <v>967</v>
      </c>
      <c r="C911" s="363" t="s">
        <v>3371</v>
      </c>
      <c r="D911" s="378"/>
      <c r="E911" s="391"/>
      <c r="F911" s="391"/>
    </row>
    <row r="912" spans="1:6">
      <c r="A912" s="386">
        <v>6</v>
      </c>
      <c r="B912" s="371" t="s">
        <v>3372</v>
      </c>
      <c r="C912" s="372" t="s">
        <v>968</v>
      </c>
      <c r="D912" s="384"/>
      <c r="E912" s="396"/>
      <c r="F912" s="396"/>
    </row>
    <row r="913" spans="1:7">
      <c r="A913" s="366">
        <v>7</v>
      </c>
      <c r="B913" s="366" t="s">
        <v>3373</v>
      </c>
      <c r="C913" s="367" t="s">
        <v>3374</v>
      </c>
      <c r="D913" s="379"/>
      <c r="E913" s="394">
        <v>449317.53</v>
      </c>
      <c r="F913" s="394">
        <v>526786.07999999996</v>
      </c>
    </row>
    <row r="914" spans="1:7">
      <c r="A914" s="366">
        <v>7</v>
      </c>
      <c r="B914" s="366" t="s">
        <v>3375</v>
      </c>
      <c r="C914" s="367" t="s">
        <v>3376</v>
      </c>
      <c r="D914" s="379"/>
      <c r="E914" s="394">
        <v>166689.34</v>
      </c>
      <c r="F914" s="394">
        <v>143762.07</v>
      </c>
    </row>
    <row r="915" spans="1:7">
      <c r="A915" s="366">
        <v>7</v>
      </c>
      <c r="B915" s="366" t="s">
        <v>3377</v>
      </c>
      <c r="C915" s="367" t="s">
        <v>969</v>
      </c>
      <c r="D915" s="379"/>
      <c r="E915" s="394">
        <v>89863.51</v>
      </c>
      <c r="F915" s="394">
        <v>105488.94</v>
      </c>
    </row>
    <row r="916" spans="1:7">
      <c r="A916" s="386">
        <v>6</v>
      </c>
      <c r="B916" s="371" t="s">
        <v>3378</v>
      </c>
      <c r="C916" s="372" t="s">
        <v>970</v>
      </c>
      <c r="D916" s="384"/>
      <c r="E916" s="396"/>
      <c r="F916" s="396"/>
    </row>
    <row r="917" spans="1:7">
      <c r="A917" s="366">
        <v>7</v>
      </c>
      <c r="B917" s="366" t="s">
        <v>3379</v>
      </c>
      <c r="C917" s="367" t="s">
        <v>3380</v>
      </c>
      <c r="D917" s="379"/>
      <c r="E917" s="394">
        <v>31055.38</v>
      </c>
      <c r="F917" s="394">
        <v>58742.15</v>
      </c>
    </row>
    <row r="918" spans="1:7">
      <c r="A918" s="366">
        <v>7</v>
      </c>
      <c r="B918" s="366" t="s">
        <v>3381</v>
      </c>
      <c r="C918" s="367" t="s">
        <v>3382</v>
      </c>
      <c r="D918" s="379"/>
      <c r="E918" s="394">
        <v>2068.3000000000002</v>
      </c>
      <c r="F918" s="394">
        <v>1660.8</v>
      </c>
    </row>
    <row r="919" spans="1:7">
      <c r="A919" s="366">
        <v>7</v>
      </c>
      <c r="B919" s="366" t="s">
        <v>3383</v>
      </c>
      <c r="C919" s="367" t="s">
        <v>971</v>
      </c>
      <c r="D919" s="379"/>
      <c r="E919" s="394">
        <v>617.15</v>
      </c>
      <c r="F919" s="394">
        <v>882.08</v>
      </c>
    </row>
    <row r="920" spans="1:7">
      <c r="A920" s="386">
        <v>6</v>
      </c>
      <c r="B920" s="371" t="s">
        <v>3384</v>
      </c>
      <c r="C920" s="372" t="s">
        <v>972</v>
      </c>
      <c r="D920" s="384"/>
      <c r="E920" s="396"/>
      <c r="F920" s="396"/>
    </row>
    <row r="921" spans="1:7">
      <c r="A921" s="366">
        <v>7</v>
      </c>
      <c r="B921" s="366" t="s">
        <v>3385</v>
      </c>
      <c r="C921" s="367" t="s">
        <v>3386</v>
      </c>
      <c r="D921" s="379"/>
      <c r="E921" s="394">
        <v>19827.61</v>
      </c>
      <c r="F921" s="394">
        <v>18200</v>
      </c>
    </row>
    <row r="922" spans="1:7">
      <c r="A922" s="366">
        <v>7</v>
      </c>
      <c r="B922" s="366" t="s">
        <v>3387</v>
      </c>
      <c r="C922" s="367" t="s">
        <v>3388</v>
      </c>
      <c r="D922" s="379"/>
      <c r="E922" s="394">
        <v>3265.59</v>
      </c>
      <c r="F922" s="394">
        <v>2960.77</v>
      </c>
    </row>
    <row r="923" spans="1:7">
      <c r="A923" s="366">
        <v>7</v>
      </c>
      <c r="B923" s="366" t="s">
        <v>3389</v>
      </c>
      <c r="C923" s="367" t="s">
        <v>973</v>
      </c>
      <c r="D923" s="379"/>
      <c r="E923" s="394">
        <v>1950.19</v>
      </c>
      <c r="F923" s="394">
        <v>2082.4899999999998</v>
      </c>
    </row>
    <row r="924" spans="1:7">
      <c r="A924" s="377" t="s">
        <v>1970</v>
      </c>
      <c r="B924" s="363" t="s">
        <v>974</v>
      </c>
      <c r="C924" s="363" t="s">
        <v>3390</v>
      </c>
      <c r="D924" s="378"/>
      <c r="E924" s="391"/>
      <c r="F924" s="391"/>
    </row>
    <row r="925" spans="1:7">
      <c r="A925" s="366">
        <v>6</v>
      </c>
      <c r="B925" s="366" t="s">
        <v>3391</v>
      </c>
      <c r="C925" s="367" t="s">
        <v>975</v>
      </c>
      <c r="D925" s="379"/>
      <c r="E925" s="394">
        <v>86875.65</v>
      </c>
      <c r="F925" s="394">
        <v>89490.18</v>
      </c>
    </row>
    <row r="926" spans="1:7" s="265" customFormat="1">
      <c r="A926" s="366">
        <v>6</v>
      </c>
      <c r="B926" s="369" t="s">
        <v>3392</v>
      </c>
      <c r="C926" s="367" t="s">
        <v>976</v>
      </c>
      <c r="D926" s="379"/>
      <c r="E926" s="394">
        <v>1376.68</v>
      </c>
      <c r="F926" s="394">
        <v>1459.26</v>
      </c>
      <c r="G926"/>
    </row>
    <row r="927" spans="1:7" s="265" customFormat="1">
      <c r="A927" s="366">
        <v>6</v>
      </c>
      <c r="B927" s="369" t="s">
        <v>3393</v>
      </c>
      <c r="C927" s="367" t="s">
        <v>965</v>
      </c>
      <c r="D927" s="379"/>
      <c r="E927" s="394">
        <v>9156.43</v>
      </c>
      <c r="F927" s="394">
        <v>4167.8</v>
      </c>
      <c r="G927"/>
    </row>
    <row r="928" spans="1:7" ht="25.5">
      <c r="A928" s="377" t="s">
        <v>1970</v>
      </c>
      <c r="B928" s="363" t="s">
        <v>978</v>
      </c>
      <c r="C928" s="363" t="s">
        <v>1651</v>
      </c>
      <c r="D928" s="378" t="s">
        <v>1248</v>
      </c>
      <c r="E928" s="391"/>
      <c r="F928" s="391"/>
    </row>
    <row r="929" spans="1:6" ht="24">
      <c r="A929" s="366" t="s">
        <v>1972</v>
      </c>
      <c r="B929" s="366" t="s">
        <v>3394</v>
      </c>
      <c r="C929" s="367" t="s">
        <v>977</v>
      </c>
      <c r="D929" s="379" t="s">
        <v>1248</v>
      </c>
      <c r="E929" s="394"/>
      <c r="F929" s="394"/>
    </row>
    <row r="930" spans="1:6" ht="25.5">
      <c r="A930" s="377" t="s">
        <v>1970</v>
      </c>
      <c r="B930" s="363" t="s">
        <v>980</v>
      </c>
      <c r="C930" s="363" t="s">
        <v>1652</v>
      </c>
      <c r="D930" s="378"/>
      <c r="E930" s="391"/>
      <c r="F930" s="391"/>
    </row>
    <row r="931" spans="1:6">
      <c r="A931" s="366" t="s">
        <v>1972</v>
      </c>
      <c r="B931" s="366" t="s">
        <v>3395</v>
      </c>
      <c r="C931" s="367" t="s">
        <v>979</v>
      </c>
      <c r="D931" s="379"/>
      <c r="E931" s="394"/>
      <c r="F931" s="394"/>
    </row>
    <row r="932" spans="1:6">
      <c r="A932" s="377">
        <v>4</v>
      </c>
      <c r="B932" s="363" t="s">
        <v>981</v>
      </c>
      <c r="C932" s="363" t="s">
        <v>1655</v>
      </c>
      <c r="D932" s="378"/>
      <c r="E932" s="391"/>
      <c r="F932" s="391"/>
    </row>
    <row r="933" spans="1:6">
      <c r="A933" s="366">
        <v>5</v>
      </c>
      <c r="B933" s="366" t="s">
        <v>3396</v>
      </c>
      <c r="C933" s="367" t="s">
        <v>982</v>
      </c>
      <c r="D933" s="379"/>
      <c r="E933" s="394"/>
      <c r="F933" s="394"/>
    </row>
    <row r="934" spans="1:6">
      <c r="A934" s="366">
        <v>5</v>
      </c>
      <c r="B934" s="366" t="s">
        <v>3397</v>
      </c>
      <c r="C934" s="367" t="s">
        <v>983</v>
      </c>
      <c r="D934" s="379"/>
      <c r="E934" s="394"/>
      <c r="F934" s="394"/>
    </row>
    <row r="935" spans="1:6" ht="24">
      <c r="A935" s="366">
        <v>5</v>
      </c>
      <c r="B935" s="366" t="s">
        <v>3398</v>
      </c>
      <c r="C935" s="367" t="s">
        <v>3399</v>
      </c>
      <c r="D935" s="379"/>
      <c r="E935" s="394"/>
      <c r="F935" s="394"/>
    </row>
    <row r="936" spans="1:6" ht="24">
      <c r="A936" s="366">
        <v>5</v>
      </c>
      <c r="B936" s="366" t="s">
        <v>3400</v>
      </c>
      <c r="C936" s="367" t="s">
        <v>984</v>
      </c>
      <c r="D936" s="379"/>
      <c r="E936" s="394"/>
      <c r="F936" s="394"/>
    </row>
    <row r="937" spans="1:6">
      <c r="A937" s="366">
        <v>5</v>
      </c>
      <c r="B937" s="366" t="s">
        <v>3401</v>
      </c>
      <c r="C937" s="367" t="s">
        <v>985</v>
      </c>
      <c r="D937" s="379"/>
      <c r="E937" s="394">
        <v>225731.74</v>
      </c>
      <c r="F937" s="394">
        <v>550549.23</v>
      </c>
    </row>
    <row r="938" spans="1:6">
      <c r="A938" s="366">
        <v>5</v>
      </c>
      <c r="B938" s="366" t="s">
        <v>3402</v>
      </c>
      <c r="C938" s="367" t="s">
        <v>986</v>
      </c>
      <c r="D938" s="379"/>
      <c r="E938" s="394">
        <v>42268.47</v>
      </c>
      <c r="F938" s="394">
        <v>50389.48</v>
      </c>
    </row>
    <row r="939" spans="1:6">
      <c r="A939" s="366">
        <v>5</v>
      </c>
      <c r="B939" s="366" t="s">
        <v>3403</v>
      </c>
      <c r="C939" s="367" t="s">
        <v>987</v>
      </c>
      <c r="D939" s="379"/>
      <c r="E939" s="394"/>
      <c r="F939" s="394"/>
    </row>
    <row r="940" spans="1:6">
      <c r="A940" s="366">
        <v>5</v>
      </c>
      <c r="B940" s="366" t="s">
        <v>3404</v>
      </c>
      <c r="C940" s="367" t="s">
        <v>988</v>
      </c>
      <c r="D940" s="379"/>
      <c r="E940" s="394"/>
      <c r="F940" s="394"/>
    </row>
    <row r="941" spans="1:6">
      <c r="A941" s="377">
        <v>4</v>
      </c>
      <c r="B941" s="363" t="s">
        <v>989</v>
      </c>
      <c r="C941" s="363" t="s">
        <v>1656</v>
      </c>
      <c r="D941" s="378"/>
      <c r="E941" s="391"/>
      <c r="F941" s="391"/>
    </row>
    <row r="942" spans="1:6">
      <c r="A942" s="377">
        <v>5</v>
      </c>
      <c r="B942" s="363" t="s">
        <v>990</v>
      </c>
      <c r="C942" s="363" t="s">
        <v>1657</v>
      </c>
      <c r="D942" s="378"/>
      <c r="E942" s="391"/>
      <c r="F942" s="391"/>
    </row>
    <row r="943" spans="1:6" ht="25.5">
      <c r="A943" s="377">
        <v>6</v>
      </c>
      <c r="B943" s="363" t="s">
        <v>992</v>
      </c>
      <c r="C943" s="363" t="s">
        <v>1658</v>
      </c>
      <c r="D943" s="378"/>
      <c r="E943" s="391"/>
      <c r="F943" s="391"/>
    </row>
    <row r="944" spans="1:6">
      <c r="A944" s="366">
        <v>7</v>
      </c>
      <c r="B944" s="366" t="s">
        <v>3405</v>
      </c>
      <c r="C944" s="367" t="s">
        <v>991</v>
      </c>
      <c r="D944" s="379"/>
      <c r="E944" s="394">
        <v>65864.5</v>
      </c>
      <c r="F944" s="394">
        <v>65864.5</v>
      </c>
    </row>
    <row r="945" spans="1:6">
      <c r="A945" s="377">
        <v>6</v>
      </c>
      <c r="B945" s="363" t="s">
        <v>994</v>
      </c>
      <c r="C945" s="363" t="s">
        <v>1659</v>
      </c>
      <c r="D945" s="378"/>
      <c r="E945" s="391"/>
      <c r="F945" s="391"/>
    </row>
    <row r="946" spans="1:6">
      <c r="A946" s="366">
        <v>7</v>
      </c>
      <c r="B946" s="366" t="s">
        <v>3406</v>
      </c>
      <c r="C946" s="367" t="s">
        <v>993</v>
      </c>
      <c r="D946" s="379"/>
      <c r="E946" s="394">
        <v>16240459.77</v>
      </c>
      <c r="F946" s="394">
        <v>16165478.789999999</v>
      </c>
    </row>
    <row r="947" spans="1:6">
      <c r="A947" s="377">
        <v>5</v>
      </c>
      <c r="B947" s="363" t="s">
        <v>995</v>
      </c>
      <c r="C947" s="363" t="s">
        <v>1660</v>
      </c>
      <c r="D947" s="378"/>
      <c r="E947" s="391"/>
      <c r="F947" s="391"/>
    </row>
    <row r="948" spans="1:6">
      <c r="A948" s="366">
        <v>6</v>
      </c>
      <c r="B948" s="366" t="s">
        <v>3407</v>
      </c>
      <c r="C948" s="367" t="s">
        <v>996</v>
      </c>
      <c r="D948" s="379"/>
      <c r="E948" s="394">
        <v>402998.44</v>
      </c>
      <c r="F948" s="394">
        <v>744731.22</v>
      </c>
    </row>
    <row r="949" spans="1:6">
      <c r="A949" s="366">
        <v>6</v>
      </c>
      <c r="B949" s="366" t="s">
        <v>3408</v>
      </c>
      <c r="C949" s="367" t="s">
        <v>997</v>
      </c>
      <c r="D949" s="379"/>
      <c r="E949" s="394">
        <v>6993765.9000000004</v>
      </c>
      <c r="F949" s="394">
        <v>6842198.6399999997</v>
      </c>
    </row>
    <row r="950" spans="1:6">
      <c r="A950" s="366">
        <v>6</v>
      </c>
      <c r="B950" s="366" t="s">
        <v>3409</v>
      </c>
      <c r="C950" s="367" t="s">
        <v>998</v>
      </c>
      <c r="D950" s="379"/>
      <c r="E950" s="394">
        <v>434179.23</v>
      </c>
      <c r="F950" s="394">
        <v>616802.27</v>
      </c>
    </row>
    <row r="951" spans="1:6">
      <c r="A951" s="366">
        <v>6</v>
      </c>
      <c r="B951" s="366" t="s">
        <v>3410</v>
      </c>
      <c r="C951" s="367" t="s">
        <v>999</v>
      </c>
      <c r="D951" s="379"/>
      <c r="E951" s="394">
        <v>311303.28999999998</v>
      </c>
      <c r="F951" s="394">
        <v>300680.32000000001</v>
      </c>
    </row>
    <row r="952" spans="1:6">
      <c r="A952" s="366">
        <v>6</v>
      </c>
      <c r="B952" s="366" t="s">
        <v>3411</v>
      </c>
      <c r="C952" s="367" t="s">
        <v>1000</v>
      </c>
      <c r="D952" s="379"/>
      <c r="E952" s="394">
        <v>1510306.63</v>
      </c>
      <c r="F952" s="394">
        <v>1140219.29</v>
      </c>
    </row>
    <row r="953" spans="1:6">
      <c r="A953" s="377" t="s">
        <v>1966</v>
      </c>
      <c r="B953" s="363" t="s">
        <v>1001</v>
      </c>
      <c r="C953" s="363" t="s">
        <v>1661</v>
      </c>
      <c r="D953" s="378"/>
      <c r="E953" s="391"/>
      <c r="F953" s="391"/>
    </row>
    <row r="954" spans="1:6" ht="25.5">
      <c r="A954" s="377" t="s">
        <v>1968</v>
      </c>
      <c r="B954" s="363" t="s">
        <v>1002</v>
      </c>
      <c r="C954" s="363" t="s">
        <v>1662</v>
      </c>
      <c r="D954" s="378"/>
      <c r="E954" s="391"/>
      <c r="F954" s="391"/>
    </row>
    <row r="955" spans="1:6">
      <c r="A955" s="371">
        <v>5</v>
      </c>
      <c r="B955" s="371" t="s">
        <v>3412</v>
      </c>
      <c r="C955" s="372" t="s">
        <v>1003</v>
      </c>
      <c r="D955" s="387"/>
      <c r="E955" s="398"/>
      <c r="F955" s="398"/>
    </row>
    <row r="956" spans="1:6">
      <c r="A956" s="366">
        <v>6</v>
      </c>
      <c r="B956" s="366" t="s">
        <v>3413</v>
      </c>
      <c r="C956" s="367" t="s">
        <v>1004</v>
      </c>
      <c r="D956" s="379"/>
      <c r="E956" s="394"/>
      <c r="F956" s="394"/>
    </row>
    <row r="957" spans="1:6">
      <c r="A957" s="366">
        <v>6</v>
      </c>
      <c r="B957" s="366" t="s">
        <v>3414</v>
      </c>
      <c r="C957" s="367" t="s">
        <v>1005</v>
      </c>
      <c r="D957" s="379"/>
      <c r="E957" s="394"/>
      <c r="F957" s="394"/>
    </row>
    <row r="958" spans="1:6" ht="24">
      <c r="A958" s="366">
        <v>6</v>
      </c>
      <c r="B958" s="366" t="s">
        <v>3415</v>
      </c>
      <c r="C958" s="367" t="s">
        <v>1006</v>
      </c>
      <c r="D958" s="379"/>
      <c r="E958" s="394"/>
      <c r="F958" s="394"/>
    </row>
    <row r="959" spans="1:6">
      <c r="A959" s="366">
        <v>6</v>
      </c>
      <c r="B959" s="366" t="s">
        <v>3416</v>
      </c>
      <c r="C959" s="367" t="s">
        <v>1007</v>
      </c>
      <c r="D959" s="379"/>
      <c r="E959" s="394"/>
      <c r="F959" s="394"/>
    </row>
    <row r="960" spans="1:6">
      <c r="A960" s="371">
        <v>5</v>
      </c>
      <c r="B960" s="371" t="s">
        <v>3417</v>
      </c>
      <c r="C960" s="372" t="s">
        <v>1008</v>
      </c>
      <c r="D960" s="387"/>
      <c r="E960" s="398"/>
      <c r="F960" s="398"/>
    </row>
    <row r="961" spans="1:6">
      <c r="A961" s="366">
        <v>6</v>
      </c>
      <c r="B961" s="366" t="s">
        <v>3418</v>
      </c>
      <c r="C961" s="367" t="s">
        <v>1009</v>
      </c>
      <c r="D961" s="379"/>
      <c r="E961" s="394"/>
      <c r="F961" s="394"/>
    </row>
    <row r="962" spans="1:6">
      <c r="A962" s="366">
        <v>6</v>
      </c>
      <c r="B962" s="366" t="s">
        <v>3419</v>
      </c>
      <c r="C962" s="367" t="s">
        <v>1010</v>
      </c>
      <c r="D962" s="379"/>
      <c r="E962" s="394"/>
      <c r="F962" s="394"/>
    </row>
    <row r="963" spans="1:6">
      <c r="A963" s="366">
        <v>6</v>
      </c>
      <c r="B963" s="366" t="s">
        <v>3420</v>
      </c>
      <c r="C963" s="367" t="s">
        <v>1011</v>
      </c>
      <c r="D963" s="379"/>
      <c r="E963" s="394"/>
      <c r="F963" s="394"/>
    </row>
    <row r="964" spans="1:6">
      <c r="A964" s="366">
        <v>6</v>
      </c>
      <c r="B964" s="366" t="s">
        <v>3421</v>
      </c>
      <c r="C964" s="367" t="s">
        <v>1012</v>
      </c>
      <c r="D964" s="379"/>
      <c r="E964" s="394"/>
      <c r="F964" s="394"/>
    </row>
    <row r="965" spans="1:6">
      <c r="A965" s="366">
        <v>6</v>
      </c>
      <c r="B965" s="366" t="s">
        <v>3422</v>
      </c>
      <c r="C965" s="367" t="s">
        <v>1013</v>
      </c>
      <c r="D965" s="379"/>
      <c r="E965" s="394"/>
      <c r="F965" s="394"/>
    </row>
    <row r="966" spans="1:6">
      <c r="A966" s="366">
        <v>6</v>
      </c>
      <c r="B966" s="366" t="s">
        <v>3423</v>
      </c>
      <c r="C966" s="367" t="s">
        <v>1014</v>
      </c>
      <c r="D966" s="379"/>
      <c r="E966" s="394"/>
      <c r="F966" s="394"/>
    </row>
    <row r="967" spans="1:6">
      <c r="A967" s="366">
        <v>6</v>
      </c>
      <c r="B967" s="366" t="s">
        <v>3424</v>
      </c>
      <c r="C967" s="367" t="s">
        <v>1015</v>
      </c>
      <c r="D967" s="379"/>
      <c r="E967" s="394"/>
      <c r="F967" s="394"/>
    </row>
    <row r="968" spans="1:6">
      <c r="A968" s="366">
        <v>6</v>
      </c>
      <c r="B968" s="366" t="s">
        <v>3425</v>
      </c>
      <c r="C968" s="367" t="s">
        <v>3426</v>
      </c>
      <c r="D968" s="379"/>
      <c r="E968" s="394"/>
      <c r="F968" s="394"/>
    </row>
    <row r="969" spans="1:6">
      <c r="A969" s="366">
        <v>6</v>
      </c>
      <c r="B969" s="366" t="s">
        <v>3427</v>
      </c>
      <c r="C969" s="367" t="s">
        <v>1016</v>
      </c>
      <c r="D969" s="379"/>
      <c r="E969" s="394"/>
      <c r="F969" s="394"/>
    </row>
    <row r="970" spans="1:6">
      <c r="A970" s="366">
        <v>6</v>
      </c>
      <c r="B970" s="366" t="s">
        <v>3428</v>
      </c>
      <c r="C970" s="367" t="s">
        <v>1017</v>
      </c>
      <c r="D970" s="379"/>
      <c r="E970" s="394"/>
      <c r="F970" s="394"/>
    </row>
    <row r="971" spans="1:6">
      <c r="A971" s="377" t="s">
        <v>1968</v>
      </c>
      <c r="B971" s="363" t="s">
        <v>1018</v>
      </c>
      <c r="C971" s="363" t="s">
        <v>1663</v>
      </c>
      <c r="D971" s="378"/>
      <c r="E971" s="391"/>
      <c r="F971" s="391"/>
    </row>
    <row r="972" spans="1:6">
      <c r="A972" s="366">
        <v>5</v>
      </c>
      <c r="B972" s="366" t="s">
        <v>3429</v>
      </c>
      <c r="C972" s="367" t="s">
        <v>1019</v>
      </c>
      <c r="D972" s="379"/>
      <c r="E972" s="394"/>
      <c r="F972" s="394"/>
    </row>
    <row r="973" spans="1:6">
      <c r="A973" s="366">
        <v>5</v>
      </c>
      <c r="B973" s="366" t="s">
        <v>3430</v>
      </c>
      <c r="C973" s="367" t="s">
        <v>1020</v>
      </c>
      <c r="D973" s="379"/>
      <c r="E973" s="394"/>
      <c r="F973" s="394"/>
    </row>
    <row r="974" spans="1:6">
      <c r="A974" s="366">
        <v>5</v>
      </c>
      <c r="B974" s="366" t="s">
        <v>3431</v>
      </c>
      <c r="C974" s="367" t="s">
        <v>1021</v>
      </c>
      <c r="D974" s="379"/>
      <c r="E974" s="394"/>
      <c r="F974" s="394"/>
    </row>
    <row r="975" spans="1:6">
      <c r="A975" s="366">
        <v>5</v>
      </c>
      <c r="B975" s="366" t="s">
        <v>3432</v>
      </c>
      <c r="C975" s="367" t="s">
        <v>1022</v>
      </c>
      <c r="D975" s="379"/>
      <c r="E975" s="394"/>
      <c r="F975" s="394"/>
    </row>
    <row r="976" spans="1:6" ht="24">
      <c r="A976" s="366">
        <v>5</v>
      </c>
      <c r="B976" s="366" t="s">
        <v>3433</v>
      </c>
      <c r="C976" s="367" t="s">
        <v>1023</v>
      </c>
      <c r="D976" s="379"/>
      <c r="E976" s="394"/>
      <c r="F976" s="394"/>
    </row>
    <row r="977" spans="1:6">
      <c r="A977" s="366">
        <v>5</v>
      </c>
      <c r="B977" s="366" t="s">
        <v>3434</v>
      </c>
      <c r="C977" s="367" t="s">
        <v>1024</v>
      </c>
      <c r="D977" s="379"/>
      <c r="E977" s="394"/>
      <c r="F977" s="394"/>
    </row>
    <row r="978" spans="1:6">
      <c r="A978" s="366">
        <v>5</v>
      </c>
      <c r="B978" s="366" t="s">
        <v>3435</v>
      </c>
      <c r="C978" s="367" t="s">
        <v>1025</v>
      </c>
      <c r="D978" s="379"/>
      <c r="E978" s="394"/>
      <c r="F978" s="394"/>
    </row>
    <row r="979" spans="1:6">
      <c r="A979" s="366">
        <v>5</v>
      </c>
      <c r="B979" s="366" t="s">
        <v>3436</v>
      </c>
      <c r="C979" s="367" t="s">
        <v>1026</v>
      </c>
      <c r="D979" s="379"/>
      <c r="E979" s="394"/>
      <c r="F979" s="394"/>
    </row>
    <row r="980" spans="1:6" ht="24">
      <c r="A980" s="366">
        <v>5</v>
      </c>
      <c r="B980" s="366" t="s">
        <v>3437</v>
      </c>
      <c r="C980" s="367" t="s">
        <v>1027</v>
      </c>
      <c r="D980" s="379"/>
      <c r="E980" s="394"/>
      <c r="F980" s="394"/>
    </row>
    <row r="981" spans="1:6" ht="24">
      <c r="A981" s="366">
        <v>5</v>
      </c>
      <c r="B981" s="366" t="s">
        <v>3438</v>
      </c>
      <c r="C981" s="367" t="s">
        <v>1028</v>
      </c>
      <c r="D981" s="379"/>
      <c r="E981" s="394"/>
      <c r="F981" s="394"/>
    </row>
    <row r="982" spans="1:6">
      <c r="A982" s="366">
        <v>5</v>
      </c>
      <c r="B982" s="366" t="s">
        <v>3439</v>
      </c>
      <c r="C982" s="367" t="s">
        <v>1029</v>
      </c>
      <c r="D982" s="379"/>
      <c r="E982" s="394"/>
      <c r="F982" s="394"/>
    </row>
    <row r="983" spans="1:6" ht="24">
      <c r="A983" s="366">
        <v>5</v>
      </c>
      <c r="B983" s="366" t="s">
        <v>3440</v>
      </c>
      <c r="C983" s="367" t="s">
        <v>1030</v>
      </c>
      <c r="D983" s="379"/>
      <c r="E983" s="394"/>
      <c r="F983" s="394"/>
    </row>
    <row r="984" spans="1:6" ht="24">
      <c r="A984" s="366">
        <v>5</v>
      </c>
      <c r="B984" s="366" t="s">
        <v>3441</v>
      </c>
      <c r="C984" s="367" t="s">
        <v>1031</v>
      </c>
      <c r="D984" s="379"/>
      <c r="E984" s="394"/>
      <c r="F984" s="394"/>
    </row>
    <row r="985" spans="1:6" ht="24">
      <c r="A985" s="366">
        <v>5</v>
      </c>
      <c r="B985" s="366" t="s">
        <v>3442</v>
      </c>
      <c r="C985" s="367" t="s">
        <v>1032</v>
      </c>
      <c r="D985" s="379"/>
      <c r="E985" s="394"/>
      <c r="F985" s="394"/>
    </row>
    <row r="986" spans="1:6" ht="24">
      <c r="A986" s="366">
        <v>5</v>
      </c>
      <c r="B986" s="366" t="s">
        <v>3443</v>
      </c>
      <c r="C986" s="367" t="s">
        <v>3444</v>
      </c>
      <c r="D986" s="379"/>
      <c r="E986" s="394"/>
      <c r="F986" s="394"/>
    </row>
    <row r="987" spans="1:6" ht="24">
      <c r="A987" s="366">
        <v>5</v>
      </c>
      <c r="B987" s="366" t="s">
        <v>3445</v>
      </c>
      <c r="C987" s="367" t="s">
        <v>1033</v>
      </c>
      <c r="D987" s="379"/>
      <c r="E987" s="394"/>
      <c r="F987" s="394"/>
    </row>
    <row r="988" spans="1:6">
      <c r="A988" s="366">
        <v>5</v>
      </c>
      <c r="B988" s="366" t="s">
        <v>3446</v>
      </c>
      <c r="C988" s="367" t="s">
        <v>1034</v>
      </c>
      <c r="D988" s="379"/>
      <c r="E988" s="394"/>
      <c r="F988" s="394"/>
    </row>
    <row r="989" spans="1:6" ht="24">
      <c r="A989" s="366">
        <v>5</v>
      </c>
      <c r="B989" s="366" t="s">
        <v>3447</v>
      </c>
      <c r="C989" s="367" t="s">
        <v>1035</v>
      </c>
      <c r="D989" s="379"/>
      <c r="E989" s="394"/>
      <c r="F989" s="394"/>
    </row>
    <row r="990" spans="1:6" ht="24">
      <c r="A990" s="366">
        <v>5</v>
      </c>
      <c r="B990" s="366" t="s">
        <v>3448</v>
      </c>
      <c r="C990" s="367" t="s">
        <v>1036</v>
      </c>
      <c r="D990" s="379"/>
      <c r="E990" s="394"/>
      <c r="F990" s="394"/>
    </row>
    <row r="991" spans="1:6" ht="24">
      <c r="A991" s="366">
        <v>5</v>
      </c>
      <c r="B991" s="366" t="s">
        <v>3449</v>
      </c>
      <c r="C991" s="367" t="s">
        <v>1037</v>
      </c>
      <c r="D991" s="379"/>
      <c r="E991" s="394"/>
      <c r="F991" s="394"/>
    </row>
    <row r="992" spans="1:6" ht="24">
      <c r="A992" s="366">
        <v>5</v>
      </c>
      <c r="B992" s="366" t="s">
        <v>3450</v>
      </c>
      <c r="C992" s="367" t="s">
        <v>1038</v>
      </c>
      <c r="D992" s="379"/>
      <c r="E992" s="394"/>
      <c r="F992" s="394"/>
    </row>
    <row r="993" spans="1:6" ht="24">
      <c r="A993" s="366">
        <v>5</v>
      </c>
      <c r="B993" s="366" t="s">
        <v>3451</v>
      </c>
      <c r="C993" s="367" t="s">
        <v>1039</v>
      </c>
      <c r="D993" s="379"/>
      <c r="E993" s="394"/>
      <c r="F993" s="394"/>
    </row>
    <row r="994" spans="1:6" ht="24">
      <c r="A994" s="366">
        <v>5</v>
      </c>
      <c r="B994" s="366" t="s">
        <v>3452</v>
      </c>
      <c r="C994" s="367" t="s">
        <v>1040</v>
      </c>
      <c r="D994" s="379"/>
      <c r="E994" s="394"/>
      <c r="F994" s="394"/>
    </row>
    <row r="995" spans="1:6" ht="24">
      <c r="A995" s="366">
        <v>5</v>
      </c>
      <c r="B995" s="366" t="s">
        <v>3453</v>
      </c>
      <c r="C995" s="367" t="s">
        <v>1041</v>
      </c>
      <c r="D995" s="379"/>
      <c r="E995" s="394"/>
      <c r="F995" s="394"/>
    </row>
    <row r="996" spans="1:6" ht="24">
      <c r="A996" s="366">
        <v>5</v>
      </c>
      <c r="B996" s="366" t="s">
        <v>3454</v>
      </c>
      <c r="C996" s="367" t="s">
        <v>1042</v>
      </c>
      <c r="D996" s="379"/>
      <c r="E996" s="394"/>
      <c r="F996" s="394"/>
    </row>
    <row r="997" spans="1:6" ht="24">
      <c r="A997" s="366">
        <v>5</v>
      </c>
      <c r="B997" s="366" t="s">
        <v>3455</v>
      </c>
      <c r="C997" s="367" t="s">
        <v>1043</v>
      </c>
      <c r="D997" s="379"/>
      <c r="E997" s="394"/>
      <c r="F997" s="394"/>
    </row>
    <row r="998" spans="1:6" ht="24">
      <c r="A998" s="366">
        <v>5</v>
      </c>
      <c r="B998" s="366" t="s">
        <v>3456</v>
      </c>
      <c r="C998" s="367" t="s">
        <v>1044</v>
      </c>
      <c r="D998" s="379"/>
      <c r="E998" s="394"/>
      <c r="F998" s="394"/>
    </row>
    <row r="999" spans="1:6" ht="24">
      <c r="A999" s="366">
        <v>5</v>
      </c>
      <c r="B999" s="366" t="s">
        <v>3457</v>
      </c>
      <c r="C999" s="367" t="s">
        <v>1045</v>
      </c>
      <c r="D999" s="379"/>
      <c r="E999" s="394"/>
      <c r="F999" s="394"/>
    </row>
    <row r="1000" spans="1:6" ht="24">
      <c r="A1000" s="366">
        <v>5</v>
      </c>
      <c r="B1000" s="366" t="s">
        <v>3458</v>
      </c>
      <c r="C1000" s="367" t="s">
        <v>1046</v>
      </c>
      <c r="D1000" s="379"/>
      <c r="E1000" s="394"/>
      <c r="F1000" s="394"/>
    </row>
    <row r="1001" spans="1:6" ht="24">
      <c r="A1001" s="366">
        <v>5</v>
      </c>
      <c r="B1001" s="366" t="s">
        <v>3459</v>
      </c>
      <c r="C1001" s="367" t="s">
        <v>1047</v>
      </c>
      <c r="D1001" s="379"/>
      <c r="E1001" s="394"/>
      <c r="F1001" s="394"/>
    </row>
    <row r="1002" spans="1:6" ht="24">
      <c r="A1002" s="366">
        <v>5</v>
      </c>
      <c r="B1002" s="366" t="s">
        <v>3460</v>
      </c>
      <c r="C1002" s="367" t="s">
        <v>1048</v>
      </c>
      <c r="D1002" s="379"/>
      <c r="E1002" s="394"/>
      <c r="F1002" s="394"/>
    </row>
    <row r="1003" spans="1:6" ht="24">
      <c r="A1003" s="366">
        <v>5</v>
      </c>
      <c r="B1003" s="366" t="s">
        <v>3461</v>
      </c>
      <c r="C1003" s="367" t="s">
        <v>1049</v>
      </c>
      <c r="D1003" s="379"/>
      <c r="E1003" s="394"/>
      <c r="F1003" s="394"/>
    </row>
    <row r="1004" spans="1:6">
      <c r="A1004" s="366">
        <v>5</v>
      </c>
      <c r="B1004" s="366" t="s">
        <v>3462</v>
      </c>
      <c r="C1004" s="367" t="s">
        <v>1050</v>
      </c>
      <c r="D1004" s="379"/>
      <c r="E1004" s="394"/>
      <c r="F1004" s="394"/>
    </row>
    <row r="1005" spans="1:6" ht="24">
      <c r="A1005" s="366">
        <v>5</v>
      </c>
      <c r="B1005" s="366" t="s">
        <v>3463</v>
      </c>
      <c r="C1005" s="367" t="s">
        <v>1051</v>
      </c>
      <c r="D1005" s="379"/>
      <c r="E1005" s="394">
        <v>49841.94</v>
      </c>
      <c r="F1005" s="394">
        <v>1144.23</v>
      </c>
    </row>
    <row r="1006" spans="1:6">
      <c r="A1006" s="366">
        <v>5</v>
      </c>
      <c r="B1006" s="366" t="s">
        <v>3464</v>
      </c>
      <c r="C1006" s="367" t="s">
        <v>1052</v>
      </c>
      <c r="D1006" s="379"/>
      <c r="E1006" s="394"/>
      <c r="F1006" s="394"/>
    </row>
    <row r="1007" spans="1:6">
      <c r="A1007" s="366">
        <v>5</v>
      </c>
      <c r="B1007" s="366" t="s">
        <v>3465</v>
      </c>
      <c r="C1007" s="367" t="s">
        <v>1053</v>
      </c>
      <c r="D1007" s="379"/>
      <c r="E1007" s="394"/>
      <c r="F1007" s="394"/>
    </row>
    <row r="1008" spans="1:6">
      <c r="A1008" s="366">
        <v>5</v>
      </c>
      <c r="B1008" s="366" t="s">
        <v>3466</v>
      </c>
      <c r="C1008" s="367" t="s">
        <v>1054</v>
      </c>
      <c r="D1008" s="379"/>
      <c r="E1008" s="394"/>
      <c r="F1008" s="394"/>
    </row>
    <row r="1009" spans="1:6">
      <c r="A1009" s="366">
        <v>5</v>
      </c>
      <c r="B1009" s="366" t="s">
        <v>3467</v>
      </c>
      <c r="C1009" s="367" t="s">
        <v>1055</v>
      </c>
      <c r="D1009" s="379"/>
      <c r="E1009" s="394"/>
      <c r="F1009" s="394"/>
    </row>
    <row r="1010" spans="1:6">
      <c r="A1010" s="366">
        <v>5</v>
      </c>
      <c r="B1010" s="366" t="s">
        <v>3468</v>
      </c>
      <c r="C1010" s="367" t="s">
        <v>1056</v>
      </c>
      <c r="D1010" s="379"/>
      <c r="E1010" s="394"/>
      <c r="F1010" s="394">
        <v>117703.42</v>
      </c>
    </row>
    <row r="1011" spans="1:6">
      <c r="A1011" s="366">
        <v>5</v>
      </c>
      <c r="B1011" s="366" t="s">
        <v>3469</v>
      </c>
      <c r="C1011" s="367" t="s">
        <v>1057</v>
      </c>
      <c r="D1011" s="379"/>
      <c r="E1011" s="394"/>
      <c r="F1011" s="394"/>
    </row>
    <row r="1012" spans="1:6">
      <c r="A1012" s="366">
        <v>5</v>
      </c>
      <c r="B1012" s="366" t="s">
        <v>3470</v>
      </c>
      <c r="C1012" s="367" t="s">
        <v>1058</v>
      </c>
      <c r="D1012" s="379"/>
      <c r="E1012" s="394">
        <v>10578.11</v>
      </c>
      <c r="F1012" s="394">
        <v>383077.36</v>
      </c>
    </row>
    <row r="1013" spans="1:6">
      <c r="A1013" s="366">
        <v>5</v>
      </c>
      <c r="B1013" s="366" t="s">
        <v>3471</v>
      </c>
      <c r="C1013" s="367" t="s">
        <v>1059</v>
      </c>
      <c r="D1013" s="379"/>
      <c r="E1013" s="394"/>
      <c r="F1013" s="394"/>
    </row>
    <row r="1014" spans="1:6">
      <c r="A1014" s="366">
        <v>5</v>
      </c>
      <c r="B1014" s="366" t="s">
        <v>3472</v>
      </c>
      <c r="C1014" s="367" t="s">
        <v>1060</v>
      </c>
      <c r="D1014" s="379"/>
      <c r="E1014" s="394"/>
      <c r="F1014" s="394"/>
    </row>
    <row r="1015" spans="1:6">
      <c r="A1015" s="377" t="s">
        <v>1966</v>
      </c>
      <c r="B1015" s="363" t="s">
        <v>1061</v>
      </c>
      <c r="C1015" s="363" t="s">
        <v>1664</v>
      </c>
      <c r="D1015" s="378"/>
      <c r="E1015" s="391"/>
      <c r="F1015" s="391"/>
    </row>
    <row r="1016" spans="1:6">
      <c r="A1016" s="377" t="s">
        <v>1968</v>
      </c>
      <c r="B1016" s="363" t="s">
        <v>1062</v>
      </c>
      <c r="C1016" s="363" t="s">
        <v>1665</v>
      </c>
      <c r="D1016" s="378"/>
      <c r="E1016" s="391"/>
      <c r="F1016" s="391"/>
    </row>
    <row r="1017" spans="1:6">
      <c r="A1017" s="377" t="s">
        <v>1970</v>
      </c>
      <c r="B1017" s="363" t="s">
        <v>1063</v>
      </c>
      <c r="C1017" s="363" t="s">
        <v>1666</v>
      </c>
      <c r="D1017" s="378"/>
      <c r="E1017" s="391"/>
      <c r="F1017" s="391"/>
    </row>
    <row r="1018" spans="1:6">
      <c r="A1018" s="366" t="s">
        <v>1972</v>
      </c>
      <c r="B1018" s="366" t="s">
        <v>3473</v>
      </c>
      <c r="C1018" s="367" t="s">
        <v>3474</v>
      </c>
      <c r="D1018" s="379"/>
      <c r="E1018" s="394">
        <v>-441455.95</v>
      </c>
      <c r="F1018" s="394">
        <v>22153.98</v>
      </c>
    </row>
    <row r="1019" spans="1:6">
      <c r="A1019" s="377" t="s">
        <v>1970</v>
      </c>
      <c r="B1019" s="363" t="s">
        <v>1064</v>
      </c>
      <c r="C1019" s="363" t="s">
        <v>1667</v>
      </c>
      <c r="D1019" s="378"/>
      <c r="E1019" s="391"/>
      <c r="F1019" s="391"/>
    </row>
    <row r="1020" spans="1:6">
      <c r="A1020" s="366" t="s">
        <v>1972</v>
      </c>
      <c r="B1020" s="366" t="s">
        <v>3475</v>
      </c>
      <c r="C1020" s="367" t="s">
        <v>3476</v>
      </c>
      <c r="D1020" s="379"/>
      <c r="E1020" s="394"/>
      <c r="F1020" s="394"/>
    </row>
    <row r="1021" spans="1:6">
      <c r="A1021" s="377" t="s">
        <v>1970</v>
      </c>
      <c r="B1021" s="363" t="s">
        <v>1065</v>
      </c>
      <c r="C1021" s="363" t="s">
        <v>1668</v>
      </c>
      <c r="D1021" s="378"/>
      <c r="E1021" s="391"/>
      <c r="F1021" s="391"/>
    </row>
    <row r="1022" spans="1:6">
      <c r="A1022" s="366" t="s">
        <v>1972</v>
      </c>
      <c r="B1022" s="366" t="s">
        <v>3477</v>
      </c>
      <c r="C1022" s="367" t="s">
        <v>3478</v>
      </c>
      <c r="D1022" s="379"/>
      <c r="E1022" s="394">
        <v>-179210.16</v>
      </c>
      <c r="F1022" s="394">
        <v>1478152.11</v>
      </c>
    </row>
    <row r="1023" spans="1:6">
      <c r="A1023" s="377" t="s">
        <v>1970</v>
      </c>
      <c r="B1023" s="363" t="s">
        <v>1066</v>
      </c>
      <c r="C1023" s="363" t="s">
        <v>1669</v>
      </c>
      <c r="D1023" s="378"/>
      <c r="E1023" s="391"/>
      <c r="F1023" s="391"/>
    </row>
    <row r="1024" spans="1:6">
      <c r="A1024" s="366" t="s">
        <v>1972</v>
      </c>
      <c r="B1024" s="366" t="s">
        <v>3479</v>
      </c>
      <c r="C1024" s="367" t="s">
        <v>3480</v>
      </c>
      <c r="D1024" s="379"/>
      <c r="E1024" s="394">
        <v>-6788.94</v>
      </c>
      <c r="F1024" s="394">
        <v>12419.75</v>
      </c>
    </row>
    <row r="1025" spans="1:6">
      <c r="A1025" s="377" t="s">
        <v>1970</v>
      </c>
      <c r="B1025" s="363" t="s">
        <v>1067</v>
      </c>
      <c r="C1025" s="363" t="s">
        <v>1670</v>
      </c>
      <c r="D1025" s="378"/>
      <c r="E1025" s="391"/>
      <c r="F1025" s="391"/>
    </row>
    <row r="1026" spans="1:6">
      <c r="A1026" s="366" t="s">
        <v>1972</v>
      </c>
      <c r="B1026" s="366" t="s">
        <v>3481</v>
      </c>
      <c r="C1026" s="367" t="s">
        <v>3482</v>
      </c>
      <c r="D1026" s="379"/>
      <c r="E1026" s="394"/>
      <c r="F1026" s="394"/>
    </row>
    <row r="1027" spans="1:6">
      <c r="A1027" s="377" t="s">
        <v>1970</v>
      </c>
      <c r="B1027" s="363" t="s">
        <v>1068</v>
      </c>
      <c r="C1027" s="363" t="s">
        <v>1671</v>
      </c>
      <c r="D1027" s="378"/>
      <c r="E1027" s="391"/>
      <c r="F1027" s="391"/>
    </row>
    <row r="1028" spans="1:6">
      <c r="A1028" s="366" t="s">
        <v>1972</v>
      </c>
      <c r="B1028" s="366" t="s">
        <v>3483</v>
      </c>
      <c r="C1028" s="367" t="s">
        <v>3484</v>
      </c>
      <c r="D1028" s="379"/>
      <c r="E1028" s="394">
        <v>-21465.29</v>
      </c>
      <c r="F1028" s="394">
        <v>-712.95</v>
      </c>
    </row>
    <row r="1029" spans="1:6">
      <c r="A1029" s="377" t="s">
        <v>1970</v>
      </c>
      <c r="B1029" s="363" t="s">
        <v>1069</v>
      </c>
      <c r="C1029" s="363" t="s">
        <v>1672</v>
      </c>
      <c r="D1029" s="378"/>
      <c r="E1029" s="391"/>
      <c r="F1029" s="391"/>
    </row>
    <row r="1030" spans="1:6">
      <c r="A1030" s="366" t="s">
        <v>1972</v>
      </c>
      <c r="B1030" s="366" t="s">
        <v>3485</v>
      </c>
      <c r="C1030" s="367" t="s">
        <v>3486</v>
      </c>
      <c r="D1030" s="379"/>
      <c r="E1030" s="394">
        <v>40.909999999999997</v>
      </c>
      <c r="F1030" s="394">
        <v>262.68</v>
      </c>
    </row>
    <row r="1031" spans="1:6">
      <c r="A1031" s="377" t="s">
        <v>1970</v>
      </c>
      <c r="B1031" s="363" t="s">
        <v>1070</v>
      </c>
      <c r="C1031" s="363" t="s">
        <v>1673</v>
      </c>
      <c r="D1031" s="378"/>
      <c r="E1031" s="391"/>
      <c r="F1031" s="391"/>
    </row>
    <row r="1032" spans="1:6">
      <c r="A1032" s="366" t="s">
        <v>1972</v>
      </c>
      <c r="B1032" s="366" t="s">
        <v>3487</v>
      </c>
      <c r="C1032" s="367" t="s">
        <v>3488</v>
      </c>
      <c r="D1032" s="379"/>
      <c r="E1032" s="394">
        <v>-76656.03</v>
      </c>
      <c r="F1032" s="394">
        <v>6118.59</v>
      </c>
    </row>
    <row r="1033" spans="1:6">
      <c r="A1033" s="377" t="s">
        <v>1968</v>
      </c>
      <c r="B1033" s="363" t="s">
        <v>1071</v>
      </c>
      <c r="C1033" s="363" t="s">
        <v>1674</v>
      </c>
      <c r="D1033" s="378"/>
      <c r="E1033" s="391"/>
      <c r="F1033" s="391"/>
    </row>
    <row r="1034" spans="1:6">
      <c r="A1034" s="377" t="s">
        <v>1970</v>
      </c>
      <c r="B1034" s="363" t="s">
        <v>1072</v>
      </c>
      <c r="C1034" s="363" t="s">
        <v>1675</v>
      </c>
      <c r="D1034" s="378"/>
      <c r="E1034" s="391"/>
      <c r="F1034" s="391"/>
    </row>
    <row r="1035" spans="1:6">
      <c r="A1035" s="366" t="s">
        <v>1972</v>
      </c>
      <c r="B1035" s="366" t="s">
        <v>3489</v>
      </c>
      <c r="C1035" s="367" t="s">
        <v>3490</v>
      </c>
      <c r="D1035" s="379"/>
      <c r="E1035" s="394">
        <v>-427.24</v>
      </c>
      <c r="F1035" s="394">
        <v>1686</v>
      </c>
    </row>
    <row r="1036" spans="1:6" ht="25.5">
      <c r="A1036" s="377" t="s">
        <v>1970</v>
      </c>
      <c r="B1036" s="363" t="s">
        <v>1073</v>
      </c>
      <c r="C1036" s="363" t="s">
        <v>1676</v>
      </c>
      <c r="D1036" s="378"/>
      <c r="E1036" s="391"/>
      <c r="F1036" s="391"/>
    </row>
    <row r="1037" spans="1:6" ht="24">
      <c r="A1037" s="366" t="s">
        <v>1972</v>
      </c>
      <c r="B1037" s="366" t="s">
        <v>3491</v>
      </c>
      <c r="C1037" s="367" t="s">
        <v>3492</v>
      </c>
      <c r="D1037" s="379"/>
      <c r="E1037" s="394">
        <v>130723.49</v>
      </c>
      <c r="F1037" s="394">
        <v>265608.73</v>
      </c>
    </row>
    <row r="1038" spans="1:6">
      <c r="A1038" s="377" t="s">
        <v>1970</v>
      </c>
      <c r="B1038" s="363" t="s">
        <v>1074</v>
      </c>
      <c r="C1038" s="363" t="s">
        <v>1677</v>
      </c>
      <c r="D1038" s="378"/>
      <c r="E1038" s="391"/>
      <c r="F1038" s="391"/>
    </row>
    <row r="1039" spans="1:6">
      <c r="A1039" s="366" t="s">
        <v>1972</v>
      </c>
      <c r="B1039" s="366" t="s">
        <v>3493</v>
      </c>
      <c r="C1039" s="367" t="s">
        <v>3494</v>
      </c>
      <c r="D1039" s="379"/>
      <c r="E1039" s="394"/>
      <c r="F1039" s="394"/>
    </row>
    <row r="1040" spans="1:6">
      <c r="A1040" s="377" t="s">
        <v>1970</v>
      </c>
      <c r="B1040" s="363" t="s">
        <v>1075</v>
      </c>
      <c r="C1040" s="363" t="s">
        <v>1678</v>
      </c>
      <c r="D1040" s="378"/>
      <c r="E1040" s="391"/>
      <c r="F1040" s="391"/>
    </row>
    <row r="1041" spans="1:6">
      <c r="A1041" s="366" t="s">
        <v>1972</v>
      </c>
      <c r="B1041" s="366" t="s">
        <v>3495</v>
      </c>
      <c r="C1041" s="367" t="s">
        <v>3496</v>
      </c>
      <c r="D1041" s="379"/>
      <c r="E1041" s="394">
        <v>17330.919999999998</v>
      </c>
      <c r="F1041" s="394">
        <v>3934.55</v>
      </c>
    </row>
    <row r="1042" spans="1:6">
      <c r="A1042" s="377" t="s">
        <v>1970</v>
      </c>
      <c r="B1042" s="363" t="s">
        <v>1076</v>
      </c>
      <c r="C1042" s="363" t="s">
        <v>1679</v>
      </c>
      <c r="D1042" s="378"/>
      <c r="E1042" s="391"/>
      <c r="F1042" s="391"/>
    </row>
    <row r="1043" spans="1:6">
      <c r="A1043" s="366" t="s">
        <v>1972</v>
      </c>
      <c r="B1043" s="366" t="s">
        <v>3497</v>
      </c>
      <c r="C1043" s="367" t="s">
        <v>3498</v>
      </c>
      <c r="D1043" s="379"/>
      <c r="E1043" s="394">
        <v>-2261.58</v>
      </c>
      <c r="F1043" s="394">
        <v>-5156.6000000000004</v>
      </c>
    </row>
    <row r="1044" spans="1:6">
      <c r="A1044" s="377" t="s">
        <v>1970</v>
      </c>
      <c r="B1044" s="363" t="s">
        <v>1077</v>
      </c>
      <c r="C1044" s="363" t="s">
        <v>1680</v>
      </c>
      <c r="D1044" s="378"/>
      <c r="E1044" s="391"/>
      <c r="F1044" s="391"/>
    </row>
    <row r="1045" spans="1:6">
      <c r="A1045" s="366" t="s">
        <v>1972</v>
      </c>
      <c r="B1045" s="366" t="s">
        <v>3499</v>
      </c>
      <c r="C1045" s="367" t="s">
        <v>3500</v>
      </c>
      <c r="D1045" s="379"/>
      <c r="E1045" s="394">
        <v>3549.52</v>
      </c>
      <c r="F1045" s="394">
        <v>1043.06</v>
      </c>
    </row>
    <row r="1046" spans="1:6">
      <c r="A1046" s="377" t="s">
        <v>1966</v>
      </c>
      <c r="B1046" s="363" t="s">
        <v>1078</v>
      </c>
      <c r="C1046" s="363" t="s">
        <v>3501</v>
      </c>
      <c r="D1046" s="378"/>
      <c r="E1046" s="391"/>
      <c r="F1046" s="391"/>
    </row>
    <row r="1047" spans="1:6">
      <c r="A1047" s="377" t="s">
        <v>1968</v>
      </c>
      <c r="B1047" s="363" t="s">
        <v>1079</v>
      </c>
      <c r="C1047" s="363" t="s">
        <v>1682</v>
      </c>
      <c r="D1047" s="378"/>
      <c r="E1047" s="391"/>
      <c r="F1047" s="391"/>
    </row>
    <row r="1048" spans="1:6" ht="25.5">
      <c r="A1048" s="377" t="s">
        <v>1970</v>
      </c>
      <c r="B1048" s="363" t="s">
        <v>1081</v>
      </c>
      <c r="C1048" s="363" t="s">
        <v>1683</v>
      </c>
      <c r="D1048" s="378"/>
      <c r="E1048" s="391"/>
      <c r="F1048" s="391"/>
    </row>
    <row r="1049" spans="1:6">
      <c r="A1049" s="366" t="s">
        <v>1972</v>
      </c>
      <c r="B1049" s="366" t="s">
        <v>3502</v>
      </c>
      <c r="C1049" s="367" t="s">
        <v>1080</v>
      </c>
      <c r="D1049" s="379"/>
      <c r="E1049" s="394">
        <v>2247702.1800000002</v>
      </c>
      <c r="F1049" s="394">
        <v>824526.09</v>
      </c>
    </row>
    <row r="1050" spans="1:6" ht="25.5">
      <c r="A1050" s="377" t="s">
        <v>1970</v>
      </c>
      <c r="B1050" s="363" t="s">
        <v>1083</v>
      </c>
      <c r="C1050" s="363" t="s">
        <v>1684</v>
      </c>
      <c r="D1050" s="378"/>
      <c r="E1050" s="391"/>
      <c r="F1050" s="391"/>
    </row>
    <row r="1051" spans="1:6">
      <c r="A1051" s="366" t="s">
        <v>1972</v>
      </c>
      <c r="B1051" s="366" t="s">
        <v>3503</v>
      </c>
      <c r="C1051" s="367" t="s">
        <v>1082</v>
      </c>
      <c r="D1051" s="379"/>
      <c r="E1051" s="394">
        <v>131868.66</v>
      </c>
      <c r="F1051" s="394">
        <v>983613.84</v>
      </c>
    </row>
    <row r="1052" spans="1:6" ht="25.5">
      <c r="A1052" s="377" t="s">
        <v>1970</v>
      </c>
      <c r="B1052" s="363" t="s">
        <v>1085</v>
      </c>
      <c r="C1052" s="363" t="s">
        <v>1685</v>
      </c>
      <c r="D1052" s="378"/>
      <c r="E1052" s="391"/>
      <c r="F1052" s="391"/>
    </row>
    <row r="1053" spans="1:6" ht="24">
      <c r="A1053" s="366" t="s">
        <v>1972</v>
      </c>
      <c r="B1053" s="366" t="s">
        <v>3504</v>
      </c>
      <c r="C1053" s="367" t="s">
        <v>1084</v>
      </c>
      <c r="D1053" s="379"/>
      <c r="E1053" s="394">
        <v>235290</v>
      </c>
      <c r="F1053" s="394">
        <v>323673</v>
      </c>
    </row>
    <row r="1054" spans="1:6" ht="25.5">
      <c r="A1054" s="377" t="s">
        <v>1970</v>
      </c>
      <c r="B1054" s="363" t="s">
        <v>1087</v>
      </c>
      <c r="C1054" s="363" t="s">
        <v>1686</v>
      </c>
      <c r="D1054" s="378"/>
      <c r="E1054" s="391"/>
      <c r="F1054" s="391"/>
    </row>
    <row r="1055" spans="1:6" ht="24">
      <c r="A1055" s="366" t="s">
        <v>1972</v>
      </c>
      <c r="B1055" s="366" t="s">
        <v>3505</v>
      </c>
      <c r="C1055" s="367" t="s">
        <v>1086</v>
      </c>
      <c r="D1055" s="379"/>
      <c r="E1055" s="394"/>
      <c r="F1055" s="394"/>
    </row>
    <row r="1056" spans="1:6">
      <c r="A1056" s="377" t="s">
        <v>1970</v>
      </c>
      <c r="B1056" s="363" t="s">
        <v>1089</v>
      </c>
      <c r="C1056" s="363" t="s">
        <v>1687</v>
      </c>
      <c r="D1056" s="378"/>
      <c r="E1056" s="391"/>
      <c r="F1056" s="391"/>
    </row>
    <row r="1057" spans="1:6">
      <c r="A1057" s="366" t="s">
        <v>1972</v>
      </c>
      <c r="B1057" s="366" t="s">
        <v>3506</v>
      </c>
      <c r="C1057" s="367" t="s">
        <v>1088</v>
      </c>
      <c r="D1057" s="379"/>
      <c r="E1057" s="394"/>
      <c r="F1057" s="394"/>
    </row>
    <row r="1058" spans="1:6">
      <c r="A1058" s="377" t="s">
        <v>1970</v>
      </c>
      <c r="B1058" s="363" t="s">
        <v>1091</v>
      </c>
      <c r="C1058" s="363" t="s">
        <v>1688</v>
      </c>
      <c r="D1058" s="378"/>
      <c r="E1058" s="391"/>
      <c r="F1058" s="391"/>
    </row>
    <row r="1059" spans="1:6">
      <c r="A1059" s="366" t="s">
        <v>1972</v>
      </c>
      <c r="B1059" s="366" t="s">
        <v>3507</v>
      </c>
      <c r="C1059" s="367" t="s">
        <v>1092</v>
      </c>
      <c r="D1059" s="379"/>
      <c r="E1059" s="394"/>
      <c r="F1059" s="394"/>
    </row>
    <row r="1060" spans="1:6">
      <c r="A1060" s="366" t="s">
        <v>1972</v>
      </c>
      <c r="B1060" s="366" t="s">
        <v>3508</v>
      </c>
      <c r="C1060" s="367" t="s">
        <v>1093</v>
      </c>
      <c r="D1060" s="379"/>
      <c r="E1060" s="394"/>
      <c r="F1060" s="394"/>
    </row>
    <row r="1061" spans="1:6">
      <c r="A1061" s="366" t="s">
        <v>1972</v>
      </c>
      <c r="B1061" s="366" t="s">
        <v>3509</v>
      </c>
      <c r="C1061" s="367" t="s">
        <v>1090</v>
      </c>
      <c r="D1061" s="379"/>
      <c r="E1061" s="394">
        <v>543182.82999999996</v>
      </c>
      <c r="F1061" s="394">
        <v>429377.44</v>
      </c>
    </row>
    <row r="1062" spans="1:6">
      <c r="A1062" s="377" t="s">
        <v>1970</v>
      </c>
      <c r="B1062" s="363" t="s">
        <v>1095</v>
      </c>
      <c r="C1062" s="363" t="s">
        <v>3510</v>
      </c>
      <c r="D1062" s="378"/>
      <c r="E1062" s="391"/>
      <c r="F1062" s="391"/>
    </row>
    <row r="1063" spans="1:6">
      <c r="A1063" s="366" t="s">
        <v>1972</v>
      </c>
      <c r="B1063" s="366" t="s">
        <v>3511</v>
      </c>
      <c r="C1063" s="367" t="s">
        <v>1094</v>
      </c>
      <c r="D1063" s="379"/>
      <c r="E1063" s="394"/>
      <c r="F1063" s="394"/>
    </row>
    <row r="1064" spans="1:6">
      <c r="A1064" s="377" t="s">
        <v>1968</v>
      </c>
      <c r="B1064" s="363" t="s">
        <v>1096</v>
      </c>
      <c r="C1064" s="363" t="s">
        <v>1690</v>
      </c>
      <c r="D1064" s="378"/>
      <c r="E1064" s="391"/>
      <c r="F1064" s="391"/>
    </row>
    <row r="1065" spans="1:6">
      <c r="A1065" s="366">
        <v>5</v>
      </c>
      <c r="B1065" s="366" t="s">
        <v>3512</v>
      </c>
      <c r="C1065" s="367" t="s">
        <v>1097</v>
      </c>
      <c r="D1065" s="379"/>
      <c r="E1065" s="394">
        <v>121810.39</v>
      </c>
      <c r="F1065" s="394">
        <v>144742.72</v>
      </c>
    </row>
    <row r="1066" spans="1:6">
      <c r="A1066" s="366">
        <v>5</v>
      </c>
      <c r="B1066" s="366" t="s">
        <v>3513</v>
      </c>
      <c r="C1066" s="367" t="s">
        <v>1098</v>
      </c>
      <c r="D1066" s="379"/>
      <c r="E1066" s="394">
        <v>28340.49</v>
      </c>
      <c r="F1066" s="394">
        <v>31330.7</v>
      </c>
    </row>
    <row r="1067" spans="1:6" ht="25.5">
      <c r="A1067" s="377" t="s">
        <v>1968</v>
      </c>
      <c r="B1067" s="363" t="s">
        <v>1099</v>
      </c>
      <c r="C1067" s="363" t="s">
        <v>3514</v>
      </c>
      <c r="D1067" s="378"/>
      <c r="E1067" s="391"/>
      <c r="F1067" s="391"/>
    </row>
    <row r="1068" spans="1:6" ht="25.5">
      <c r="A1068" s="377" t="s">
        <v>1970</v>
      </c>
      <c r="B1068" s="363" t="s">
        <v>1100</v>
      </c>
      <c r="C1068" s="363" t="s">
        <v>1692</v>
      </c>
      <c r="D1068" s="378"/>
      <c r="E1068" s="391"/>
      <c r="F1068" s="391"/>
    </row>
    <row r="1069" spans="1:6" ht="24">
      <c r="A1069" s="366" t="s">
        <v>1972</v>
      </c>
      <c r="B1069" s="366" t="s">
        <v>3515</v>
      </c>
      <c r="C1069" s="367" t="s">
        <v>3516</v>
      </c>
      <c r="D1069" s="379"/>
      <c r="E1069" s="394">
        <v>792881.99</v>
      </c>
      <c r="F1069" s="394">
        <v>914017.38</v>
      </c>
    </row>
    <row r="1070" spans="1:6" ht="25.5">
      <c r="A1070" s="377" t="s">
        <v>1970</v>
      </c>
      <c r="B1070" s="363" t="s">
        <v>1102</v>
      </c>
      <c r="C1070" s="363" t="s">
        <v>1693</v>
      </c>
      <c r="D1070" s="378"/>
      <c r="E1070" s="391"/>
      <c r="F1070" s="391"/>
    </row>
    <row r="1071" spans="1:6" ht="24">
      <c r="A1071" s="366" t="s">
        <v>1972</v>
      </c>
      <c r="B1071" s="366" t="s">
        <v>3517</v>
      </c>
      <c r="C1071" s="367" t="s">
        <v>1101</v>
      </c>
      <c r="D1071" s="379"/>
      <c r="E1071" s="394">
        <v>598789.61</v>
      </c>
      <c r="F1071" s="394"/>
    </row>
    <row r="1072" spans="1:6" ht="25.5">
      <c r="A1072" s="377" t="s">
        <v>1970</v>
      </c>
      <c r="B1072" s="363" t="s">
        <v>1104</v>
      </c>
      <c r="C1072" s="363" t="s">
        <v>1694</v>
      </c>
      <c r="D1072" s="378"/>
      <c r="E1072" s="391"/>
      <c r="F1072" s="391"/>
    </row>
    <row r="1073" spans="1:6" ht="24">
      <c r="A1073" s="366" t="s">
        <v>1972</v>
      </c>
      <c r="B1073" s="366" t="s">
        <v>3518</v>
      </c>
      <c r="C1073" s="367" t="s">
        <v>1103</v>
      </c>
      <c r="D1073" s="379"/>
      <c r="E1073" s="394">
        <v>6166244.54</v>
      </c>
      <c r="F1073" s="394">
        <v>9135288.5700000003</v>
      </c>
    </row>
    <row r="1074" spans="1:6" ht="25.5">
      <c r="A1074" s="377" t="s">
        <v>1970</v>
      </c>
      <c r="B1074" s="363" t="s">
        <v>1106</v>
      </c>
      <c r="C1074" s="363" t="s">
        <v>1695</v>
      </c>
      <c r="D1074" s="378"/>
      <c r="E1074" s="391"/>
      <c r="F1074" s="391"/>
    </row>
    <row r="1075" spans="1:6" ht="24">
      <c r="A1075" s="366" t="s">
        <v>1972</v>
      </c>
      <c r="B1075" s="366" t="s">
        <v>3519</v>
      </c>
      <c r="C1075" s="367" t="s">
        <v>1105</v>
      </c>
      <c r="D1075" s="379"/>
      <c r="E1075" s="394"/>
      <c r="F1075" s="394"/>
    </row>
    <row r="1076" spans="1:6" ht="25.5">
      <c r="A1076" s="377" t="s">
        <v>1970</v>
      </c>
      <c r="B1076" s="363" t="s">
        <v>1107</v>
      </c>
      <c r="C1076" s="363" t="s">
        <v>1696</v>
      </c>
      <c r="D1076" s="378"/>
      <c r="E1076" s="391"/>
      <c r="F1076" s="391"/>
    </row>
    <row r="1077" spans="1:6" ht="24">
      <c r="A1077" s="366">
        <v>6</v>
      </c>
      <c r="B1077" s="366" t="s">
        <v>3520</v>
      </c>
      <c r="C1077" s="367" t="s">
        <v>1108</v>
      </c>
      <c r="D1077" s="379"/>
      <c r="E1077" s="394">
        <v>165038.53</v>
      </c>
      <c r="F1077" s="394">
        <v>161963.4</v>
      </c>
    </row>
    <row r="1078" spans="1:6" ht="24">
      <c r="A1078" s="366">
        <v>6</v>
      </c>
      <c r="B1078" s="366" t="s">
        <v>3521</v>
      </c>
      <c r="C1078" s="367" t="s">
        <v>1109</v>
      </c>
      <c r="D1078" s="379"/>
      <c r="E1078" s="394">
        <v>3048867.26</v>
      </c>
      <c r="F1078" s="394">
        <v>34442988.810000002</v>
      </c>
    </row>
    <row r="1079" spans="1:6" ht="25.5">
      <c r="A1079" s="377" t="s">
        <v>1970</v>
      </c>
      <c r="B1079" s="363" t="s">
        <v>1111</v>
      </c>
      <c r="C1079" s="363" t="s">
        <v>1697</v>
      </c>
      <c r="D1079" s="378"/>
      <c r="E1079" s="391"/>
      <c r="F1079" s="391"/>
    </row>
    <row r="1080" spans="1:6" ht="24">
      <c r="A1080" s="366" t="s">
        <v>1972</v>
      </c>
      <c r="B1080" s="366" t="s">
        <v>3522</v>
      </c>
      <c r="C1080" s="367" t="s">
        <v>1110</v>
      </c>
      <c r="D1080" s="379"/>
      <c r="E1080" s="394"/>
      <c r="F1080" s="394"/>
    </row>
    <row r="1081" spans="1:6">
      <c r="A1081" s="377" t="s">
        <v>1968</v>
      </c>
      <c r="B1081" s="363" t="s">
        <v>1113</v>
      </c>
      <c r="C1081" s="363" t="s">
        <v>1698</v>
      </c>
      <c r="D1081" s="378"/>
      <c r="E1081" s="391"/>
      <c r="F1081" s="391"/>
    </row>
    <row r="1082" spans="1:6">
      <c r="A1082" s="377" t="s">
        <v>1970</v>
      </c>
      <c r="B1082" s="363" t="s">
        <v>1115</v>
      </c>
      <c r="C1082" s="363" t="s">
        <v>1699</v>
      </c>
      <c r="D1082" s="378"/>
      <c r="E1082" s="391"/>
      <c r="F1082" s="391"/>
    </row>
    <row r="1083" spans="1:6">
      <c r="A1083" s="366" t="s">
        <v>1972</v>
      </c>
      <c r="B1083" s="366" t="s">
        <v>3523</v>
      </c>
      <c r="C1083" s="367" t="s">
        <v>1114</v>
      </c>
      <c r="D1083" s="379"/>
      <c r="E1083" s="394">
        <v>1718986</v>
      </c>
      <c r="F1083" s="394">
        <v>1766791.82</v>
      </c>
    </row>
    <row r="1084" spans="1:6">
      <c r="A1084" s="377" t="s">
        <v>1970</v>
      </c>
      <c r="B1084" s="363" t="s">
        <v>1117</v>
      </c>
      <c r="C1084" s="363" t="s">
        <v>1700</v>
      </c>
      <c r="D1084" s="378"/>
      <c r="E1084" s="391"/>
      <c r="F1084" s="391"/>
    </row>
    <row r="1085" spans="1:6">
      <c r="A1085" s="366" t="s">
        <v>1972</v>
      </c>
      <c r="B1085" s="366" t="s">
        <v>3524</v>
      </c>
      <c r="C1085" s="367" t="s">
        <v>1116</v>
      </c>
      <c r="D1085" s="379"/>
      <c r="E1085" s="394">
        <v>119368</v>
      </c>
      <c r="F1085" s="394">
        <v>124924.99</v>
      </c>
    </row>
    <row r="1086" spans="1:6">
      <c r="A1086" s="377" t="s">
        <v>1970</v>
      </c>
      <c r="B1086" s="363" t="s">
        <v>1119</v>
      </c>
      <c r="C1086" s="363" t="s">
        <v>1701</v>
      </c>
      <c r="D1086" s="378"/>
      <c r="E1086" s="391"/>
      <c r="F1086" s="391"/>
    </row>
    <row r="1087" spans="1:6">
      <c r="A1087" s="366" t="s">
        <v>1972</v>
      </c>
      <c r="B1087" s="366" t="s">
        <v>3525</v>
      </c>
      <c r="C1087" s="367" t="s">
        <v>1118</v>
      </c>
      <c r="D1087" s="379"/>
      <c r="E1087" s="394">
        <v>1434807.22</v>
      </c>
      <c r="F1087" s="394">
        <v>2869158.13</v>
      </c>
    </row>
    <row r="1088" spans="1:6">
      <c r="A1088" s="377" t="s">
        <v>1970</v>
      </c>
      <c r="B1088" s="363" t="s">
        <v>1121</v>
      </c>
      <c r="C1088" s="363" t="s">
        <v>1702</v>
      </c>
      <c r="D1088" s="378"/>
      <c r="E1088" s="391"/>
      <c r="F1088" s="391"/>
    </row>
    <row r="1089" spans="1:6">
      <c r="A1089" s="366" t="s">
        <v>1972</v>
      </c>
      <c r="B1089" s="366" t="s">
        <v>3526</v>
      </c>
      <c r="C1089" s="367" t="s">
        <v>1120</v>
      </c>
      <c r="D1089" s="379"/>
      <c r="E1089" s="394">
        <v>482010.78</v>
      </c>
      <c r="F1089" s="394">
        <v>467072.25</v>
      </c>
    </row>
    <row r="1090" spans="1:6">
      <c r="A1090" s="377" t="s">
        <v>1970</v>
      </c>
      <c r="B1090" s="363" t="s">
        <v>1123</v>
      </c>
      <c r="C1090" s="363" t="s">
        <v>1703</v>
      </c>
      <c r="D1090" s="378"/>
      <c r="E1090" s="391"/>
      <c r="F1090" s="391"/>
    </row>
    <row r="1091" spans="1:6">
      <c r="A1091" s="366" t="s">
        <v>1972</v>
      </c>
      <c r="B1091" s="366" t="s">
        <v>3527</v>
      </c>
      <c r="C1091" s="367" t="s">
        <v>1122</v>
      </c>
      <c r="D1091" s="379"/>
      <c r="E1091" s="394"/>
      <c r="F1091" s="394"/>
    </row>
    <row r="1092" spans="1:6">
      <c r="A1092" s="377" t="s">
        <v>1970</v>
      </c>
      <c r="B1092" s="363" t="s">
        <v>1125</v>
      </c>
      <c r="C1092" s="363" t="s">
        <v>1704</v>
      </c>
      <c r="D1092" s="378"/>
      <c r="E1092" s="391"/>
      <c r="F1092" s="391"/>
    </row>
    <row r="1093" spans="1:6">
      <c r="A1093" s="366" t="s">
        <v>1972</v>
      </c>
      <c r="B1093" s="366" t="s">
        <v>3528</v>
      </c>
      <c r="C1093" s="367" t="s">
        <v>1124</v>
      </c>
      <c r="D1093" s="379"/>
      <c r="E1093" s="394"/>
      <c r="F1093" s="394"/>
    </row>
    <row r="1094" spans="1:6">
      <c r="A1094" s="377" t="s">
        <v>1970</v>
      </c>
      <c r="B1094" s="363" t="s">
        <v>1127</v>
      </c>
      <c r="C1094" s="363" t="s">
        <v>1705</v>
      </c>
      <c r="D1094" s="378"/>
      <c r="E1094" s="391"/>
      <c r="F1094" s="391"/>
    </row>
    <row r="1095" spans="1:6">
      <c r="A1095" s="366" t="s">
        <v>1972</v>
      </c>
      <c r="B1095" s="366" t="s">
        <v>3529</v>
      </c>
      <c r="C1095" s="367" t="s">
        <v>1126</v>
      </c>
      <c r="D1095" s="379"/>
      <c r="E1095" s="394"/>
      <c r="F1095" s="394"/>
    </row>
    <row r="1096" spans="1:6">
      <c r="A1096" s="377" t="s">
        <v>1970</v>
      </c>
      <c r="B1096" s="363" t="s">
        <v>1129</v>
      </c>
      <c r="C1096" s="363" t="s">
        <v>3530</v>
      </c>
      <c r="D1096" s="378"/>
      <c r="E1096" s="391"/>
      <c r="F1096" s="391"/>
    </row>
    <row r="1097" spans="1:6">
      <c r="A1097" s="366" t="s">
        <v>1972</v>
      </c>
      <c r="B1097" s="366" t="s">
        <v>3531</v>
      </c>
      <c r="C1097" s="367" t="s">
        <v>1128</v>
      </c>
      <c r="D1097" s="379"/>
      <c r="E1097" s="394"/>
      <c r="F1097" s="394"/>
    </row>
    <row r="1098" spans="1:6" ht="25.5">
      <c r="A1098" s="377" t="s">
        <v>1970</v>
      </c>
      <c r="B1098" s="363" t="s">
        <v>1131</v>
      </c>
      <c r="C1098" s="363" t="s">
        <v>1707</v>
      </c>
      <c r="D1098" s="378"/>
      <c r="E1098" s="391"/>
      <c r="F1098" s="391"/>
    </row>
    <row r="1099" spans="1:6">
      <c r="A1099" s="366" t="s">
        <v>1972</v>
      </c>
      <c r="B1099" s="366" t="s">
        <v>3532</v>
      </c>
      <c r="C1099" s="367" t="s">
        <v>1130</v>
      </c>
      <c r="D1099" s="379"/>
      <c r="E1099" s="394">
        <v>262347.95</v>
      </c>
      <c r="F1099" s="394">
        <v>202941.89</v>
      </c>
    </row>
    <row r="1100" spans="1:6">
      <c r="A1100" s="377" t="s">
        <v>1970</v>
      </c>
      <c r="B1100" s="363" t="s">
        <v>1132</v>
      </c>
      <c r="C1100" s="363" t="s">
        <v>1708</v>
      </c>
      <c r="D1100" s="378"/>
      <c r="E1100" s="391"/>
      <c r="F1100" s="391"/>
    </row>
    <row r="1101" spans="1:6">
      <c r="A1101" s="366" t="s">
        <v>1972</v>
      </c>
      <c r="B1101" s="366" t="s">
        <v>3533</v>
      </c>
      <c r="C1101" s="367" t="s">
        <v>1112</v>
      </c>
      <c r="D1101" s="379"/>
      <c r="E1101" s="394">
        <v>459252.24</v>
      </c>
      <c r="F1101" s="394">
        <v>1110407.5900000001</v>
      </c>
    </row>
    <row r="1102" spans="1:6">
      <c r="A1102" s="377">
        <v>2</v>
      </c>
      <c r="B1102" s="363" t="s">
        <v>3534</v>
      </c>
      <c r="C1102" s="363" t="s">
        <v>3535</v>
      </c>
      <c r="D1102" s="378"/>
      <c r="E1102" s="391"/>
      <c r="F1102" s="391"/>
    </row>
    <row r="1103" spans="1:6">
      <c r="A1103" s="377" t="s">
        <v>1966</v>
      </c>
      <c r="B1103" s="363" t="s">
        <v>1133</v>
      </c>
      <c r="C1103" s="363" t="s">
        <v>3548</v>
      </c>
      <c r="D1103" s="378"/>
      <c r="E1103" s="391"/>
      <c r="F1103" s="391"/>
    </row>
    <row r="1104" spans="1:6">
      <c r="A1104" s="377" t="s">
        <v>1968</v>
      </c>
      <c r="B1104" s="363" t="s">
        <v>1135</v>
      </c>
      <c r="C1104" s="363" t="s">
        <v>1723</v>
      </c>
      <c r="D1104" s="378"/>
      <c r="E1104" s="391"/>
      <c r="F1104" s="391"/>
    </row>
    <row r="1105" spans="1:6">
      <c r="A1105" s="366" t="s">
        <v>1970</v>
      </c>
      <c r="B1105" s="366" t="s">
        <v>3549</v>
      </c>
      <c r="C1105" s="367" t="s">
        <v>1134</v>
      </c>
      <c r="D1105" s="379"/>
      <c r="E1105" s="394"/>
      <c r="F1105" s="394"/>
    </row>
    <row r="1106" spans="1:6">
      <c r="A1106" s="377" t="s">
        <v>1968</v>
      </c>
      <c r="B1106" s="363" t="s">
        <v>1137</v>
      </c>
      <c r="C1106" s="363" t="s">
        <v>1724</v>
      </c>
      <c r="D1106" s="378"/>
      <c r="E1106" s="391"/>
      <c r="F1106" s="391"/>
    </row>
    <row r="1107" spans="1:6">
      <c r="A1107" s="366" t="s">
        <v>1970</v>
      </c>
      <c r="B1107" s="366" t="s">
        <v>3550</v>
      </c>
      <c r="C1107" s="367" t="s">
        <v>1136</v>
      </c>
      <c r="D1107" s="379"/>
      <c r="E1107" s="394"/>
      <c r="F1107" s="394"/>
    </row>
    <row r="1108" spans="1:6">
      <c r="A1108" s="377" t="s">
        <v>1968</v>
      </c>
      <c r="B1108" s="363" t="s">
        <v>1139</v>
      </c>
      <c r="C1108" s="363" t="s">
        <v>1725</v>
      </c>
      <c r="D1108" s="378"/>
      <c r="E1108" s="391"/>
      <c r="F1108" s="391"/>
    </row>
    <row r="1109" spans="1:6">
      <c r="A1109" s="366">
        <v>5</v>
      </c>
      <c r="B1109" s="366" t="s">
        <v>3551</v>
      </c>
      <c r="C1109" s="367" t="s">
        <v>3552</v>
      </c>
      <c r="D1109" s="379"/>
      <c r="E1109" s="394">
        <v>50791.89</v>
      </c>
      <c r="F1109" s="394">
        <v>27496.43</v>
      </c>
    </row>
    <row r="1110" spans="1:6">
      <c r="A1110" s="366">
        <v>5</v>
      </c>
      <c r="B1110" s="366" t="s">
        <v>3553</v>
      </c>
      <c r="C1110" s="367" t="s">
        <v>1138</v>
      </c>
      <c r="D1110" s="379"/>
      <c r="E1110" s="394">
        <v>111644.44</v>
      </c>
      <c r="F1110" s="394"/>
    </row>
    <row r="1111" spans="1:6">
      <c r="A1111" s="377" t="s">
        <v>1966</v>
      </c>
      <c r="B1111" s="363" t="s">
        <v>1726</v>
      </c>
      <c r="C1111" s="363" t="s">
        <v>1727</v>
      </c>
      <c r="D1111" s="378"/>
      <c r="E1111" s="391"/>
      <c r="F1111" s="391"/>
    </row>
    <row r="1112" spans="1:6">
      <c r="A1112" s="377" t="s">
        <v>1968</v>
      </c>
      <c r="B1112" s="363" t="s">
        <v>1141</v>
      </c>
      <c r="C1112" s="363" t="s">
        <v>1728</v>
      </c>
      <c r="D1112" s="378"/>
      <c r="E1112" s="391"/>
      <c r="F1112" s="391"/>
    </row>
    <row r="1113" spans="1:6">
      <c r="A1113" s="366" t="s">
        <v>1970</v>
      </c>
      <c r="B1113" s="366" t="s">
        <v>3554</v>
      </c>
      <c r="C1113" s="367" t="s">
        <v>1140</v>
      </c>
      <c r="D1113" s="379"/>
      <c r="E1113" s="394"/>
      <c r="F1113" s="394"/>
    </row>
    <row r="1114" spans="1:6">
      <c r="A1114" s="377" t="s">
        <v>1968</v>
      </c>
      <c r="B1114" s="363" t="s">
        <v>1143</v>
      </c>
      <c r="C1114" s="363" t="s">
        <v>1729</v>
      </c>
      <c r="D1114" s="378"/>
      <c r="E1114" s="391"/>
      <c r="F1114" s="391"/>
    </row>
    <row r="1115" spans="1:6">
      <c r="A1115" s="366" t="s">
        <v>1970</v>
      </c>
      <c r="B1115" s="366" t="s">
        <v>3555</v>
      </c>
      <c r="C1115" s="367" t="s">
        <v>1142</v>
      </c>
      <c r="D1115" s="379"/>
      <c r="E1115" s="394"/>
      <c r="F1115" s="394"/>
    </row>
    <row r="1116" spans="1:6">
      <c r="A1116" s="377">
        <v>2</v>
      </c>
      <c r="B1116" s="363" t="s">
        <v>3556</v>
      </c>
      <c r="C1116" s="363" t="s">
        <v>3557</v>
      </c>
      <c r="D1116" s="363"/>
      <c r="E1116" s="399"/>
      <c r="F1116" s="399"/>
    </row>
    <row r="1117" spans="1:6">
      <c r="A1117" s="377" t="s">
        <v>1966</v>
      </c>
      <c r="B1117" s="363" t="s">
        <v>1145</v>
      </c>
      <c r="C1117" s="363" t="s">
        <v>3560</v>
      </c>
      <c r="D1117" s="363"/>
      <c r="E1117" s="399"/>
      <c r="F1117" s="399"/>
    </row>
    <row r="1118" spans="1:6">
      <c r="A1118" s="366" t="s">
        <v>1968</v>
      </c>
      <c r="B1118" s="366" t="s">
        <v>3561</v>
      </c>
      <c r="C1118" s="367" t="s">
        <v>1144</v>
      </c>
      <c r="D1118" s="379"/>
      <c r="E1118" s="394"/>
      <c r="F1118" s="394"/>
    </row>
    <row r="1119" spans="1:6">
      <c r="A1119" s="362" t="s">
        <v>1963</v>
      </c>
      <c r="B1119" s="363" t="s">
        <v>3562</v>
      </c>
      <c r="C1119" s="362" t="s">
        <v>3563</v>
      </c>
      <c r="D1119" s="364"/>
      <c r="E1119" s="392"/>
      <c r="F1119" s="392"/>
    </row>
    <row r="1120" spans="1:6">
      <c r="A1120" s="377" t="s">
        <v>1966</v>
      </c>
      <c r="B1120" s="363" t="s">
        <v>1146</v>
      </c>
      <c r="C1120" s="363" t="s">
        <v>1766</v>
      </c>
      <c r="D1120" s="378"/>
      <c r="E1120" s="391"/>
      <c r="F1120" s="391"/>
    </row>
    <row r="1121" spans="1:6">
      <c r="A1121" s="377" t="s">
        <v>1968</v>
      </c>
      <c r="B1121" s="363" t="s">
        <v>1148</v>
      </c>
      <c r="C1121" s="363" t="s">
        <v>1767</v>
      </c>
      <c r="D1121" s="378"/>
      <c r="E1121" s="391"/>
      <c r="F1121" s="391"/>
    </row>
    <row r="1122" spans="1:6">
      <c r="A1122" s="366" t="s">
        <v>1970</v>
      </c>
      <c r="B1122" s="366" t="s">
        <v>3585</v>
      </c>
      <c r="C1122" s="367" t="s">
        <v>1147</v>
      </c>
      <c r="D1122" s="379"/>
      <c r="E1122" s="394"/>
      <c r="F1122" s="394">
        <v>14247.17</v>
      </c>
    </row>
    <row r="1123" spans="1:6">
      <c r="A1123" s="377" t="s">
        <v>1968</v>
      </c>
      <c r="B1123" s="363" t="s">
        <v>1150</v>
      </c>
      <c r="C1123" s="363" t="s">
        <v>1768</v>
      </c>
      <c r="D1123" s="378"/>
      <c r="E1123" s="391"/>
      <c r="F1123" s="391"/>
    </row>
    <row r="1124" spans="1:6">
      <c r="A1124" s="377" t="s">
        <v>1970</v>
      </c>
      <c r="B1124" s="363" t="s">
        <v>1152</v>
      </c>
      <c r="C1124" s="363" t="s">
        <v>1769</v>
      </c>
      <c r="D1124" s="378"/>
      <c r="E1124" s="391"/>
      <c r="F1124" s="391"/>
    </row>
    <row r="1125" spans="1:6">
      <c r="A1125" s="366" t="s">
        <v>1972</v>
      </c>
      <c r="B1125" s="366" t="s">
        <v>3586</v>
      </c>
      <c r="C1125" s="367" t="s">
        <v>1151</v>
      </c>
      <c r="D1125" s="379"/>
      <c r="E1125" s="394"/>
      <c r="F1125" s="394"/>
    </row>
    <row r="1126" spans="1:6">
      <c r="A1126" s="377" t="s">
        <v>1970</v>
      </c>
      <c r="B1126" s="363" t="s">
        <v>1154</v>
      </c>
      <c r="C1126" s="363" t="s">
        <v>1770</v>
      </c>
      <c r="D1126" s="378"/>
      <c r="E1126" s="391"/>
      <c r="F1126" s="391"/>
    </row>
    <row r="1127" spans="1:6">
      <c r="A1127" s="366" t="s">
        <v>1972</v>
      </c>
      <c r="B1127" s="366" t="s">
        <v>3587</v>
      </c>
      <c r="C1127" s="367" t="s">
        <v>1153</v>
      </c>
      <c r="D1127" s="379"/>
      <c r="E1127" s="394"/>
      <c r="F1127" s="394"/>
    </row>
    <row r="1128" spans="1:6">
      <c r="A1128" s="377" t="s">
        <v>1970</v>
      </c>
      <c r="B1128" s="363" t="s">
        <v>1155</v>
      </c>
      <c r="C1128" s="363" t="s">
        <v>1771</v>
      </c>
      <c r="D1128" s="378"/>
      <c r="E1128" s="391"/>
      <c r="F1128" s="391"/>
    </row>
    <row r="1129" spans="1:6" ht="25.5">
      <c r="A1129" s="377" t="s">
        <v>1972</v>
      </c>
      <c r="B1129" s="363" t="s">
        <v>1156</v>
      </c>
      <c r="C1129" s="363" t="s">
        <v>1772</v>
      </c>
      <c r="D1129" s="378" t="s">
        <v>1248</v>
      </c>
      <c r="E1129" s="391"/>
      <c r="F1129" s="391"/>
    </row>
    <row r="1130" spans="1:6" ht="25.5">
      <c r="A1130" s="377" t="s">
        <v>1975</v>
      </c>
      <c r="B1130" s="363" t="s">
        <v>1158</v>
      </c>
      <c r="C1130" s="363" t="s">
        <v>1773</v>
      </c>
      <c r="D1130" s="378" t="s">
        <v>1248</v>
      </c>
      <c r="E1130" s="391"/>
      <c r="F1130" s="391"/>
    </row>
    <row r="1131" spans="1:6" ht="24">
      <c r="A1131" s="366" t="s">
        <v>2091</v>
      </c>
      <c r="B1131" s="366" t="s">
        <v>3588</v>
      </c>
      <c r="C1131" s="367" t="s">
        <v>1157</v>
      </c>
      <c r="D1131" s="379" t="s">
        <v>1248</v>
      </c>
      <c r="E1131" s="394"/>
      <c r="F1131" s="394"/>
    </row>
    <row r="1132" spans="1:6" ht="25.5">
      <c r="A1132" s="377" t="s">
        <v>1975</v>
      </c>
      <c r="B1132" s="363" t="s">
        <v>1160</v>
      </c>
      <c r="C1132" s="363" t="s">
        <v>1774</v>
      </c>
      <c r="D1132" s="378" t="s">
        <v>1248</v>
      </c>
      <c r="E1132" s="391"/>
      <c r="F1132" s="391"/>
    </row>
    <row r="1133" spans="1:6" ht="24">
      <c r="A1133" s="366" t="s">
        <v>2091</v>
      </c>
      <c r="B1133" s="366" t="s">
        <v>3589</v>
      </c>
      <c r="C1133" s="367" t="s">
        <v>1159</v>
      </c>
      <c r="D1133" s="379" t="s">
        <v>1248</v>
      </c>
      <c r="E1133" s="394">
        <v>73800.2</v>
      </c>
      <c r="F1133" s="394">
        <v>7198.23</v>
      </c>
    </row>
    <row r="1134" spans="1:6">
      <c r="A1134" s="377" t="s">
        <v>1972</v>
      </c>
      <c r="B1134" s="363" t="s">
        <v>1161</v>
      </c>
      <c r="C1134" s="363" t="s">
        <v>1775</v>
      </c>
      <c r="D1134" s="378"/>
      <c r="E1134" s="391"/>
      <c r="F1134" s="391"/>
    </row>
    <row r="1135" spans="1:6" ht="25.5">
      <c r="A1135" s="377" t="s">
        <v>1975</v>
      </c>
      <c r="B1135" s="363" t="s">
        <v>1163</v>
      </c>
      <c r="C1135" s="363" t="s">
        <v>1776</v>
      </c>
      <c r="D1135" s="378"/>
      <c r="E1135" s="391"/>
      <c r="F1135" s="391"/>
    </row>
    <row r="1136" spans="1:6" ht="24">
      <c r="A1136" s="366" t="s">
        <v>2091</v>
      </c>
      <c r="B1136" s="366" t="s">
        <v>3590</v>
      </c>
      <c r="C1136" s="367" t="s">
        <v>1162</v>
      </c>
      <c r="D1136" s="379"/>
      <c r="E1136" s="394">
        <v>15089.96</v>
      </c>
      <c r="F1136" s="394">
        <v>12339.49</v>
      </c>
    </row>
    <row r="1137" spans="1:6" ht="25.5">
      <c r="A1137" s="377" t="s">
        <v>1975</v>
      </c>
      <c r="B1137" s="363" t="s">
        <v>1164</v>
      </c>
      <c r="C1137" s="363" t="s">
        <v>1777</v>
      </c>
      <c r="D1137" s="378"/>
      <c r="E1137" s="391"/>
      <c r="F1137" s="391"/>
    </row>
    <row r="1138" spans="1:6" ht="25.5">
      <c r="A1138" s="377" t="s">
        <v>2091</v>
      </c>
      <c r="B1138" s="363" t="s">
        <v>1166</v>
      </c>
      <c r="C1138" s="363" t="s">
        <v>1778</v>
      </c>
      <c r="D1138" s="378"/>
      <c r="E1138" s="391"/>
      <c r="F1138" s="391"/>
    </row>
    <row r="1139" spans="1:6" ht="24">
      <c r="A1139" s="366" t="s">
        <v>3591</v>
      </c>
      <c r="B1139" s="366" t="s">
        <v>3592</v>
      </c>
      <c r="C1139" s="367" t="s">
        <v>1165</v>
      </c>
      <c r="D1139" s="379"/>
      <c r="E1139" s="394">
        <v>22253.65</v>
      </c>
      <c r="F1139" s="394">
        <v>61560.99</v>
      </c>
    </row>
    <row r="1140" spans="1:6" ht="25.5">
      <c r="A1140" s="377" t="s">
        <v>2091</v>
      </c>
      <c r="B1140" s="363" t="s">
        <v>1168</v>
      </c>
      <c r="C1140" s="363" t="s">
        <v>1779</v>
      </c>
      <c r="D1140" s="378"/>
      <c r="E1140" s="391"/>
      <c r="F1140" s="391"/>
    </row>
    <row r="1141" spans="1:6" ht="24">
      <c r="A1141" s="366" t="s">
        <v>3591</v>
      </c>
      <c r="B1141" s="366" t="s">
        <v>3593</v>
      </c>
      <c r="C1141" s="367" t="s">
        <v>1167</v>
      </c>
      <c r="D1141" s="379"/>
      <c r="E1141" s="394">
        <v>297.62</v>
      </c>
      <c r="F1141" s="394">
        <v>1042.0999999999999</v>
      </c>
    </row>
    <row r="1142" spans="1:6" ht="25.5">
      <c r="A1142" s="377" t="s">
        <v>2091</v>
      </c>
      <c r="B1142" s="363" t="s">
        <v>1170</v>
      </c>
      <c r="C1142" s="363" t="s">
        <v>1780</v>
      </c>
      <c r="D1142" s="378"/>
      <c r="E1142" s="391"/>
      <c r="F1142" s="391"/>
    </row>
    <row r="1143" spans="1:6">
      <c r="A1143" s="366" t="s">
        <v>3591</v>
      </c>
      <c r="B1143" s="366" t="s">
        <v>3594</v>
      </c>
      <c r="C1143" s="367" t="s">
        <v>1169</v>
      </c>
      <c r="D1143" s="379"/>
      <c r="E1143" s="394">
        <v>595911.24</v>
      </c>
      <c r="F1143" s="394">
        <v>58086.74</v>
      </c>
    </row>
    <row r="1144" spans="1:6" ht="25.5">
      <c r="A1144" s="377" t="s">
        <v>1975</v>
      </c>
      <c r="B1144" s="363" t="s">
        <v>1172</v>
      </c>
      <c r="C1144" s="363" t="s">
        <v>1781</v>
      </c>
      <c r="D1144" s="378"/>
      <c r="E1144" s="391"/>
      <c r="F1144" s="391"/>
    </row>
    <row r="1145" spans="1:6" ht="24">
      <c r="A1145" s="366" t="s">
        <v>2091</v>
      </c>
      <c r="B1145" s="366" t="s">
        <v>3595</v>
      </c>
      <c r="C1145" s="367" t="s">
        <v>1171</v>
      </c>
      <c r="D1145" s="379"/>
      <c r="E1145" s="394">
        <v>274.37</v>
      </c>
      <c r="F1145" s="394">
        <v>1045418.81</v>
      </c>
    </row>
    <row r="1146" spans="1:6" ht="25.5">
      <c r="A1146" s="377" t="s">
        <v>1975</v>
      </c>
      <c r="B1146" s="363" t="s">
        <v>1174</v>
      </c>
      <c r="C1146" s="363" t="s">
        <v>1782</v>
      </c>
      <c r="D1146" s="378"/>
      <c r="E1146" s="391"/>
      <c r="F1146" s="391"/>
    </row>
    <row r="1147" spans="1:6" ht="24">
      <c r="A1147" s="366" t="s">
        <v>2091</v>
      </c>
      <c r="B1147" s="366" t="s">
        <v>3596</v>
      </c>
      <c r="C1147" s="367" t="s">
        <v>1173</v>
      </c>
      <c r="D1147" s="379"/>
      <c r="E1147" s="394">
        <v>164.15</v>
      </c>
      <c r="F1147" s="394">
        <v>282.39</v>
      </c>
    </row>
    <row r="1148" spans="1:6" ht="25.5">
      <c r="A1148" s="377" t="s">
        <v>1975</v>
      </c>
      <c r="B1148" s="363" t="s">
        <v>1176</v>
      </c>
      <c r="C1148" s="363" t="s">
        <v>1783</v>
      </c>
      <c r="D1148" s="378"/>
      <c r="E1148" s="391"/>
      <c r="F1148" s="391"/>
    </row>
    <row r="1149" spans="1:6" ht="24">
      <c r="A1149" s="366" t="s">
        <v>2091</v>
      </c>
      <c r="B1149" s="366" t="s">
        <v>3597</v>
      </c>
      <c r="C1149" s="367" t="s">
        <v>1175</v>
      </c>
      <c r="D1149" s="379"/>
      <c r="E1149" s="394"/>
      <c r="F1149" s="394"/>
    </row>
    <row r="1150" spans="1:6" ht="25.5">
      <c r="A1150" s="377" t="s">
        <v>1975</v>
      </c>
      <c r="B1150" s="363" t="s">
        <v>1178</v>
      </c>
      <c r="C1150" s="363" t="s">
        <v>1784</v>
      </c>
      <c r="D1150" s="378"/>
      <c r="E1150" s="391"/>
      <c r="F1150" s="391"/>
    </row>
    <row r="1151" spans="1:6" ht="24">
      <c r="A1151" s="366" t="s">
        <v>2091</v>
      </c>
      <c r="B1151" s="366" t="s">
        <v>3598</v>
      </c>
      <c r="C1151" s="367" t="s">
        <v>1177</v>
      </c>
      <c r="D1151" s="379"/>
      <c r="E1151" s="394">
        <v>705600.07</v>
      </c>
      <c r="F1151" s="394">
        <v>1280542.26</v>
      </c>
    </row>
    <row r="1152" spans="1:6">
      <c r="A1152" s="377" t="s">
        <v>1975</v>
      </c>
      <c r="B1152" s="363" t="s">
        <v>1180</v>
      </c>
      <c r="C1152" s="363" t="s">
        <v>1785</v>
      </c>
      <c r="D1152" s="378"/>
      <c r="E1152" s="391"/>
      <c r="F1152" s="391"/>
    </row>
    <row r="1153" spans="1:6">
      <c r="A1153" s="366" t="s">
        <v>2091</v>
      </c>
      <c r="B1153" s="366" t="s">
        <v>3599</v>
      </c>
      <c r="C1153" s="367" t="s">
        <v>1179</v>
      </c>
      <c r="D1153" s="379"/>
      <c r="E1153" s="394">
        <v>247806.12</v>
      </c>
      <c r="F1153" s="394">
        <v>183044.6</v>
      </c>
    </row>
    <row r="1154" spans="1:6">
      <c r="A1154" s="377" t="s">
        <v>1970</v>
      </c>
      <c r="B1154" s="363" t="s">
        <v>1181</v>
      </c>
      <c r="C1154" s="363" t="s">
        <v>1786</v>
      </c>
      <c r="D1154" s="378"/>
      <c r="E1154" s="391"/>
      <c r="F1154" s="391"/>
    </row>
    <row r="1155" spans="1:6">
      <c r="A1155" s="377" t="s">
        <v>1972</v>
      </c>
      <c r="B1155" s="363" t="s">
        <v>1183</v>
      </c>
      <c r="C1155" s="363" t="s">
        <v>1787</v>
      </c>
      <c r="D1155" s="378"/>
      <c r="E1155" s="391"/>
      <c r="F1155" s="391"/>
    </row>
    <row r="1156" spans="1:6">
      <c r="A1156" s="366" t="s">
        <v>1975</v>
      </c>
      <c r="B1156" s="366" t="s">
        <v>3600</v>
      </c>
      <c r="C1156" s="367" t="s">
        <v>1182</v>
      </c>
      <c r="D1156" s="379"/>
      <c r="E1156" s="394"/>
      <c r="F1156" s="394"/>
    </row>
    <row r="1157" spans="1:6" ht="25.5">
      <c r="A1157" s="377" t="s">
        <v>1972</v>
      </c>
      <c r="B1157" s="363" t="s">
        <v>1185</v>
      </c>
      <c r="C1157" s="363" t="s">
        <v>1788</v>
      </c>
      <c r="D1157" s="378" t="s">
        <v>1248</v>
      </c>
      <c r="E1157" s="391"/>
      <c r="F1157" s="391"/>
    </row>
    <row r="1158" spans="1:6" ht="24">
      <c r="A1158" s="366" t="s">
        <v>1975</v>
      </c>
      <c r="B1158" s="366" t="s">
        <v>3601</v>
      </c>
      <c r="C1158" s="367" t="s">
        <v>1184</v>
      </c>
      <c r="D1158" s="379" t="s">
        <v>1248</v>
      </c>
      <c r="E1158" s="394"/>
      <c r="F1158" s="394">
        <v>1091.6199999999999</v>
      </c>
    </row>
    <row r="1159" spans="1:6">
      <c r="A1159" s="377" t="s">
        <v>1972</v>
      </c>
      <c r="B1159" s="363" t="s">
        <v>1186</v>
      </c>
      <c r="C1159" s="363" t="s">
        <v>1789</v>
      </c>
      <c r="D1159" s="378"/>
      <c r="E1159" s="391"/>
      <c r="F1159" s="391"/>
    </row>
    <row r="1160" spans="1:6" ht="25.5">
      <c r="A1160" s="377" t="s">
        <v>1975</v>
      </c>
      <c r="B1160" s="363" t="s">
        <v>1188</v>
      </c>
      <c r="C1160" s="363" t="s">
        <v>1790</v>
      </c>
      <c r="D1160" s="378"/>
      <c r="E1160" s="391"/>
      <c r="F1160" s="391"/>
    </row>
    <row r="1161" spans="1:6" ht="24">
      <c r="A1161" s="366" t="s">
        <v>2091</v>
      </c>
      <c r="B1161" s="366" t="s">
        <v>3602</v>
      </c>
      <c r="C1161" s="367" t="s">
        <v>1187</v>
      </c>
      <c r="D1161" s="379"/>
      <c r="E1161" s="394">
        <v>207.76</v>
      </c>
      <c r="F1161" s="394">
        <v>2219.6999999999998</v>
      </c>
    </row>
    <row r="1162" spans="1:6" ht="25.5">
      <c r="A1162" s="377" t="s">
        <v>1975</v>
      </c>
      <c r="B1162" s="363" t="s">
        <v>1190</v>
      </c>
      <c r="C1162" s="363" t="s">
        <v>1791</v>
      </c>
      <c r="D1162" s="378"/>
      <c r="E1162" s="391"/>
      <c r="F1162" s="391"/>
    </row>
    <row r="1163" spans="1:6">
      <c r="A1163" s="366" t="s">
        <v>2091</v>
      </c>
      <c r="B1163" s="366" t="s">
        <v>3603</v>
      </c>
      <c r="C1163" s="367" t="s">
        <v>1189</v>
      </c>
      <c r="D1163" s="379"/>
      <c r="E1163" s="394"/>
      <c r="F1163" s="394">
        <v>226.87</v>
      </c>
    </row>
    <row r="1164" spans="1:6" ht="25.5">
      <c r="A1164" s="377" t="s">
        <v>1975</v>
      </c>
      <c r="B1164" s="363" t="s">
        <v>1192</v>
      </c>
      <c r="C1164" s="363" t="s">
        <v>1792</v>
      </c>
      <c r="D1164" s="378"/>
      <c r="E1164" s="391"/>
      <c r="F1164" s="391"/>
    </row>
    <row r="1165" spans="1:6" ht="24">
      <c r="A1165" s="366" t="s">
        <v>2091</v>
      </c>
      <c r="B1165" s="366" t="s">
        <v>3604</v>
      </c>
      <c r="C1165" s="367" t="s">
        <v>1191</v>
      </c>
      <c r="D1165" s="379"/>
      <c r="E1165" s="394"/>
      <c r="F1165" s="394">
        <v>115.86</v>
      </c>
    </row>
    <row r="1166" spans="1:6" ht="25.5">
      <c r="A1166" s="377" t="s">
        <v>1975</v>
      </c>
      <c r="B1166" s="363" t="s">
        <v>1194</v>
      </c>
      <c r="C1166" s="363" t="s">
        <v>1793</v>
      </c>
      <c r="D1166" s="378"/>
      <c r="E1166" s="391"/>
      <c r="F1166" s="391"/>
    </row>
    <row r="1167" spans="1:6" ht="24">
      <c r="A1167" s="366" t="s">
        <v>2091</v>
      </c>
      <c r="B1167" s="366" t="s">
        <v>3605</v>
      </c>
      <c r="C1167" s="367" t="s">
        <v>1193</v>
      </c>
      <c r="D1167" s="379"/>
      <c r="E1167" s="394"/>
      <c r="F1167" s="394"/>
    </row>
    <row r="1168" spans="1:6" ht="25.5">
      <c r="A1168" s="377" t="s">
        <v>1975</v>
      </c>
      <c r="B1168" s="363" t="s">
        <v>1196</v>
      </c>
      <c r="C1168" s="363" t="s">
        <v>1794</v>
      </c>
      <c r="D1168" s="378"/>
      <c r="E1168" s="391"/>
      <c r="F1168" s="391"/>
    </row>
    <row r="1169" spans="1:6" ht="24">
      <c r="A1169" s="366" t="s">
        <v>2091</v>
      </c>
      <c r="B1169" s="366" t="s">
        <v>3606</v>
      </c>
      <c r="C1169" s="367" t="s">
        <v>1195</v>
      </c>
      <c r="D1169" s="379"/>
      <c r="E1169" s="394"/>
      <c r="F1169" s="394">
        <v>969089.76</v>
      </c>
    </row>
    <row r="1170" spans="1:6" ht="25.5">
      <c r="A1170" s="377" t="s">
        <v>1975</v>
      </c>
      <c r="B1170" s="363" t="s">
        <v>1198</v>
      </c>
      <c r="C1170" s="363" t="s">
        <v>1795</v>
      </c>
      <c r="D1170" s="378"/>
      <c r="E1170" s="391"/>
      <c r="F1170" s="391"/>
    </row>
    <row r="1171" spans="1:6" ht="24">
      <c r="A1171" s="366" t="s">
        <v>2091</v>
      </c>
      <c r="B1171" s="366" t="s">
        <v>3607</v>
      </c>
      <c r="C1171" s="367" t="s">
        <v>1197</v>
      </c>
      <c r="D1171" s="379"/>
      <c r="E1171" s="394">
        <v>257.27999999999997</v>
      </c>
      <c r="F1171" s="394">
        <v>7009.05</v>
      </c>
    </row>
    <row r="1172" spans="1:6">
      <c r="A1172" s="377" t="s">
        <v>1975</v>
      </c>
      <c r="B1172" s="363" t="s">
        <v>1200</v>
      </c>
      <c r="C1172" s="363" t="s">
        <v>1796</v>
      </c>
      <c r="D1172" s="378"/>
      <c r="E1172" s="391"/>
      <c r="F1172" s="391"/>
    </row>
    <row r="1173" spans="1:6">
      <c r="A1173" s="366" t="s">
        <v>2091</v>
      </c>
      <c r="B1173" s="366" t="s">
        <v>3608</v>
      </c>
      <c r="C1173" s="367" t="s">
        <v>1199</v>
      </c>
      <c r="D1173" s="379"/>
      <c r="E1173" s="394">
        <v>878351.91</v>
      </c>
      <c r="F1173" s="394">
        <v>581074.06000000006</v>
      </c>
    </row>
    <row r="1174" spans="1:6">
      <c r="A1174" s="377" t="s">
        <v>1970</v>
      </c>
      <c r="B1174" s="363" t="s">
        <v>1201</v>
      </c>
      <c r="C1174" s="363" t="s">
        <v>1797</v>
      </c>
      <c r="D1174" s="378"/>
      <c r="E1174" s="391"/>
      <c r="F1174" s="391"/>
    </row>
    <row r="1175" spans="1:6">
      <c r="A1175" s="366" t="s">
        <v>1972</v>
      </c>
      <c r="B1175" s="366" t="s">
        <v>3609</v>
      </c>
      <c r="C1175" s="367" t="s">
        <v>1149</v>
      </c>
      <c r="D1175" s="379"/>
      <c r="E1175" s="394">
        <v>2513.71</v>
      </c>
      <c r="F1175" s="394">
        <v>2031.86</v>
      </c>
    </row>
    <row r="1176" spans="1:6">
      <c r="A1176" s="377" t="s">
        <v>1963</v>
      </c>
      <c r="B1176" s="363" t="s">
        <v>3610</v>
      </c>
      <c r="C1176" s="363" t="s">
        <v>3611</v>
      </c>
      <c r="D1176" s="378"/>
      <c r="E1176" s="391"/>
      <c r="F1176" s="391"/>
    </row>
    <row r="1177" spans="1:6">
      <c r="A1177" s="377" t="s">
        <v>1966</v>
      </c>
      <c r="B1177" s="363" t="s">
        <v>1202</v>
      </c>
      <c r="C1177" s="363" t="s">
        <v>1803</v>
      </c>
      <c r="D1177" s="378"/>
      <c r="E1177" s="391"/>
      <c r="F1177" s="391"/>
    </row>
    <row r="1178" spans="1:6">
      <c r="A1178" s="377" t="s">
        <v>1968</v>
      </c>
      <c r="B1178" s="363" t="s">
        <v>1204</v>
      </c>
      <c r="C1178" s="363" t="s">
        <v>1804</v>
      </c>
      <c r="D1178" s="378"/>
      <c r="E1178" s="391"/>
      <c r="F1178" s="391"/>
    </row>
    <row r="1179" spans="1:6">
      <c r="A1179" s="366" t="s">
        <v>1970</v>
      </c>
      <c r="B1179" s="366" t="s">
        <v>3612</v>
      </c>
      <c r="C1179" s="367" t="s">
        <v>1203</v>
      </c>
      <c r="D1179" s="379"/>
      <c r="E1179" s="394">
        <v>21768752.780000001</v>
      </c>
      <c r="F1179" s="394">
        <v>21454486.32</v>
      </c>
    </row>
    <row r="1180" spans="1:6" ht="25.5">
      <c r="A1180" s="377" t="s">
        <v>1968</v>
      </c>
      <c r="B1180" s="363" t="s">
        <v>1206</v>
      </c>
      <c r="C1180" s="363" t="s">
        <v>1805</v>
      </c>
      <c r="D1180" s="378"/>
      <c r="E1180" s="391"/>
      <c r="F1180" s="391"/>
    </row>
    <row r="1181" spans="1:6" ht="24">
      <c r="A1181" s="366" t="s">
        <v>1970</v>
      </c>
      <c r="B1181" s="366" t="s">
        <v>3613</v>
      </c>
      <c r="C1181" s="367" t="s">
        <v>1205</v>
      </c>
      <c r="D1181" s="379"/>
      <c r="E1181" s="394">
        <v>187316.65</v>
      </c>
      <c r="F1181" s="394">
        <v>227085.82</v>
      </c>
    </row>
    <row r="1182" spans="1:6" ht="25.5">
      <c r="A1182" s="377" t="s">
        <v>1968</v>
      </c>
      <c r="B1182" s="363" t="s">
        <v>1208</v>
      </c>
      <c r="C1182" s="363" t="s">
        <v>1806</v>
      </c>
      <c r="D1182" s="378"/>
      <c r="E1182" s="391"/>
      <c r="F1182" s="391"/>
    </row>
    <row r="1183" spans="1:6">
      <c r="A1183" s="366" t="s">
        <v>1970</v>
      </c>
      <c r="B1183" s="366" t="s">
        <v>3614</v>
      </c>
      <c r="C1183" s="367" t="s">
        <v>1207</v>
      </c>
      <c r="D1183" s="379"/>
      <c r="E1183" s="394">
        <v>458079.39</v>
      </c>
      <c r="F1183" s="394">
        <v>402817.46</v>
      </c>
    </row>
    <row r="1184" spans="1:6">
      <c r="A1184" s="377" t="s">
        <v>1968</v>
      </c>
      <c r="B1184" s="363" t="s">
        <v>1210</v>
      </c>
      <c r="C1184" s="363" t="s">
        <v>1807</v>
      </c>
      <c r="D1184" s="378"/>
      <c r="E1184" s="391"/>
      <c r="F1184" s="391"/>
    </row>
    <row r="1185" spans="1:6">
      <c r="A1185" s="366" t="s">
        <v>1970</v>
      </c>
      <c r="B1185" s="366" t="s">
        <v>3615</v>
      </c>
      <c r="C1185" s="367" t="s">
        <v>1209</v>
      </c>
      <c r="D1185" s="379"/>
      <c r="E1185" s="394"/>
      <c r="F1185" s="394"/>
    </row>
    <row r="1186" spans="1:6">
      <c r="A1186" s="377" t="s">
        <v>1966</v>
      </c>
      <c r="B1186" s="363" t="s">
        <v>1211</v>
      </c>
      <c r="C1186" s="363" t="s">
        <v>1808</v>
      </c>
      <c r="D1186" s="378"/>
      <c r="E1186" s="391"/>
      <c r="F1186" s="391"/>
    </row>
    <row r="1187" spans="1:6">
      <c r="A1187" s="377" t="s">
        <v>1968</v>
      </c>
      <c r="B1187" s="363" t="s">
        <v>1213</v>
      </c>
      <c r="C1187" s="363" t="s">
        <v>1809</v>
      </c>
      <c r="D1187" s="378"/>
      <c r="E1187" s="391"/>
      <c r="F1187" s="391"/>
    </row>
    <row r="1188" spans="1:6">
      <c r="A1188" s="366" t="s">
        <v>1970</v>
      </c>
      <c r="B1188" s="366" t="s">
        <v>3616</v>
      </c>
      <c r="C1188" s="367" t="s">
        <v>1212</v>
      </c>
      <c r="D1188" s="379"/>
      <c r="E1188" s="394">
        <v>521210.83</v>
      </c>
      <c r="F1188" s="394">
        <v>591412</v>
      </c>
    </row>
    <row r="1189" spans="1:6">
      <c r="A1189" s="377" t="s">
        <v>1968</v>
      </c>
      <c r="B1189" s="363" t="s">
        <v>1215</v>
      </c>
      <c r="C1189" s="363" t="s">
        <v>1810</v>
      </c>
      <c r="D1189" s="378"/>
      <c r="E1189" s="391"/>
      <c r="F1189" s="391"/>
    </row>
    <row r="1190" spans="1:6">
      <c r="A1190" s="366" t="s">
        <v>1970</v>
      </c>
      <c r="B1190" s="366" t="s">
        <v>3617</v>
      </c>
      <c r="C1190" s="367" t="s">
        <v>1214</v>
      </c>
      <c r="D1190" s="379"/>
      <c r="E1190" s="394"/>
      <c r="F1190" s="394"/>
    </row>
    <row r="1191" spans="1:6" ht="25.5">
      <c r="A1191" s="377" t="s">
        <v>1966</v>
      </c>
      <c r="B1191" s="363" t="s">
        <v>1217</v>
      </c>
      <c r="C1191" s="363" t="s">
        <v>1811</v>
      </c>
      <c r="D1191" s="378"/>
      <c r="E1191" s="391"/>
      <c r="F1191" s="391"/>
    </row>
    <row r="1192" spans="1:6" ht="24">
      <c r="A1192" s="366" t="s">
        <v>1968</v>
      </c>
      <c r="B1192" s="366" t="s">
        <v>3618</v>
      </c>
      <c r="C1192" s="367" t="s">
        <v>1216</v>
      </c>
      <c r="D1192" s="379"/>
      <c r="E1192" s="394"/>
      <c r="F1192" s="394"/>
    </row>
    <row r="1193" spans="1:6" s="403" customFormat="1">
      <c r="A1193" s="366"/>
      <c r="B1193" s="366"/>
      <c r="C1193" s="367" t="s">
        <v>3619</v>
      </c>
      <c r="D1193" s="379"/>
      <c r="E1193" s="394">
        <f>SUM(E7:E1192)</f>
        <v>1002830562.4699999</v>
      </c>
      <c r="F1193" s="394">
        <f>SUM(F7:F1192)</f>
        <v>1024990584.5700005</v>
      </c>
    </row>
  </sheetData>
  <autoFilter ref="A1:F1193"/>
  <conditionalFormatting sqref="B669:B671">
    <cfRule type="duplicateValues" dxfId="189" priority="176"/>
  </conditionalFormatting>
  <conditionalFormatting sqref="B673:B675">
    <cfRule type="duplicateValues" dxfId="188" priority="177"/>
  </conditionalFormatting>
  <conditionalFormatting sqref="B684:B685">
    <cfRule type="duplicateValues" dxfId="187" priority="178"/>
  </conditionalFormatting>
  <conditionalFormatting sqref="B687:B689">
    <cfRule type="duplicateValues" dxfId="186" priority="179"/>
  </conditionalFormatting>
  <conditionalFormatting sqref="B683">
    <cfRule type="duplicateValues" dxfId="185" priority="180"/>
  </conditionalFormatting>
  <conditionalFormatting sqref="B698:B699">
    <cfRule type="duplicateValues" dxfId="184" priority="181"/>
  </conditionalFormatting>
  <conditionalFormatting sqref="B701:B703">
    <cfRule type="duplicateValues" dxfId="183" priority="182"/>
  </conditionalFormatting>
  <conditionalFormatting sqref="B697">
    <cfRule type="duplicateValues" dxfId="182" priority="183"/>
  </conditionalFormatting>
  <conditionalFormatting sqref="B676:B679 B690:B693 B704:B707 B681 B695">
    <cfRule type="duplicateValues" dxfId="181" priority="184"/>
  </conditionalFormatting>
  <conditionalFormatting sqref="B704:B707 B681 B690:B693 B695">
    <cfRule type="duplicateValues" dxfId="180" priority="185"/>
  </conditionalFormatting>
  <conditionalFormatting sqref="C676:C679">
    <cfRule type="duplicateValues" dxfId="179" priority="172"/>
  </conditionalFormatting>
  <conditionalFormatting sqref="C668">
    <cfRule type="duplicateValues" dxfId="178" priority="170"/>
  </conditionalFormatting>
  <conditionalFormatting sqref="C669">
    <cfRule type="duplicateValues" dxfId="177" priority="171"/>
  </conditionalFormatting>
  <conditionalFormatting sqref="C670">
    <cfRule type="duplicateValues" dxfId="176" priority="169"/>
  </conditionalFormatting>
  <conditionalFormatting sqref="C671">
    <cfRule type="duplicateValues" dxfId="175" priority="168"/>
  </conditionalFormatting>
  <conditionalFormatting sqref="C673">
    <cfRule type="duplicateValues" dxfId="174" priority="167"/>
  </conditionalFormatting>
  <conditionalFormatting sqref="C674">
    <cfRule type="duplicateValues" dxfId="173" priority="166"/>
  </conditionalFormatting>
  <conditionalFormatting sqref="C675">
    <cfRule type="duplicateValues" dxfId="172" priority="165"/>
  </conditionalFormatting>
  <conditionalFormatting sqref="C682">
    <cfRule type="duplicateValues" dxfId="171" priority="146"/>
  </conditionalFormatting>
  <conditionalFormatting sqref="C684">
    <cfRule type="duplicateValues" dxfId="170" priority="164"/>
  </conditionalFormatting>
  <conditionalFormatting sqref="C685">
    <cfRule type="duplicateValues" dxfId="169" priority="163"/>
  </conditionalFormatting>
  <conditionalFormatting sqref="C687">
    <cfRule type="duplicateValues" dxfId="168" priority="162"/>
  </conditionalFormatting>
  <conditionalFormatting sqref="C688">
    <cfRule type="duplicateValues" dxfId="167" priority="161"/>
  </conditionalFormatting>
  <conditionalFormatting sqref="C689">
    <cfRule type="duplicateValues" dxfId="166" priority="160"/>
  </conditionalFormatting>
  <conditionalFormatting sqref="C683">
    <cfRule type="duplicateValues" dxfId="165" priority="159"/>
  </conditionalFormatting>
  <conditionalFormatting sqref="C690:C693 C681">
    <cfRule type="duplicateValues" dxfId="164" priority="173"/>
  </conditionalFormatting>
  <conditionalFormatting sqref="C698">
    <cfRule type="duplicateValues" dxfId="163" priority="155"/>
  </conditionalFormatting>
  <conditionalFormatting sqref="C699">
    <cfRule type="duplicateValues" dxfId="162" priority="154"/>
  </conditionalFormatting>
  <conditionalFormatting sqref="C701">
    <cfRule type="duplicateValues" dxfId="161" priority="153"/>
  </conditionalFormatting>
  <conditionalFormatting sqref="C702">
    <cfRule type="duplicateValues" dxfId="160" priority="152"/>
  </conditionalFormatting>
  <conditionalFormatting sqref="C703">
    <cfRule type="duplicateValues" dxfId="159" priority="151"/>
  </conditionalFormatting>
  <conditionalFormatting sqref="C697">
    <cfRule type="duplicateValues" dxfId="158" priority="150"/>
  </conditionalFormatting>
  <conditionalFormatting sqref="C704:C707 C695">
    <cfRule type="duplicateValues" dxfId="157" priority="174"/>
  </conditionalFormatting>
  <conditionalFormatting sqref="C704:C707 C681 C690:C693 C695">
    <cfRule type="duplicateValues" dxfId="156" priority="175"/>
  </conditionalFormatting>
  <conditionalFormatting sqref="C672">
    <cfRule type="duplicateValues" dxfId="155" priority="148"/>
  </conditionalFormatting>
  <conditionalFormatting sqref="C680">
    <cfRule type="duplicateValues" dxfId="154" priority="147"/>
  </conditionalFormatting>
  <conditionalFormatting sqref="C686">
    <cfRule type="duplicateValues" dxfId="153" priority="145"/>
  </conditionalFormatting>
  <conditionalFormatting sqref="C694">
    <cfRule type="duplicateValues" dxfId="152" priority="144"/>
  </conditionalFormatting>
  <conditionalFormatting sqref="C696">
    <cfRule type="duplicateValues" dxfId="151" priority="143"/>
  </conditionalFormatting>
  <conditionalFormatting sqref="C700">
    <cfRule type="duplicateValues" dxfId="150" priority="142"/>
  </conditionalFormatting>
  <conditionalFormatting sqref="B743:B746">
    <cfRule type="duplicateValues" dxfId="149" priority="138"/>
  </conditionalFormatting>
  <conditionalFormatting sqref="B737:B738">
    <cfRule type="duplicateValues" dxfId="148" priority="139"/>
  </conditionalFormatting>
  <conditionalFormatting sqref="B740:B742">
    <cfRule type="duplicateValues" dxfId="147" priority="140"/>
  </conditionalFormatting>
  <conditionalFormatting sqref="B736">
    <cfRule type="duplicateValues" dxfId="146" priority="141"/>
  </conditionalFormatting>
  <conditionalFormatting sqref="C743:C746">
    <cfRule type="duplicateValues" dxfId="145" priority="137"/>
  </conditionalFormatting>
  <conditionalFormatting sqref="C737">
    <cfRule type="duplicateValues" dxfId="144" priority="136"/>
  </conditionalFormatting>
  <conditionalFormatting sqref="C738">
    <cfRule type="duplicateValues" dxfId="143" priority="135"/>
  </conditionalFormatting>
  <conditionalFormatting sqref="C740">
    <cfRule type="duplicateValues" dxfId="142" priority="134"/>
  </conditionalFormatting>
  <conditionalFormatting sqref="C741">
    <cfRule type="duplicateValues" dxfId="141" priority="133"/>
  </conditionalFormatting>
  <conditionalFormatting sqref="C742">
    <cfRule type="duplicateValues" dxfId="140" priority="132"/>
  </conditionalFormatting>
  <conditionalFormatting sqref="C736">
    <cfRule type="duplicateValues" dxfId="139" priority="131"/>
  </conditionalFormatting>
  <conditionalFormatting sqref="C735">
    <cfRule type="duplicateValues" dxfId="138" priority="130"/>
  </conditionalFormatting>
  <conditionalFormatting sqref="C739">
    <cfRule type="duplicateValues" dxfId="137" priority="129"/>
  </conditionalFormatting>
  <conditionalFormatting sqref="B757:B760">
    <cfRule type="duplicateValues" dxfId="136" priority="125"/>
  </conditionalFormatting>
  <conditionalFormatting sqref="B751:B752">
    <cfRule type="duplicateValues" dxfId="135" priority="126"/>
  </conditionalFormatting>
  <conditionalFormatting sqref="B754:B756">
    <cfRule type="duplicateValues" dxfId="134" priority="127"/>
  </conditionalFormatting>
  <conditionalFormatting sqref="B750">
    <cfRule type="duplicateValues" dxfId="133" priority="128"/>
  </conditionalFormatting>
  <conditionalFormatting sqref="C757:C760">
    <cfRule type="duplicateValues" dxfId="132" priority="124"/>
  </conditionalFormatting>
  <conditionalFormatting sqref="C751">
    <cfRule type="duplicateValues" dxfId="131" priority="123"/>
  </conditionalFormatting>
  <conditionalFormatting sqref="C752">
    <cfRule type="duplicateValues" dxfId="130" priority="122"/>
  </conditionalFormatting>
  <conditionalFormatting sqref="C754">
    <cfRule type="duplicateValues" dxfId="129" priority="121"/>
  </conditionalFormatting>
  <conditionalFormatting sqref="C755">
    <cfRule type="duplicateValues" dxfId="128" priority="120"/>
  </conditionalFormatting>
  <conditionalFormatting sqref="C756">
    <cfRule type="duplicateValues" dxfId="127" priority="119"/>
  </conditionalFormatting>
  <conditionalFormatting sqref="C750">
    <cfRule type="duplicateValues" dxfId="126" priority="118"/>
  </conditionalFormatting>
  <conditionalFormatting sqref="C749">
    <cfRule type="duplicateValues" dxfId="125" priority="117"/>
  </conditionalFormatting>
  <conditionalFormatting sqref="C753">
    <cfRule type="duplicateValues" dxfId="124" priority="116"/>
  </conditionalFormatting>
  <conditionalFormatting sqref="C776:C782">
    <cfRule type="duplicateValues" dxfId="123" priority="115"/>
  </conditionalFormatting>
  <conditionalFormatting sqref="B797:B800">
    <cfRule type="duplicateValues" dxfId="122" priority="107"/>
  </conditionalFormatting>
  <conditionalFormatting sqref="B791:B792">
    <cfRule type="duplicateValues" dxfId="121" priority="108"/>
  </conditionalFormatting>
  <conditionalFormatting sqref="B794:B796">
    <cfRule type="duplicateValues" dxfId="120" priority="109"/>
  </conditionalFormatting>
  <conditionalFormatting sqref="B790">
    <cfRule type="duplicateValues" dxfId="119" priority="110"/>
  </conditionalFormatting>
  <conditionalFormatting sqref="B805:B806">
    <cfRule type="duplicateValues" dxfId="118" priority="111"/>
  </conditionalFormatting>
  <conditionalFormatting sqref="B808:B810">
    <cfRule type="duplicateValues" dxfId="117" priority="112"/>
  </conditionalFormatting>
  <conditionalFormatting sqref="B804">
    <cfRule type="duplicateValues" dxfId="116" priority="113"/>
  </conditionalFormatting>
  <conditionalFormatting sqref="B811:B814 B802">
    <cfRule type="duplicateValues" dxfId="115" priority="114"/>
  </conditionalFormatting>
  <conditionalFormatting sqref="C797:C800">
    <cfRule type="duplicateValues" dxfId="114" priority="105"/>
  </conditionalFormatting>
  <conditionalFormatting sqref="C791">
    <cfRule type="duplicateValues" dxfId="113" priority="104"/>
  </conditionalFormatting>
  <conditionalFormatting sqref="C792">
    <cfRule type="duplicateValues" dxfId="112" priority="103"/>
  </conditionalFormatting>
  <conditionalFormatting sqref="C794">
    <cfRule type="duplicateValues" dxfId="111" priority="102"/>
  </conditionalFormatting>
  <conditionalFormatting sqref="C795">
    <cfRule type="duplicateValues" dxfId="110" priority="101"/>
  </conditionalFormatting>
  <conditionalFormatting sqref="C796">
    <cfRule type="duplicateValues" dxfId="109" priority="100"/>
  </conditionalFormatting>
  <conditionalFormatting sqref="C790">
    <cfRule type="duplicateValues" dxfId="108" priority="99"/>
  </conditionalFormatting>
  <conditionalFormatting sqref="C805">
    <cfRule type="duplicateValues" dxfId="107" priority="98"/>
  </conditionalFormatting>
  <conditionalFormatting sqref="C806">
    <cfRule type="duplicateValues" dxfId="106" priority="97"/>
  </conditionalFormatting>
  <conditionalFormatting sqref="C808">
    <cfRule type="duplicateValues" dxfId="105" priority="96"/>
  </conditionalFormatting>
  <conditionalFormatting sqref="C809">
    <cfRule type="duplicateValues" dxfId="104" priority="95"/>
  </conditionalFormatting>
  <conditionalFormatting sqref="C810">
    <cfRule type="duplicateValues" dxfId="103" priority="94"/>
  </conditionalFormatting>
  <conditionalFormatting sqref="C804">
    <cfRule type="duplicateValues" dxfId="102" priority="93"/>
  </conditionalFormatting>
  <conditionalFormatting sqref="C811:C814 C802">
    <cfRule type="duplicateValues" dxfId="101" priority="106"/>
  </conditionalFormatting>
  <conditionalFormatting sqref="B787">
    <cfRule type="duplicateValues" dxfId="100" priority="92"/>
  </conditionalFormatting>
  <conditionalFormatting sqref="C787">
    <cfRule type="duplicateValues" dxfId="99" priority="91"/>
  </conditionalFormatting>
  <conditionalFormatting sqref="B789">
    <cfRule type="duplicateValues" dxfId="98" priority="90"/>
  </conditionalFormatting>
  <conditionalFormatting sqref="C789">
    <cfRule type="duplicateValues" dxfId="97" priority="89"/>
  </conditionalFormatting>
  <conditionalFormatting sqref="B793">
    <cfRule type="duplicateValues" dxfId="96" priority="88"/>
  </conditionalFormatting>
  <conditionalFormatting sqref="C793">
    <cfRule type="duplicateValues" dxfId="95" priority="87"/>
  </conditionalFormatting>
  <conditionalFormatting sqref="B801">
    <cfRule type="duplicateValues" dxfId="94" priority="86"/>
  </conditionalFormatting>
  <conditionalFormatting sqref="C801">
    <cfRule type="duplicateValues" dxfId="93" priority="85"/>
  </conditionalFormatting>
  <conditionalFormatting sqref="B803">
    <cfRule type="duplicateValues" dxfId="92" priority="84"/>
  </conditionalFormatting>
  <conditionalFormatting sqref="C803">
    <cfRule type="duplicateValues" dxfId="91" priority="83"/>
  </conditionalFormatting>
  <conditionalFormatting sqref="B807">
    <cfRule type="duplicateValues" dxfId="90" priority="82"/>
  </conditionalFormatting>
  <conditionalFormatting sqref="C807">
    <cfRule type="duplicateValues" dxfId="89" priority="81"/>
  </conditionalFormatting>
  <conditionalFormatting sqref="B816">
    <cfRule type="duplicateValues" dxfId="88" priority="80"/>
  </conditionalFormatting>
  <conditionalFormatting sqref="C816">
    <cfRule type="duplicateValues" dxfId="87" priority="79"/>
  </conditionalFormatting>
  <conditionalFormatting sqref="B826:B829">
    <cfRule type="duplicateValues" dxfId="86" priority="71"/>
  </conditionalFormatting>
  <conditionalFormatting sqref="B820:B821">
    <cfRule type="duplicateValues" dxfId="85" priority="72"/>
  </conditionalFormatting>
  <conditionalFormatting sqref="B823:B825">
    <cfRule type="duplicateValues" dxfId="84" priority="73"/>
  </conditionalFormatting>
  <conditionalFormatting sqref="B819">
    <cfRule type="duplicateValues" dxfId="83" priority="74"/>
  </conditionalFormatting>
  <conditionalFormatting sqref="B834:B835">
    <cfRule type="duplicateValues" dxfId="82" priority="75"/>
  </conditionalFormatting>
  <conditionalFormatting sqref="B837:B839">
    <cfRule type="duplicateValues" dxfId="81" priority="76"/>
  </conditionalFormatting>
  <conditionalFormatting sqref="B833">
    <cfRule type="duplicateValues" dxfId="80" priority="77"/>
  </conditionalFormatting>
  <conditionalFormatting sqref="B840:B843 B831">
    <cfRule type="duplicateValues" dxfId="79" priority="78"/>
  </conditionalFormatting>
  <conditionalFormatting sqref="C826:C829">
    <cfRule type="duplicateValues" dxfId="78" priority="69"/>
  </conditionalFormatting>
  <conditionalFormatting sqref="C820">
    <cfRule type="duplicateValues" dxfId="77" priority="68"/>
  </conditionalFormatting>
  <conditionalFormatting sqref="C821">
    <cfRule type="duplicateValues" dxfId="76" priority="67"/>
  </conditionalFormatting>
  <conditionalFormatting sqref="C823">
    <cfRule type="duplicateValues" dxfId="75" priority="66"/>
  </conditionalFormatting>
  <conditionalFormatting sqref="C824">
    <cfRule type="duplicateValues" dxfId="74" priority="65"/>
  </conditionalFormatting>
  <conditionalFormatting sqref="C825">
    <cfRule type="duplicateValues" dxfId="73" priority="64"/>
  </conditionalFormatting>
  <conditionalFormatting sqref="C819">
    <cfRule type="duplicateValues" dxfId="72" priority="63"/>
  </conditionalFormatting>
  <conditionalFormatting sqref="C834">
    <cfRule type="duplicateValues" dxfId="71" priority="62"/>
  </conditionalFormatting>
  <conditionalFormatting sqref="C835">
    <cfRule type="duplicateValues" dxfId="70" priority="61"/>
  </conditionalFormatting>
  <conditionalFormatting sqref="C837">
    <cfRule type="duplicateValues" dxfId="69" priority="60"/>
  </conditionalFormatting>
  <conditionalFormatting sqref="C838">
    <cfRule type="duplicateValues" dxfId="68" priority="59"/>
  </conditionalFormatting>
  <conditionalFormatting sqref="C839">
    <cfRule type="duplicateValues" dxfId="67" priority="58"/>
  </conditionalFormatting>
  <conditionalFormatting sqref="C833">
    <cfRule type="duplicateValues" dxfId="66" priority="57"/>
  </conditionalFormatting>
  <conditionalFormatting sqref="C830">
    <cfRule type="duplicateValues" dxfId="65" priority="51"/>
  </conditionalFormatting>
  <conditionalFormatting sqref="C840:C843 C831">
    <cfRule type="duplicateValues" dxfId="64" priority="70"/>
  </conditionalFormatting>
  <conditionalFormatting sqref="B818">
    <cfRule type="duplicateValues" dxfId="63" priority="56"/>
  </conditionalFormatting>
  <conditionalFormatting sqref="C818">
    <cfRule type="duplicateValues" dxfId="62" priority="55"/>
  </conditionalFormatting>
  <conditionalFormatting sqref="B822">
    <cfRule type="duplicateValues" dxfId="61" priority="54"/>
  </conditionalFormatting>
  <conditionalFormatting sqref="C822">
    <cfRule type="duplicateValues" dxfId="60" priority="53"/>
  </conditionalFormatting>
  <conditionalFormatting sqref="B830">
    <cfRule type="duplicateValues" dxfId="59" priority="52"/>
  </conditionalFormatting>
  <conditionalFormatting sqref="B832">
    <cfRule type="duplicateValues" dxfId="58" priority="50"/>
  </conditionalFormatting>
  <conditionalFormatting sqref="C832">
    <cfRule type="duplicateValues" dxfId="57" priority="49"/>
  </conditionalFormatting>
  <conditionalFormatting sqref="B836">
    <cfRule type="duplicateValues" dxfId="56" priority="48"/>
  </conditionalFormatting>
  <conditionalFormatting sqref="C836">
    <cfRule type="duplicateValues" dxfId="55" priority="47"/>
  </conditionalFormatting>
  <conditionalFormatting sqref="B850:B856">
    <cfRule type="duplicateValues" dxfId="54" priority="46"/>
  </conditionalFormatting>
  <conditionalFormatting sqref="C850:C856">
    <cfRule type="duplicateValues" dxfId="53" priority="45"/>
  </conditionalFormatting>
  <conditionalFormatting sqref="B859:B865">
    <cfRule type="duplicateValues" dxfId="52" priority="44"/>
  </conditionalFormatting>
  <conditionalFormatting sqref="C859:C865">
    <cfRule type="duplicateValues" dxfId="51" priority="43"/>
  </conditionalFormatting>
  <conditionalFormatting sqref="B879:B882">
    <cfRule type="duplicateValues" dxfId="50" priority="39"/>
  </conditionalFormatting>
  <conditionalFormatting sqref="B873:B874">
    <cfRule type="duplicateValues" dxfId="49" priority="40"/>
  </conditionalFormatting>
  <conditionalFormatting sqref="B876:B878">
    <cfRule type="duplicateValues" dxfId="48" priority="41"/>
  </conditionalFormatting>
  <conditionalFormatting sqref="B872">
    <cfRule type="duplicateValues" dxfId="47" priority="42"/>
  </conditionalFormatting>
  <conditionalFormatting sqref="C879:C882">
    <cfRule type="duplicateValues" dxfId="46" priority="38"/>
  </conditionalFormatting>
  <conditionalFormatting sqref="C873">
    <cfRule type="duplicateValues" dxfId="45" priority="37"/>
  </conditionalFormatting>
  <conditionalFormatting sqref="C874">
    <cfRule type="duplicateValues" dxfId="44" priority="36"/>
  </conditionalFormatting>
  <conditionalFormatting sqref="C876">
    <cfRule type="duplicateValues" dxfId="43" priority="35"/>
  </conditionalFormatting>
  <conditionalFormatting sqref="C877">
    <cfRule type="duplicateValues" dxfId="42" priority="34"/>
  </conditionalFormatting>
  <conditionalFormatting sqref="C878">
    <cfRule type="duplicateValues" dxfId="41" priority="33"/>
  </conditionalFormatting>
  <conditionalFormatting sqref="C872">
    <cfRule type="duplicateValues" dxfId="40" priority="32"/>
  </conditionalFormatting>
  <conditionalFormatting sqref="B871">
    <cfRule type="duplicateValues" dxfId="39" priority="31"/>
  </conditionalFormatting>
  <conditionalFormatting sqref="C871">
    <cfRule type="duplicateValues" dxfId="38" priority="30"/>
  </conditionalFormatting>
  <conditionalFormatting sqref="B875">
    <cfRule type="duplicateValues" dxfId="37" priority="29"/>
  </conditionalFormatting>
  <conditionalFormatting sqref="C875">
    <cfRule type="duplicateValues" dxfId="36" priority="28"/>
  </conditionalFormatting>
  <conditionalFormatting sqref="B893:B896">
    <cfRule type="duplicateValues" dxfId="35" priority="24"/>
  </conditionalFormatting>
  <conditionalFormatting sqref="B887:B888">
    <cfRule type="duplicateValues" dxfId="34" priority="25"/>
  </conditionalFormatting>
  <conditionalFormatting sqref="B890:B892">
    <cfRule type="duplicateValues" dxfId="33" priority="26"/>
  </conditionalFormatting>
  <conditionalFormatting sqref="B886">
    <cfRule type="duplicateValues" dxfId="32" priority="27"/>
  </conditionalFormatting>
  <conditionalFormatting sqref="C893:C896">
    <cfRule type="duplicateValues" dxfId="31" priority="23"/>
  </conditionalFormatting>
  <conditionalFormatting sqref="C887">
    <cfRule type="duplicateValues" dxfId="30" priority="22"/>
  </conditionalFormatting>
  <conditionalFormatting sqref="C888">
    <cfRule type="duplicateValues" dxfId="29" priority="21"/>
  </conditionalFormatting>
  <conditionalFormatting sqref="C890">
    <cfRule type="duplicateValues" dxfId="28" priority="20"/>
  </conditionalFormatting>
  <conditionalFormatting sqref="C891">
    <cfRule type="duplicateValues" dxfId="27" priority="19"/>
  </conditionalFormatting>
  <conditionalFormatting sqref="C892">
    <cfRule type="duplicateValues" dxfId="26" priority="18"/>
  </conditionalFormatting>
  <conditionalFormatting sqref="C886">
    <cfRule type="duplicateValues" dxfId="25" priority="17"/>
  </conditionalFormatting>
  <conditionalFormatting sqref="B885">
    <cfRule type="duplicateValues" dxfId="24" priority="16"/>
  </conditionalFormatting>
  <conditionalFormatting sqref="C885">
    <cfRule type="duplicateValues" dxfId="23" priority="15"/>
  </conditionalFormatting>
  <conditionalFormatting sqref="B889">
    <cfRule type="duplicateValues" dxfId="22" priority="14"/>
  </conditionalFormatting>
  <conditionalFormatting sqref="C889">
    <cfRule type="duplicateValues" dxfId="21" priority="13"/>
  </conditionalFormatting>
  <conditionalFormatting sqref="B1120:B1192 B2:B1101 B1103:B1115 B1194:B1048576">
    <cfRule type="duplicateValues" dxfId="20" priority="7"/>
  </conditionalFormatting>
  <conditionalFormatting sqref="C1102">
    <cfRule type="duplicateValues" dxfId="19" priority="4"/>
  </conditionalFormatting>
  <conditionalFormatting sqref="B1102">
    <cfRule type="duplicateValues" dxfId="18" priority="5"/>
  </conditionalFormatting>
  <conditionalFormatting sqref="B1116">
    <cfRule type="duplicateValues" dxfId="17" priority="3"/>
  </conditionalFormatting>
  <conditionalFormatting sqref="C1116">
    <cfRule type="duplicateValues" dxfId="16" priority="2"/>
  </conditionalFormatting>
  <conditionalFormatting sqref="B1193">
    <cfRule type="duplicateValues" dxfId="15" priority="1"/>
  </conditionalFormatting>
  <printOptions horizontalCentered="1"/>
  <pageMargins left="0" right="0" top="0.19685039370078741" bottom="0.19685039370078741" header="0.31496062992125984" footer="0.31496062992125984"/>
  <pageSetup paperSize="9" scale="80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571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4.85546875" style="262" customWidth="1"/>
    <col min="2" max="2" width="34.42578125" style="262" customWidth="1"/>
    <col min="3" max="3" width="48.28515625" customWidth="1"/>
    <col min="4" max="4" width="8.140625" customWidth="1"/>
    <col min="5" max="5" width="18.7109375" style="258" bestFit="1" customWidth="1"/>
    <col min="6" max="6" width="17.28515625" style="258" customWidth="1"/>
  </cols>
  <sheetData>
    <row r="1" spans="1:6" ht="54" customHeight="1" thickBot="1">
      <c r="A1" s="257" t="s">
        <v>120</v>
      </c>
      <c r="B1" s="360" t="s">
        <v>2233</v>
      </c>
      <c r="C1" s="360" t="s">
        <v>121</v>
      </c>
      <c r="D1" s="360" t="s">
        <v>1936</v>
      </c>
      <c r="E1" s="361" t="s">
        <v>3632</v>
      </c>
      <c r="F1" s="361" t="s">
        <v>3633</v>
      </c>
    </row>
    <row r="2" spans="1:6">
      <c r="A2" s="362" t="s">
        <v>1963</v>
      </c>
      <c r="B2" s="363" t="s">
        <v>1964</v>
      </c>
      <c r="C2" s="362" t="s">
        <v>1965</v>
      </c>
      <c r="D2" s="364"/>
      <c r="E2" s="374"/>
      <c r="F2" s="374"/>
    </row>
    <row r="3" spans="1:6">
      <c r="A3" s="362" t="s">
        <v>1966</v>
      </c>
      <c r="B3" s="363" t="s">
        <v>1231</v>
      </c>
      <c r="C3" s="362" t="s">
        <v>1967</v>
      </c>
      <c r="D3" s="364"/>
      <c r="E3" s="374"/>
      <c r="F3" s="374"/>
    </row>
    <row r="4" spans="1:6" ht="25.5">
      <c r="A4" s="362" t="s">
        <v>1968</v>
      </c>
      <c r="B4" s="363" t="s">
        <v>1233</v>
      </c>
      <c r="C4" s="362" t="s">
        <v>1969</v>
      </c>
      <c r="D4" s="364"/>
      <c r="E4" s="374"/>
      <c r="F4" s="374"/>
    </row>
    <row r="5" spans="1:6" ht="25.5">
      <c r="A5" s="362" t="s">
        <v>1970</v>
      </c>
      <c r="B5" s="363" t="s">
        <v>122</v>
      </c>
      <c r="C5" s="362" t="s">
        <v>1971</v>
      </c>
      <c r="D5" s="364"/>
      <c r="E5" s="374"/>
      <c r="F5" s="374"/>
    </row>
    <row r="6" spans="1:6">
      <c r="A6" s="362" t="s">
        <v>1972</v>
      </c>
      <c r="B6" s="363" t="s">
        <v>123</v>
      </c>
      <c r="C6" s="362" t="s">
        <v>1236</v>
      </c>
      <c r="D6" s="364"/>
      <c r="E6" s="374"/>
      <c r="F6" s="374"/>
    </row>
    <row r="7" spans="1:6">
      <c r="A7" s="365">
        <v>7</v>
      </c>
      <c r="B7" s="366" t="s">
        <v>1973</v>
      </c>
      <c r="C7" s="367" t="s">
        <v>1821</v>
      </c>
      <c r="D7" s="368"/>
      <c r="E7" s="375">
        <v>725357016.79999995</v>
      </c>
      <c r="F7" s="375">
        <v>675273405</v>
      </c>
    </row>
    <row r="8" spans="1:6" ht="25.5">
      <c r="A8" s="362" t="s">
        <v>1972</v>
      </c>
      <c r="B8" s="363" t="s">
        <v>125</v>
      </c>
      <c r="C8" s="362" t="s">
        <v>1237</v>
      </c>
      <c r="D8" s="364"/>
      <c r="E8" s="374"/>
      <c r="F8" s="374"/>
    </row>
    <row r="9" spans="1:6">
      <c r="A9" s="365">
        <v>7</v>
      </c>
      <c r="B9" s="366" t="s">
        <v>1974</v>
      </c>
      <c r="C9" s="367" t="s">
        <v>124</v>
      </c>
      <c r="D9" s="368"/>
      <c r="E9" s="375">
        <v>42042950.07</v>
      </c>
      <c r="F9" s="375">
        <v>60265238.259999998</v>
      </c>
    </row>
    <row r="10" spans="1:6">
      <c r="A10" s="362" t="s">
        <v>1972</v>
      </c>
      <c r="B10" s="363" t="s">
        <v>126</v>
      </c>
      <c r="C10" s="362" t="s">
        <v>1238</v>
      </c>
      <c r="D10" s="364"/>
      <c r="E10" s="374"/>
      <c r="F10" s="374"/>
    </row>
    <row r="11" spans="1:6">
      <c r="A11" s="362" t="s">
        <v>1975</v>
      </c>
      <c r="B11" s="363" t="s">
        <v>128</v>
      </c>
      <c r="C11" s="362" t="s">
        <v>1976</v>
      </c>
      <c r="D11" s="364"/>
      <c r="E11" s="374"/>
      <c r="F11" s="374"/>
    </row>
    <row r="12" spans="1:6">
      <c r="A12" s="365">
        <v>8</v>
      </c>
      <c r="B12" s="366" t="s">
        <v>1977</v>
      </c>
      <c r="C12" s="367" t="s">
        <v>127</v>
      </c>
      <c r="D12" s="368"/>
      <c r="E12" s="375">
        <v>16390504</v>
      </c>
      <c r="F12" s="375">
        <v>16390504</v>
      </c>
    </row>
    <row r="13" spans="1:6">
      <c r="A13" s="362" t="s">
        <v>1975</v>
      </c>
      <c r="B13" s="363" t="s">
        <v>130</v>
      </c>
      <c r="C13" s="362" t="s">
        <v>1240</v>
      </c>
      <c r="D13" s="364"/>
      <c r="E13" s="374"/>
      <c r="F13" s="374"/>
    </row>
    <row r="14" spans="1:6">
      <c r="A14" s="365">
        <v>8</v>
      </c>
      <c r="B14" s="366" t="s">
        <v>1978</v>
      </c>
      <c r="C14" s="367" t="s">
        <v>129</v>
      </c>
      <c r="D14" s="368"/>
      <c r="E14" s="375">
        <v>42838829</v>
      </c>
      <c r="F14" s="375">
        <v>42838829</v>
      </c>
    </row>
    <row r="15" spans="1:6" ht="25.5">
      <c r="A15" s="362" t="s">
        <v>1972</v>
      </c>
      <c r="B15" s="363" t="s">
        <v>132</v>
      </c>
      <c r="C15" s="362" t="s">
        <v>1241</v>
      </c>
      <c r="D15" s="364"/>
      <c r="E15" s="374"/>
      <c r="F15" s="374"/>
    </row>
    <row r="16" spans="1:6" ht="24">
      <c r="A16" s="365">
        <v>7</v>
      </c>
      <c r="B16" s="366" t="s">
        <v>1979</v>
      </c>
      <c r="C16" s="367" t="s">
        <v>131</v>
      </c>
      <c r="D16" s="368"/>
      <c r="E16" s="375"/>
      <c r="F16" s="375"/>
    </row>
    <row r="17" spans="1:6" ht="25.5">
      <c r="A17" s="362" t="s">
        <v>1970</v>
      </c>
      <c r="B17" s="363" t="s">
        <v>133</v>
      </c>
      <c r="C17" s="362" t="s">
        <v>1980</v>
      </c>
      <c r="D17" s="364"/>
      <c r="E17" s="374"/>
      <c r="F17" s="374"/>
    </row>
    <row r="18" spans="1:6">
      <c r="A18" s="365">
        <v>6</v>
      </c>
      <c r="B18" s="366" t="s">
        <v>1981</v>
      </c>
      <c r="C18" s="367" t="s">
        <v>134</v>
      </c>
      <c r="D18" s="368"/>
      <c r="E18" s="375">
        <v>979026.31</v>
      </c>
      <c r="F18" s="375">
        <v>13889222.67</v>
      </c>
    </row>
    <row r="19" spans="1:6">
      <c r="A19" s="362" t="s">
        <v>1968</v>
      </c>
      <c r="B19" s="363" t="s">
        <v>135</v>
      </c>
      <c r="C19" s="362" t="s">
        <v>1982</v>
      </c>
      <c r="D19" s="364"/>
      <c r="E19" s="374"/>
      <c r="F19" s="374"/>
    </row>
    <row r="20" spans="1:6">
      <c r="A20" s="362" t="s">
        <v>1970</v>
      </c>
      <c r="B20" s="363" t="s">
        <v>136</v>
      </c>
      <c r="C20" s="362" t="s">
        <v>1983</v>
      </c>
      <c r="D20" s="364"/>
      <c r="E20" s="374"/>
      <c r="F20" s="374"/>
    </row>
    <row r="21" spans="1:6" ht="25.5">
      <c r="A21" s="362" t="s">
        <v>1972</v>
      </c>
      <c r="B21" s="363" t="s">
        <v>137</v>
      </c>
      <c r="C21" s="362" t="s">
        <v>1984</v>
      </c>
      <c r="D21" s="364"/>
      <c r="E21" s="374"/>
      <c r="F21" s="374"/>
    </row>
    <row r="22" spans="1:6">
      <c r="A22" s="365">
        <v>7</v>
      </c>
      <c r="B22" s="366" t="s">
        <v>1985</v>
      </c>
      <c r="C22" s="367" t="s">
        <v>138</v>
      </c>
      <c r="D22" s="368"/>
      <c r="E22" s="375">
        <v>15498571.52</v>
      </c>
      <c r="F22" s="375">
        <v>15658340.380000001</v>
      </c>
    </row>
    <row r="23" spans="1:6">
      <c r="A23" s="365">
        <v>7</v>
      </c>
      <c r="B23" s="366" t="s">
        <v>1986</v>
      </c>
      <c r="C23" s="367" t="s">
        <v>139</v>
      </c>
      <c r="D23" s="368"/>
      <c r="E23" s="375">
        <v>277955.56</v>
      </c>
      <c r="F23" s="375">
        <v>140000</v>
      </c>
    </row>
    <row r="24" spans="1:6" ht="24">
      <c r="A24" s="365">
        <v>7</v>
      </c>
      <c r="B24" s="366" t="s">
        <v>1987</v>
      </c>
      <c r="C24" s="367" t="s">
        <v>140</v>
      </c>
      <c r="D24" s="368"/>
      <c r="E24" s="375">
        <v>12039.01</v>
      </c>
      <c r="F24" s="375">
        <v>9199.7900000000009</v>
      </c>
    </row>
    <row r="25" spans="1:6" ht="24">
      <c r="A25" s="365">
        <v>7</v>
      </c>
      <c r="B25" s="366" t="s">
        <v>1988</v>
      </c>
      <c r="C25" s="367" t="s">
        <v>141</v>
      </c>
      <c r="D25" s="368"/>
      <c r="E25" s="375"/>
      <c r="F25" s="375">
        <v>6308</v>
      </c>
    </row>
    <row r="26" spans="1:6" ht="24">
      <c r="A26" s="365">
        <v>7</v>
      </c>
      <c r="B26" s="366" t="s">
        <v>1989</v>
      </c>
      <c r="C26" s="367" t="s">
        <v>142</v>
      </c>
      <c r="D26" s="368"/>
      <c r="E26" s="375">
        <v>3739493.23</v>
      </c>
      <c r="F26" s="375">
        <v>3645386.48</v>
      </c>
    </row>
    <row r="27" spans="1:6" ht="24">
      <c r="A27" s="365">
        <v>7</v>
      </c>
      <c r="B27" s="366" t="s">
        <v>1990</v>
      </c>
      <c r="C27" s="367" t="s">
        <v>143</v>
      </c>
      <c r="D27" s="368"/>
      <c r="E27" s="375">
        <v>190109.3</v>
      </c>
      <c r="F27" s="375">
        <v>3738296.77</v>
      </c>
    </row>
    <row r="28" spans="1:6" ht="38.25">
      <c r="A28" s="362" t="s">
        <v>1972</v>
      </c>
      <c r="B28" s="363" t="s">
        <v>144</v>
      </c>
      <c r="C28" s="362" t="s">
        <v>1991</v>
      </c>
      <c r="D28" s="364"/>
      <c r="E28" s="374"/>
      <c r="F28" s="374"/>
    </row>
    <row r="29" spans="1:6" ht="24">
      <c r="A29" s="365">
        <v>7</v>
      </c>
      <c r="B29" s="366" t="s">
        <v>1992</v>
      </c>
      <c r="C29" s="367" t="s">
        <v>1961</v>
      </c>
      <c r="D29" s="368"/>
      <c r="E29" s="375"/>
      <c r="F29" s="375"/>
    </row>
    <row r="30" spans="1:6" ht="38.25">
      <c r="A30" s="362" t="s">
        <v>1972</v>
      </c>
      <c r="B30" s="363" t="s">
        <v>145</v>
      </c>
      <c r="C30" s="362" t="s">
        <v>1993</v>
      </c>
      <c r="D30" s="364"/>
      <c r="E30" s="374"/>
      <c r="F30" s="374"/>
    </row>
    <row r="31" spans="1:6" ht="36">
      <c r="A31" s="365">
        <v>7</v>
      </c>
      <c r="B31" s="366" t="s">
        <v>1994</v>
      </c>
      <c r="C31" s="367" t="s">
        <v>1962</v>
      </c>
      <c r="D31" s="368"/>
      <c r="E31" s="375"/>
      <c r="F31" s="375"/>
    </row>
    <row r="32" spans="1:6" ht="25.5">
      <c r="A32" s="362" t="s">
        <v>1972</v>
      </c>
      <c r="B32" s="363" t="s">
        <v>147</v>
      </c>
      <c r="C32" s="362" t="s">
        <v>1995</v>
      </c>
      <c r="D32" s="364"/>
      <c r="E32" s="374"/>
      <c r="F32" s="374"/>
    </row>
    <row r="33" spans="1:6">
      <c r="A33" s="365">
        <v>7</v>
      </c>
      <c r="B33" s="366" t="s">
        <v>1996</v>
      </c>
      <c r="C33" s="367" t="s">
        <v>146</v>
      </c>
      <c r="D33" s="368"/>
      <c r="E33" s="375">
        <v>367133.83</v>
      </c>
      <c r="F33" s="375">
        <v>1601345.45</v>
      </c>
    </row>
    <row r="34" spans="1:6" ht="25.5">
      <c r="A34" s="362" t="s">
        <v>1970</v>
      </c>
      <c r="B34" s="363" t="s">
        <v>148</v>
      </c>
      <c r="C34" s="362" t="s">
        <v>1997</v>
      </c>
      <c r="D34" s="364"/>
      <c r="E34" s="374"/>
      <c r="F34" s="374"/>
    </row>
    <row r="35" spans="1:6" ht="25.5">
      <c r="A35" s="362" t="s">
        <v>1972</v>
      </c>
      <c r="B35" s="363" t="s">
        <v>150</v>
      </c>
      <c r="C35" s="362" t="s">
        <v>1998</v>
      </c>
      <c r="D35" s="364" t="s">
        <v>1248</v>
      </c>
      <c r="E35" s="374"/>
      <c r="F35" s="374"/>
    </row>
    <row r="36" spans="1:6" ht="24">
      <c r="A36" s="365" t="s">
        <v>1975</v>
      </c>
      <c r="B36" s="366" t="s">
        <v>1999</v>
      </c>
      <c r="C36" s="367" t="s">
        <v>149</v>
      </c>
      <c r="D36" s="368" t="s">
        <v>1248</v>
      </c>
      <c r="E36" s="375">
        <v>148041.68</v>
      </c>
      <c r="F36" s="375"/>
    </row>
    <row r="37" spans="1:6" ht="25.5">
      <c r="A37" s="362" t="s">
        <v>1972</v>
      </c>
      <c r="B37" s="363" t="s">
        <v>152</v>
      </c>
      <c r="C37" s="362" t="s">
        <v>2000</v>
      </c>
      <c r="D37" s="364" t="s">
        <v>1248</v>
      </c>
      <c r="E37" s="374"/>
      <c r="F37" s="374"/>
    </row>
    <row r="38" spans="1:6" ht="24">
      <c r="A38" s="365">
        <v>7</v>
      </c>
      <c r="B38" s="366" t="s">
        <v>2001</v>
      </c>
      <c r="C38" s="367" t="s">
        <v>151</v>
      </c>
      <c r="D38" s="368" t="s">
        <v>1248</v>
      </c>
      <c r="E38" s="375"/>
      <c r="F38" s="375"/>
    </row>
    <row r="39" spans="1:6" ht="25.5">
      <c r="A39" s="362" t="s">
        <v>1970</v>
      </c>
      <c r="B39" s="363" t="s">
        <v>153</v>
      </c>
      <c r="C39" s="362" t="s">
        <v>2002</v>
      </c>
      <c r="D39" s="364"/>
      <c r="E39" s="374"/>
      <c r="F39" s="374"/>
    </row>
    <row r="40" spans="1:6" ht="25.5">
      <c r="A40" s="362" t="s">
        <v>1972</v>
      </c>
      <c r="B40" s="363" t="s">
        <v>155</v>
      </c>
      <c r="C40" s="362" t="s">
        <v>1252</v>
      </c>
      <c r="D40" s="364"/>
      <c r="E40" s="374"/>
      <c r="F40" s="374"/>
    </row>
    <row r="41" spans="1:6">
      <c r="A41" s="365">
        <v>7</v>
      </c>
      <c r="B41" s="369" t="s">
        <v>2003</v>
      </c>
      <c r="C41" s="367" t="s">
        <v>154</v>
      </c>
      <c r="D41" s="368"/>
      <c r="E41" s="375">
        <v>5251363.3499999996</v>
      </c>
      <c r="F41" s="375">
        <v>2246930.89</v>
      </c>
    </row>
    <row r="42" spans="1:6" ht="25.5">
      <c r="A42" s="362" t="s">
        <v>1972</v>
      </c>
      <c r="B42" s="363" t="s">
        <v>156</v>
      </c>
      <c r="C42" s="362" t="s">
        <v>1253</v>
      </c>
      <c r="D42" s="364"/>
      <c r="E42" s="374"/>
      <c r="F42" s="374"/>
    </row>
    <row r="43" spans="1:6">
      <c r="A43" s="365">
        <v>7</v>
      </c>
      <c r="B43" s="366" t="s">
        <v>2004</v>
      </c>
      <c r="C43" s="367" t="s">
        <v>157</v>
      </c>
      <c r="D43" s="368"/>
      <c r="E43" s="375"/>
      <c r="F43" s="375"/>
    </row>
    <row r="44" spans="1:6">
      <c r="A44" s="365">
        <v>7</v>
      </c>
      <c r="B44" s="366" t="s">
        <v>2005</v>
      </c>
      <c r="C44" s="367" t="s">
        <v>158</v>
      </c>
      <c r="D44" s="368"/>
      <c r="E44" s="375">
        <v>883530.61</v>
      </c>
      <c r="F44" s="375">
        <v>1043286.67</v>
      </c>
    </row>
    <row r="45" spans="1:6" ht="24">
      <c r="A45" s="365">
        <v>7</v>
      </c>
      <c r="B45" s="366" t="s">
        <v>2006</v>
      </c>
      <c r="C45" s="367" t="s">
        <v>159</v>
      </c>
      <c r="D45" s="368"/>
      <c r="E45" s="375"/>
      <c r="F45" s="375"/>
    </row>
    <row r="46" spans="1:6">
      <c r="A46" s="365">
        <v>7</v>
      </c>
      <c r="B46" s="366" t="s">
        <v>2007</v>
      </c>
      <c r="C46" s="367" t="s">
        <v>160</v>
      </c>
      <c r="D46" s="368"/>
      <c r="E46" s="375"/>
      <c r="F46" s="375"/>
    </row>
    <row r="47" spans="1:6" ht="24">
      <c r="A47" s="365">
        <v>7</v>
      </c>
      <c r="B47" s="366" t="s">
        <v>2008</v>
      </c>
      <c r="C47" s="367" t="s">
        <v>161</v>
      </c>
      <c r="D47" s="368"/>
      <c r="E47" s="375">
        <v>56654.32</v>
      </c>
      <c r="F47" s="375">
        <v>1799089.76</v>
      </c>
    </row>
    <row r="48" spans="1:6" ht="24">
      <c r="A48" s="365">
        <v>7</v>
      </c>
      <c r="B48" s="366" t="s">
        <v>2009</v>
      </c>
      <c r="C48" s="367" t="s">
        <v>162</v>
      </c>
      <c r="D48" s="368"/>
      <c r="E48" s="375">
        <v>796098.03</v>
      </c>
      <c r="F48" s="375">
        <v>781825.62</v>
      </c>
    </row>
    <row r="49" spans="1:6" ht="25.5">
      <c r="A49" s="362" t="s">
        <v>1972</v>
      </c>
      <c r="B49" s="363" t="s">
        <v>164</v>
      </c>
      <c r="C49" s="362" t="s">
        <v>1254</v>
      </c>
      <c r="D49" s="364"/>
      <c r="E49" s="374"/>
      <c r="F49" s="374"/>
    </row>
    <row r="50" spans="1:6" ht="24">
      <c r="A50" s="365" t="s">
        <v>1975</v>
      </c>
      <c r="B50" s="366" t="s">
        <v>2010</v>
      </c>
      <c r="C50" s="367" t="s">
        <v>163</v>
      </c>
      <c r="D50" s="368"/>
      <c r="E50" s="375">
        <v>72085.67</v>
      </c>
      <c r="F50" s="375">
        <v>118467.91</v>
      </c>
    </row>
    <row r="51" spans="1:6" ht="25.5">
      <c r="A51" s="362" t="s">
        <v>1972</v>
      </c>
      <c r="B51" s="363" t="s">
        <v>166</v>
      </c>
      <c r="C51" s="362" t="s">
        <v>1255</v>
      </c>
      <c r="D51" s="364"/>
      <c r="E51" s="374"/>
      <c r="F51" s="374"/>
    </row>
    <row r="52" spans="1:6">
      <c r="A52" s="365">
        <v>7</v>
      </c>
      <c r="B52" s="366" t="s">
        <v>2011</v>
      </c>
      <c r="C52" s="367" t="s">
        <v>165</v>
      </c>
      <c r="D52" s="368"/>
      <c r="E52" s="375">
        <v>55810.02</v>
      </c>
      <c r="F52" s="375">
        <v>706565.74</v>
      </c>
    </row>
    <row r="53" spans="1:6" ht="51">
      <c r="A53" s="362" t="s">
        <v>1972</v>
      </c>
      <c r="B53" s="363" t="s">
        <v>168</v>
      </c>
      <c r="C53" s="362" t="s">
        <v>2012</v>
      </c>
      <c r="D53" s="364"/>
      <c r="E53" s="374"/>
      <c r="F53" s="374"/>
    </row>
    <row r="54" spans="1:6" ht="48">
      <c r="A54" s="365">
        <v>7</v>
      </c>
      <c r="B54" s="366" t="s">
        <v>2013</v>
      </c>
      <c r="C54" s="367" t="s">
        <v>167</v>
      </c>
      <c r="D54" s="368"/>
      <c r="E54" s="375"/>
      <c r="F54" s="375"/>
    </row>
    <row r="55" spans="1:6">
      <c r="A55" s="362" t="s">
        <v>1968</v>
      </c>
      <c r="B55" s="363" t="s">
        <v>169</v>
      </c>
      <c r="C55" s="362" t="s">
        <v>2014</v>
      </c>
      <c r="D55" s="364"/>
      <c r="E55" s="374"/>
      <c r="F55" s="374"/>
    </row>
    <row r="56" spans="1:6" ht="25.5">
      <c r="A56" s="362" t="s">
        <v>1970</v>
      </c>
      <c r="B56" s="363" t="s">
        <v>171</v>
      </c>
      <c r="C56" s="362" t="s">
        <v>2015</v>
      </c>
      <c r="D56" s="364"/>
      <c r="E56" s="374"/>
      <c r="F56" s="374"/>
    </row>
    <row r="57" spans="1:6">
      <c r="A57" s="365">
        <v>6</v>
      </c>
      <c r="B57" s="366" t="s">
        <v>2016</v>
      </c>
      <c r="C57" s="367" t="s">
        <v>170</v>
      </c>
      <c r="D57" s="368"/>
      <c r="E57" s="375"/>
      <c r="F57" s="375"/>
    </row>
    <row r="58" spans="1:6" ht="25.5">
      <c r="A58" s="362" t="s">
        <v>1970</v>
      </c>
      <c r="B58" s="363" t="s">
        <v>173</v>
      </c>
      <c r="C58" s="362" t="s">
        <v>2017</v>
      </c>
      <c r="D58" s="364"/>
      <c r="E58" s="374"/>
      <c r="F58" s="374"/>
    </row>
    <row r="59" spans="1:6" ht="24">
      <c r="A59" s="365">
        <v>6</v>
      </c>
      <c r="B59" s="366" t="s">
        <v>2018</v>
      </c>
      <c r="C59" s="367" t="s">
        <v>172</v>
      </c>
      <c r="D59" s="368"/>
      <c r="E59" s="375"/>
      <c r="F59" s="375"/>
    </row>
    <row r="60" spans="1:6" ht="25.5">
      <c r="A60" s="362" t="s">
        <v>1970</v>
      </c>
      <c r="B60" s="363" t="s">
        <v>174</v>
      </c>
      <c r="C60" s="362" t="s">
        <v>2019</v>
      </c>
      <c r="D60" s="364"/>
      <c r="E60" s="374"/>
      <c r="F60" s="374"/>
    </row>
    <row r="61" spans="1:6">
      <c r="A61" s="365">
        <v>6</v>
      </c>
      <c r="B61" s="366" t="s">
        <v>2020</v>
      </c>
      <c r="C61" s="367" t="s">
        <v>175</v>
      </c>
      <c r="D61" s="368"/>
      <c r="E61" s="375"/>
      <c r="F61" s="375"/>
    </row>
    <row r="62" spans="1:6">
      <c r="A62" s="365">
        <v>6</v>
      </c>
      <c r="B62" s="366" t="s">
        <v>2021</v>
      </c>
      <c r="C62" s="367" t="s">
        <v>176</v>
      </c>
      <c r="D62" s="368"/>
      <c r="E62" s="375"/>
      <c r="F62" s="375"/>
    </row>
    <row r="63" spans="1:6">
      <c r="A63" s="362" t="s">
        <v>1970</v>
      </c>
      <c r="B63" s="363" t="s">
        <v>178</v>
      </c>
      <c r="C63" s="362" t="s">
        <v>2022</v>
      </c>
      <c r="D63" s="364"/>
      <c r="E63" s="374"/>
      <c r="F63" s="374"/>
    </row>
    <row r="64" spans="1:6">
      <c r="A64" s="365" t="s">
        <v>1972</v>
      </c>
      <c r="B64" s="366" t="s">
        <v>2023</v>
      </c>
      <c r="C64" s="367" t="s">
        <v>177</v>
      </c>
      <c r="D64" s="368"/>
      <c r="E64" s="375"/>
      <c r="F64" s="375">
        <v>22300</v>
      </c>
    </row>
    <row r="65" spans="1:6">
      <c r="A65" s="362" t="s">
        <v>1968</v>
      </c>
      <c r="B65" s="363" t="s">
        <v>180</v>
      </c>
      <c r="C65" s="362" t="s">
        <v>2024</v>
      </c>
      <c r="D65" s="364"/>
      <c r="E65" s="374"/>
      <c r="F65" s="374"/>
    </row>
    <row r="66" spans="1:6">
      <c r="A66" s="365" t="s">
        <v>1970</v>
      </c>
      <c r="B66" s="366" t="s">
        <v>2025</v>
      </c>
      <c r="C66" s="367" t="s">
        <v>179</v>
      </c>
      <c r="D66" s="368"/>
      <c r="E66" s="375">
        <v>166545.99</v>
      </c>
      <c r="F66" s="375">
        <v>361247.9</v>
      </c>
    </row>
    <row r="67" spans="1:6" ht="25.5">
      <c r="A67" s="362" t="s">
        <v>1966</v>
      </c>
      <c r="B67" s="363" t="s">
        <v>181</v>
      </c>
      <c r="C67" s="362" t="s">
        <v>2026</v>
      </c>
      <c r="D67" s="364"/>
      <c r="E67" s="374"/>
      <c r="F67" s="374"/>
    </row>
    <row r="68" spans="1:6" ht="38.25">
      <c r="A68" s="362" t="s">
        <v>1968</v>
      </c>
      <c r="B68" s="363" t="s">
        <v>183</v>
      </c>
      <c r="C68" s="362" t="s">
        <v>2027</v>
      </c>
      <c r="D68" s="364"/>
      <c r="E68" s="374"/>
      <c r="F68" s="374"/>
    </row>
    <row r="69" spans="1:6" ht="36">
      <c r="A69" s="365" t="s">
        <v>1970</v>
      </c>
      <c r="B69" s="366" t="s">
        <v>2028</v>
      </c>
      <c r="C69" s="367" t="s">
        <v>182</v>
      </c>
      <c r="D69" s="368"/>
      <c r="E69" s="375"/>
      <c r="F69" s="375"/>
    </row>
    <row r="70" spans="1:6" ht="25.5">
      <c r="A70" s="362" t="s">
        <v>1968</v>
      </c>
      <c r="B70" s="363" t="s">
        <v>185</v>
      </c>
      <c r="C70" s="362" t="s">
        <v>2029</v>
      </c>
      <c r="D70" s="364"/>
      <c r="E70" s="374"/>
      <c r="F70" s="374"/>
    </row>
    <row r="71" spans="1:6" ht="24">
      <c r="A71" s="365" t="s">
        <v>1970</v>
      </c>
      <c r="B71" s="366" t="s">
        <v>2030</v>
      </c>
      <c r="C71" s="367" t="s">
        <v>184</v>
      </c>
      <c r="D71" s="368"/>
      <c r="E71" s="375">
        <v>-187160.04</v>
      </c>
      <c r="F71" s="375">
        <v>-88736.7</v>
      </c>
    </row>
    <row r="72" spans="1:6" ht="25.5">
      <c r="A72" s="362" t="s">
        <v>1966</v>
      </c>
      <c r="B72" s="363" t="s">
        <v>186</v>
      </c>
      <c r="C72" s="362" t="s">
        <v>2031</v>
      </c>
      <c r="D72" s="364"/>
      <c r="E72" s="374"/>
      <c r="F72" s="374"/>
    </row>
    <row r="73" spans="1:6" ht="38.25">
      <c r="A73" s="362" t="s">
        <v>1968</v>
      </c>
      <c r="B73" s="363" t="s">
        <v>188</v>
      </c>
      <c r="C73" s="362" t="s">
        <v>1267</v>
      </c>
      <c r="D73" s="364"/>
      <c r="E73" s="374"/>
      <c r="F73" s="374"/>
    </row>
    <row r="74" spans="1:6" ht="36">
      <c r="A74" s="365" t="s">
        <v>1970</v>
      </c>
      <c r="B74" s="366" t="s">
        <v>2032</v>
      </c>
      <c r="C74" s="367" t="s">
        <v>187</v>
      </c>
      <c r="D74" s="368"/>
      <c r="E74" s="375">
        <v>684374.2</v>
      </c>
      <c r="F74" s="375">
        <v>1186535.9099999999</v>
      </c>
    </row>
    <row r="75" spans="1:6" ht="38.25">
      <c r="A75" s="362" t="s">
        <v>1968</v>
      </c>
      <c r="B75" s="363" t="s">
        <v>190</v>
      </c>
      <c r="C75" s="362" t="s">
        <v>1268</v>
      </c>
      <c r="D75" s="364"/>
      <c r="E75" s="374"/>
      <c r="F75" s="374"/>
    </row>
    <row r="76" spans="1:6" ht="36">
      <c r="A76" s="365" t="s">
        <v>1970</v>
      </c>
      <c r="B76" s="366" t="s">
        <v>2033</v>
      </c>
      <c r="C76" s="367" t="s">
        <v>189</v>
      </c>
      <c r="D76" s="368"/>
      <c r="E76" s="375"/>
      <c r="F76" s="375"/>
    </row>
    <row r="77" spans="1:6" ht="38.25">
      <c r="A77" s="362" t="s">
        <v>1968</v>
      </c>
      <c r="B77" s="363" t="s">
        <v>192</v>
      </c>
      <c r="C77" s="362" t="s">
        <v>1269</v>
      </c>
      <c r="D77" s="364"/>
      <c r="E77" s="374"/>
      <c r="F77" s="374"/>
    </row>
    <row r="78" spans="1:6" ht="24">
      <c r="A78" s="365" t="s">
        <v>1970</v>
      </c>
      <c r="B78" s="366" t="s">
        <v>2034</v>
      </c>
      <c r="C78" s="367" t="s">
        <v>191</v>
      </c>
      <c r="D78" s="368"/>
      <c r="E78" s="375">
        <v>9258083.9000000004</v>
      </c>
      <c r="F78" s="375">
        <v>7692895.9100000001</v>
      </c>
    </row>
    <row r="79" spans="1:6" ht="25.5">
      <c r="A79" s="362" t="s">
        <v>1968</v>
      </c>
      <c r="B79" s="363" t="s">
        <v>194</v>
      </c>
      <c r="C79" s="362" t="s">
        <v>1270</v>
      </c>
      <c r="D79" s="364"/>
      <c r="E79" s="374"/>
      <c r="F79" s="374"/>
    </row>
    <row r="80" spans="1:6" ht="24">
      <c r="A80" s="365" t="s">
        <v>1970</v>
      </c>
      <c r="B80" s="366" t="s">
        <v>2035</v>
      </c>
      <c r="C80" s="367" t="s">
        <v>193</v>
      </c>
      <c r="D80" s="368"/>
      <c r="E80" s="375"/>
      <c r="F80" s="375"/>
    </row>
    <row r="81" spans="1:6" ht="25.5">
      <c r="A81" s="362" t="s">
        <v>1968</v>
      </c>
      <c r="B81" s="363" t="s">
        <v>196</v>
      </c>
      <c r="C81" s="362" t="s">
        <v>1271</v>
      </c>
      <c r="D81" s="364"/>
      <c r="E81" s="374"/>
      <c r="F81" s="374"/>
    </row>
    <row r="82" spans="1:6" ht="24">
      <c r="A82" s="365" t="s">
        <v>1970</v>
      </c>
      <c r="B82" s="366" t="s">
        <v>2036</v>
      </c>
      <c r="C82" s="367" t="s">
        <v>195</v>
      </c>
      <c r="D82" s="368"/>
      <c r="E82" s="375">
        <v>32707233.629999999</v>
      </c>
      <c r="F82" s="375">
        <v>5138229.75</v>
      </c>
    </row>
    <row r="83" spans="1:6" ht="25.5">
      <c r="A83" s="362" t="s">
        <v>1966</v>
      </c>
      <c r="B83" s="363" t="s">
        <v>1272</v>
      </c>
      <c r="C83" s="362" t="s">
        <v>2037</v>
      </c>
      <c r="D83" s="364"/>
      <c r="E83" s="374"/>
      <c r="F83" s="374"/>
    </row>
    <row r="84" spans="1:6" ht="25.5">
      <c r="A84" s="362" t="s">
        <v>1968</v>
      </c>
      <c r="B84" s="363" t="s">
        <v>197</v>
      </c>
      <c r="C84" s="362" t="s">
        <v>2038</v>
      </c>
      <c r="D84" s="364"/>
      <c r="E84" s="374"/>
      <c r="F84" s="374"/>
    </row>
    <row r="85" spans="1:6" ht="38.25">
      <c r="A85" s="362" t="s">
        <v>1970</v>
      </c>
      <c r="B85" s="363" t="s">
        <v>198</v>
      </c>
      <c r="C85" s="362" t="s">
        <v>2039</v>
      </c>
      <c r="D85" s="364" t="s">
        <v>1248</v>
      </c>
      <c r="E85" s="374"/>
      <c r="F85" s="374"/>
    </row>
    <row r="86" spans="1:6">
      <c r="A86" s="362" t="s">
        <v>1972</v>
      </c>
      <c r="B86" s="363" t="s">
        <v>200</v>
      </c>
      <c r="C86" s="362" t="s">
        <v>1276</v>
      </c>
      <c r="D86" s="364" t="s">
        <v>1248</v>
      </c>
      <c r="E86" s="374"/>
      <c r="F86" s="374"/>
    </row>
    <row r="87" spans="1:6">
      <c r="A87" s="365">
        <v>7</v>
      </c>
      <c r="B87" s="366" t="s">
        <v>2040</v>
      </c>
      <c r="C87" s="367" t="s">
        <v>201</v>
      </c>
      <c r="D87" s="368" t="s">
        <v>1248</v>
      </c>
      <c r="E87" s="375">
        <v>14195333</v>
      </c>
      <c r="F87" s="375">
        <v>13506568.24</v>
      </c>
    </row>
    <row r="88" spans="1:6" ht="24">
      <c r="A88" s="365">
        <v>7</v>
      </c>
      <c r="B88" s="366" t="s">
        <v>2041</v>
      </c>
      <c r="C88" s="367" t="s">
        <v>2042</v>
      </c>
      <c r="D88" s="368" t="s">
        <v>1248</v>
      </c>
      <c r="E88" s="375">
        <v>3147.98</v>
      </c>
      <c r="F88" s="375">
        <v>7998.07</v>
      </c>
    </row>
    <row r="89" spans="1:6">
      <c r="A89" s="362" t="s">
        <v>1972</v>
      </c>
      <c r="B89" s="363" t="s">
        <v>202</v>
      </c>
      <c r="C89" s="362" t="s">
        <v>1277</v>
      </c>
      <c r="D89" s="364" t="s">
        <v>1248</v>
      </c>
      <c r="E89" s="374"/>
      <c r="F89" s="374"/>
    </row>
    <row r="90" spans="1:6">
      <c r="A90" s="365">
        <v>7</v>
      </c>
      <c r="B90" s="366" t="s">
        <v>2043</v>
      </c>
      <c r="C90" s="367" t="s">
        <v>203</v>
      </c>
      <c r="D90" s="368" t="s">
        <v>1248</v>
      </c>
      <c r="E90" s="375">
        <v>2674642</v>
      </c>
      <c r="F90" s="375">
        <v>2338164.42</v>
      </c>
    </row>
    <row r="91" spans="1:6" ht="24">
      <c r="A91" s="365">
        <v>7</v>
      </c>
      <c r="B91" s="366" t="s">
        <v>2044</v>
      </c>
      <c r="C91" s="367" t="s">
        <v>2045</v>
      </c>
      <c r="D91" s="368" t="s">
        <v>1248</v>
      </c>
      <c r="E91" s="375">
        <v>2088089.87</v>
      </c>
      <c r="F91" s="375">
        <v>2126466.19</v>
      </c>
    </row>
    <row r="92" spans="1:6" ht="25.5">
      <c r="A92" s="362" t="s">
        <v>1972</v>
      </c>
      <c r="B92" s="363" t="s">
        <v>204</v>
      </c>
      <c r="C92" s="362" t="s">
        <v>1278</v>
      </c>
      <c r="D92" s="364" t="s">
        <v>1248</v>
      </c>
      <c r="E92" s="374"/>
      <c r="F92" s="374"/>
    </row>
    <row r="93" spans="1:6" ht="24">
      <c r="A93" s="365" t="s">
        <v>1975</v>
      </c>
      <c r="B93" s="366" t="s">
        <v>2046</v>
      </c>
      <c r="C93" s="367" t="s">
        <v>2047</v>
      </c>
      <c r="D93" s="368" t="s">
        <v>1248</v>
      </c>
      <c r="E93" s="375"/>
      <c r="F93" s="375"/>
    </row>
    <row r="94" spans="1:6" ht="25.5">
      <c r="A94" s="362" t="s">
        <v>1972</v>
      </c>
      <c r="B94" s="363" t="s">
        <v>205</v>
      </c>
      <c r="C94" s="362" t="s">
        <v>1279</v>
      </c>
      <c r="D94" s="364" t="s">
        <v>1248</v>
      </c>
      <c r="E94" s="374"/>
      <c r="F94" s="374"/>
    </row>
    <row r="95" spans="1:6" ht="24">
      <c r="A95" s="365" t="s">
        <v>1975</v>
      </c>
      <c r="B95" s="366" t="s">
        <v>2048</v>
      </c>
      <c r="C95" s="367" t="s">
        <v>2049</v>
      </c>
      <c r="D95" s="368" t="s">
        <v>1248</v>
      </c>
      <c r="E95" s="375"/>
      <c r="F95" s="375"/>
    </row>
    <row r="96" spans="1:6">
      <c r="A96" s="362" t="s">
        <v>1972</v>
      </c>
      <c r="B96" s="363" t="s">
        <v>206</v>
      </c>
      <c r="C96" s="362" t="s">
        <v>1280</v>
      </c>
      <c r="D96" s="364" t="s">
        <v>1248</v>
      </c>
      <c r="E96" s="374"/>
      <c r="F96" s="374"/>
    </row>
    <row r="97" spans="1:6">
      <c r="A97" s="365" t="s">
        <v>1975</v>
      </c>
      <c r="B97" s="366" t="s">
        <v>2050</v>
      </c>
      <c r="C97" s="367" t="s">
        <v>2051</v>
      </c>
      <c r="D97" s="368" t="s">
        <v>1248</v>
      </c>
      <c r="E97" s="375">
        <v>1076058.56</v>
      </c>
      <c r="F97" s="375">
        <v>999374.88</v>
      </c>
    </row>
    <row r="98" spans="1:6" ht="25.5">
      <c r="A98" s="362" t="s">
        <v>1972</v>
      </c>
      <c r="B98" s="363" t="s">
        <v>207</v>
      </c>
      <c r="C98" s="362" t="s">
        <v>1281</v>
      </c>
      <c r="D98" s="364" t="s">
        <v>1248</v>
      </c>
      <c r="E98" s="374"/>
      <c r="F98" s="374"/>
    </row>
    <row r="99" spans="1:6" ht="24">
      <c r="A99" s="365" t="s">
        <v>1975</v>
      </c>
      <c r="B99" s="366" t="s">
        <v>2052</v>
      </c>
      <c r="C99" s="367" t="s">
        <v>2053</v>
      </c>
      <c r="D99" s="368" t="s">
        <v>1248</v>
      </c>
      <c r="E99" s="375"/>
      <c r="F99" s="375"/>
    </row>
    <row r="100" spans="1:6" ht="25.5">
      <c r="A100" s="362" t="s">
        <v>1972</v>
      </c>
      <c r="B100" s="363" t="s">
        <v>208</v>
      </c>
      <c r="C100" s="362" t="s">
        <v>1282</v>
      </c>
      <c r="D100" s="364" t="s">
        <v>1248</v>
      </c>
      <c r="E100" s="374"/>
      <c r="F100" s="374"/>
    </row>
    <row r="101" spans="1:6" ht="24">
      <c r="A101" s="365" t="s">
        <v>1975</v>
      </c>
      <c r="B101" s="366" t="s">
        <v>2054</v>
      </c>
      <c r="C101" s="367" t="s">
        <v>2055</v>
      </c>
      <c r="D101" s="368" t="s">
        <v>1248</v>
      </c>
      <c r="E101" s="375">
        <v>5923.14</v>
      </c>
      <c r="F101" s="375"/>
    </row>
    <row r="102" spans="1:6">
      <c r="A102" s="362" t="s">
        <v>1972</v>
      </c>
      <c r="B102" s="363" t="s">
        <v>209</v>
      </c>
      <c r="C102" s="362" t="s">
        <v>1283</v>
      </c>
      <c r="D102" s="364" t="s">
        <v>1248</v>
      </c>
      <c r="E102" s="374"/>
      <c r="F102" s="374"/>
    </row>
    <row r="103" spans="1:6">
      <c r="A103" s="365" t="s">
        <v>1975</v>
      </c>
      <c r="B103" s="366" t="s">
        <v>2056</v>
      </c>
      <c r="C103" s="367" t="s">
        <v>2057</v>
      </c>
      <c r="D103" s="368" t="s">
        <v>1248</v>
      </c>
      <c r="E103" s="375"/>
      <c r="F103" s="375"/>
    </row>
    <row r="104" spans="1:6" ht="25.5">
      <c r="A104" s="362" t="s">
        <v>1972</v>
      </c>
      <c r="B104" s="363" t="s">
        <v>210</v>
      </c>
      <c r="C104" s="362" t="s">
        <v>1284</v>
      </c>
      <c r="D104" s="364" t="s">
        <v>1248</v>
      </c>
      <c r="E104" s="374"/>
      <c r="F104" s="374"/>
    </row>
    <row r="105" spans="1:6" ht="24">
      <c r="A105" s="365" t="s">
        <v>1975</v>
      </c>
      <c r="B105" s="366" t="s">
        <v>2058</v>
      </c>
      <c r="C105" s="367" t="s">
        <v>2059</v>
      </c>
      <c r="D105" s="368" t="s">
        <v>1248</v>
      </c>
      <c r="E105" s="375"/>
      <c r="F105" s="375"/>
    </row>
    <row r="106" spans="1:6">
      <c r="A106" s="362" t="s">
        <v>1972</v>
      </c>
      <c r="B106" s="363" t="s">
        <v>211</v>
      </c>
      <c r="C106" s="362" t="s">
        <v>1285</v>
      </c>
      <c r="D106" s="364" t="s">
        <v>1248</v>
      </c>
      <c r="E106" s="374"/>
      <c r="F106" s="374"/>
    </row>
    <row r="107" spans="1:6" ht="24">
      <c r="A107" s="365" t="s">
        <v>1975</v>
      </c>
      <c r="B107" s="366" t="s">
        <v>2060</v>
      </c>
      <c r="C107" s="367" t="s">
        <v>2061</v>
      </c>
      <c r="D107" s="368" t="s">
        <v>1248</v>
      </c>
      <c r="E107" s="375"/>
      <c r="F107" s="375"/>
    </row>
    <row r="108" spans="1:6">
      <c r="A108" s="362" t="s">
        <v>1972</v>
      </c>
      <c r="B108" s="363" t="s">
        <v>212</v>
      </c>
      <c r="C108" s="362" t="s">
        <v>1286</v>
      </c>
      <c r="D108" s="364" t="s">
        <v>1248</v>
      </c>
      <c r="E108" s="374"/>
      <c r="F108" s="374"/>
    </row>
    <row r="109" spans="1:6" ht="24">
      <c r="A109" s="365" t="s">
        <v>1975</v>
      </c>
      <c r="B109" s="366" t="s">
        <v>2062</v>
      </c>
      <c r="C109" s="367" t="s">
        <v>2063</v>
      </c>
      <c r="D109" s="368" t="s">
        <v>1248</v>
      </c>
      <c r="E109" s="375"/>
      <c r="F109" s="375"/>
    </row>
    <row r="110" spans="1:6" ht="25.5">
      <c r="A110" s="362" t="s">
        <v>1972</v>
      </c>
      <c r="B110" s="363" t="s">
        <v>213</v>
      </c>
      <c r="C110" s="362" t="s">
        <v>1287</v>
      </c>
      <c r="D110" s="364" t="s">
        <v>1248</v>
      </c>
      <c r="E110" s="374"/>
      <c r="F110" s="374"/>
    </row>
    <row r="111" spans="1:6" ht="24">
      <c r="A111" s="365" t="s">
        <v>1975</v>
      </c>
      <c r="B111" s="366" t="s">
        <v>2064</v>
      </c>
      <c r="C111" s="367" t="s">
        <v>2065</v>
      </c>
      <c r="D111" s="368" t="s">
        <v>1248</v>
      </c>
      <c r="E111" s="375"/>
      <c r="F111" s="375"/>
    </row>
    <row r="112" spans="1:6" ht="25.5">
      <c r="A112" s="362" t="s">
        <v>1972</v>
      </c>
      <c r="B112" s="363" t="s">
        <v>214</v>
      </c>
      <c r="C112" s="362" t="s">
        <v>1288</v>
      </c>
      <c r="D112" s="364" t="s">
        <v>1248</v>
      </c>
      <c r="E112" s="374"/>
      <c r="F112" s="374"/>
    </row>
    <row r="113" spans="1:6" ht="24">
      <c r="A113" s="365" t="s">
        <v>1975</v>
      </c>
      <c r="B113" s="366" t="s">
        <v>2066</v>
      </c>
      <c r="C113" s="367" t="s">
        <v>2067</v>
      </c>
      <c r="D113" s="368" t="s">
        <v>1248</v>
      </c>
      <c r="E113" s="375"/>
      <c r="F113" s="375"/>
    </row>
    <row r="114" spans="1:6" ht="25.5">
      <c r="A114" s="362" t="s">
        <v>1972</v>
      </c>
      <c r="B114" s="363" t="s">
        <v>215</v>
      </c>
      <c r="C114" s="362" t="s">
        <v>1289</v>
      </c>
      <c r="D114" s="364" t="s">
        <v>1248</v>
      </c>
      <c r="E114" s="374"/>
      <c r="F114" s="374"/>
    </row>
    <row r="115" spans="1:6" ht="24">
      <c r="A115" s="365" t="s">
        <v>1975</v>
      </c>
      <c r="B115" s="366" t="s">
        <v>2068</v>
      </c>
      <c r="C115" s="367" t="s">
        <v>2069</v>
      </c>
      <c r="D115" s="368" t="s">
        <v>1248</v>
      </c>
      <c r="E115" s="375"/>
      <c r="F115" s="375"/>
    </row>
    <row r="116" spans="1:6" ht="25.5">
      <c r="A116" s="362" t="s">
        <v>1972</v>
      </c>
      <c r="B116" s="363" t="s">
        <v>216</v>
      </c>
      <c r="C116" s="362" t="s">
        <v>1290</v>
      </c>
      <c r="D116" s="364" t="s">
        <v>1248</v>
      </c>
      <c r="E116" s="374"/>
      <c r="F116" s="374"/>
    </row>
    <row r="117" spans="1:6">
      <c r="A117" s="365">
        <v>7</v>
      </c>
      <c r="B117" s="366" t="s">
        <v>2070</v>
      </c>
      <c r="C117" s="367" t="s">
        <v>2071</v>
      </c>
      <c r="D117" s="368" t="s">
        <v>1248</v>
      </c>
      <c r="E117" s="375">
        <v>57653.24</v>
      </c>
      <c r="F117" s="375">
        <v>59698.91</v>
      </c>
    </row>
    <row r="118" spans="1:6" ht="24">
      <c r="A118" s="365">
        <v>7</v>
      </c>
      <c r="B118" s="366" t="s">
        <v>2072</v>
      </c>
      <c r="C118" s="367" t="s">
        <v>2073</v>
      </c>
      <c r="D118" s="368" t="s">
        <v>1248</v>
      </c>
      <c r="E118" s="375">
        <v>25128.44</v>
      </c>
      <c r="F118" s="375">
        <v>18071</v>
      </c>
    </row>
    <row r="119" spans="1:6" ht="25.5">
      <c r="A119" s="362" t="s">
        <v>1970</v>
      </c>
      <c r="B119" s="363" t="s">
        <v>218</v>
      </c>
      <c r="C119" s="362" t="s">
        <v>2074</v>
      </c>
      <c r="D119" s="364"/>
      <c r="E119" s="374"/>
      <c r="F119" s="374"/>
    </row>
    <row r="120" spans="1:6" ht="24">
      <c r="A120" s="365" t="s">
        <v>1972</v>
      </c>
      <c r="B120" s="366" t="s">
        <v>2075</v>
      </c>
      <c r="C120" s="367" t="s">
        <v>217</v>
      </c>
      <c r="D120" s="368"/>
      <c r="E120" s="375">
        <v>41362.720000000001</v>
      </c>
      <c r="F120" s="375">
        <v>33863.599999999999</v>
      </c>
    </row>
    <row r="121" spans="1:6" ht="38.25">
      <c r="A121" s="362" t="s">
        <v>1970</v>
      </c>
      <c r="B121" s="363" t="s">
        <v>219</v>
      </c>
      <c r="C121" s="362" t="s">
        <v>1292</v>
      </c>
      <c r="D121" s="364"/>
      <c r="E121" s="374"/>
      <c r="F121" s="374"/>
    </row>
    <row r="122" spans="1:6">
      <c r="A122" s="362" t="s">
        <v>1972</v>
      </c>
      <c r="B122" s="363" t="s">
        <v>220</v>
      </c>
      <c r="C122" s="362" t="s">
        <v>1294</v>
      </c>
      <c r="D122" s="364"/>
      <c r="E122" s="374"/>
      <c r="F122" s="374"/>
    </row>
    <row r="123" spans="1:6" ht="24">
      <c r="A123" s="365">
        <v>7</v>
      </c>
      <c r="B123" s="366" t="s">
        <v>2076</v>
      </c>
      <c r="C123" s="367" t="s">
        <v>221</v>
      </c>
      <c r="D123" s="368"/>
      <c r="E123" s="375">
        <v>2681665.21</v>
      </c>
      <c r="F123" s="375">
        <v>2911663.58</v>
      </c>
    </row>
    <row r="124" spans="1:6">
      <c r="A124" s="362" t="s">
        <v>1972</v>
      </c>
      <c r="B124" s="363" t="s">
        <v>223</v>
      </c>
      <c r="C124" s="362" t="s">
        <v>1295</v>
      </c>
      <c r="D124" s="364"/>
      <c r="E124" s="374"/>
      <c r="F124" s="374"/>
    </row>
    <row r="125" spans="1:6" ht="24">
      <c r="A125" s="365">
        <v>7</v>
      </c>
      <c r="B125" s="366" t="s">
        <v>2077</v>
      </c>
      <c r="C125" s="367" t="s">
        <v>224</v>
      </c>
      <c r="D125" s="368"/>
      <c r="E125" s="375">
        <v>1039892.99</v>
      </c>
      <c r="F125" s="375">
        <v>680767.74</v>
      </c>
    </row>
    <row r="126" spans="1:6" ht="25.5">
      <c r="A126" s="362" t="s">
        <v>1972</v>
      </c>
      <c r="B126" s="363" t="s">
        <v>225</v>
      </c>
      <c r="C126" s="362" t="s">
        <v>1296</v>
      </c>
      <c r="D126" s="364"/>
      <c r="E126" s="374"/>
      <c r="F126" s="374"/>
    </row>
    <row r="127" spans="1:6" ht="24">
      <c r="A127" s="365" t="s">
        <v>1975</v>
      </c>
      <c r="B127" s="366" t="s">
        <v>2078</v>
      </c>
      <c r="C127" s="367" t="s">
        <v>2079</v>
      </c>
      <c r="D127" s="368"/>
      <c r="E127" s="375"/>
      <c r="F127" s="375"/>
    </row>
    <row r="128" spans="1:6" ht="25.5">
      <c r="A128" s="362" t="s">
        <v>1972</v>
      </c>
      <c r="B128" s="363" t="s">
        <v>226</v>
      </c>
      <c r="C128" s="362" t="s">
        <v>1298</v>
      </c>
      <c r="D128" s="364"/>
      <c r="E128" s="374"/>
      <c r="F128" s="374"/>
    </row>
    <row r="129" spans="1:6" ht="24">
      <c r="A129" s="365" t="s">
        <v>1975</v>
      </c>
      <c r="B129" s="366" t="s">
        <v>2080</v>
      </c>
      <c r="C129" s="367" t="s">
        <v>2081</v>
      </c>
      <c r="D129" s="368"/>
      <c r="E129" s="375"/>
      <c r="F129" s="375"/>
    </row>
    <row r="130" spans="1:6">
      <c r="A130" s="362" t="s">
        <v>1972</v>
      </c>
      <c r="B130" s="363" t="s">
        <v>227</v>
      </c>
      <c r="C130" s="362" t="s">
        <v>1299</v>
      </c>
      <c r="D130" s="364"/>
      <c r="E130" s="374"/>
      <c r="F130" s="374"/>
    </row>
    <row r="131" spans="1:6">
      <c r="A131" s="365" t="s">
        <v>1975</v>
      </c>
      <c r="B131" s="366" t="s">
        <v>2082</v>
      </c>
      <c r="C131" s="367" t="s">
        <v>2083</v>
      </c>
      <c r="D131" s="368"/>
      <c r="E131" s="375">
        <v>1110216.57</v>
      </c>
      <c r="F131" s="375">
        <v>639942.48</v>
      </c>
    </row>
    <row r="132" spans="1:6" ht="25.5">
      <c r="A132" s="362" t="s">
        <v>1972</v>
      </c>
      <c r="B132" s="363" t="s">
        <v>229</v>
      </c>
      <c r="C132" s="362" t="s">
        <v>1300</v>
      </c>
      <c r="D132" s="364"/>
      <c r="E132" s="374"/>
      <c r="F132" s="374"/>
    </row>
    <row r="133" spans="1:6" ht="24">
      <c r="A133" s="365" t="s">
        <v>1975</v>
      </c>
      <c r="B133" s="366" t="s">
        <v>2084</v>
      </c>
      <c r="C133" s="367" t="s">
        <v>228</v>
      </c>
      <c r="D133" s="368"/>
      <c r="E133" s="375">
        <v>203474.5</v>
      </c>
      <c r="F133" s="375">
        <v>148537</v>
      </c>
    </row>
    <row r="134" spans="1:6" ht="25.5">
      <c r="A134" s="362" t="s">
        <v>1972</v>
      </c>
      <c r="B134" s="363" t="s">
        <v>231</v>
      </c>
      <c r="C134" s="362" t="s">
        <v>1301</v>
      </c>
      <c r="D134" s="364"/>
      <c r="E134" s="374"/>
      <c r="F134" s="374"/>
    </row>
    <row r="135" spans="1:6" ht="24">
      <c r="A135" s="365" t="s">
        <v>1975</v>
      </c>
      <c r="B135" s="366" t="s">
        <v>2085</v>
      </c>
      <c r="C135" s="367" t="s">
        <v>230</v>
      </c>
      <c r="D135" s="368"/>
      <c r="E135" s="375">
        <v>718944.04</v>
      </c>
      <c r="F135" s="375">
        <v>459506.85</v>
      </c>
    </row>
    <row r="136" spans="1:6">
      <c r="A136" s="362" t="s">
        <v>1972</v>
      </c>
      <c r="B136" s="363" t="s">
        <v>233</v>
      </c>
      <c r="C136" s="362" t="s">
        <v>1302</v>
      </c>
      <c r="D136" s="364"/>
      <c r="E136" s="374"/>
      <c r="F136" s="374"/>
    </row>
    <row r="137" spans="1:6">
      <c r="A137" s="365" t="s">
        <v>1975</v>
      </c>
      <c r="B137" s="366" t="s">
        <v>2086</v>
      </c>
      <c r="C137" s="367" t="s">
        <v>232</v>
      </c>
      <c r="D137" s="368"/>
      <c r="E137" s="375">
        <v>3365.95</v>
      </c>
      <c r="F137" s="375">
        <v>14338.03</v>
      </c>
    </row>
    <row r="138" spans="1:6" ht="25.5">
      <c r="A138" s="362" t="s">
        <v>1972</v>
      </c>
      <c r="B138" s="363" t="s">
        <v>235</v>
      </c>
      <c r="C138" s="362" t="s">
        <v>1303</v>
      </c>
      <c r="D138" s="364"/>
      <c r="E138" s="374"/>
      <c r="F138" s="374"/>
    </row>
    <row r="139" spans="1:6" ht="24">
      <c r="A139" s="365" t="s">
        <v>1975</v>
      </c>
      <c r="B139" s="366" t="s">
        <v>2087</v>
      </c>
      <c r="C139" s="367" t="s">
        <v>234</v>
      </c>
      <c r="D139" s="368"/>
      <c r="E139" s="375"/>
      <c r="F139" s="375"/>
    </row>
    <row r="140" spans="1:6" ht="25.5">
      <c r="A140" s="362" t="s">
        <v>1972</v>
      </c>
      <c r="B140" s="363" t="s">
        <v>237</v>
      </c>
      <c r="C140" s="362" t="s">
        <v>1304</v>
      </c>
      <c r="D140" s="364"/>
      <c r="E140" s="374"/>
      <c r="F140" s="374"/>
    </row>
    <row r="141" spans="1:6" ht="24">
      <c r="A141" s="365" t="s">
        <v>1975</v>
      </c>
      <c r="B141" s="366" t="s">
        <v>2088</v>
      </c>
      <c r="C141" s="367" t="s">
        <v>236</v>
      </c>
      <c r="D141" s="368"/>
      <c r="E141" s="375"/>
      <c r="F141" s="375"/>
    </row>
    <row r="142" spans="1:6" ht="25.5">
      <c r="A142" s="362" t="s">
        <v>1972</v>
      </c>
      <c r="B142" s="363" t="s">
        <v>239</v>
      </c>
      <c r="C142" s="362" t="s">
        <v>1305</v>
      </c>
      <c r="D142" s="364"/>
      <c r="E142" s="374"/>
      <c r="F142" s="374"/>
    </row>
    <row r="143" spans="1:6" ht="24">
      <c r="A143" s="365" t="s">
        <v>1975</v>
      </c>
      <c r="B143" s="366" t="s">
        <v>2089</v>
      </c>
      <c r="C143" s="367" t="s">
        <v>238</v>
      </c>
      <c r="D143" s="368"/>
      <c r="E143" s="375"/>
      <c r="F143" s="375"/>
    </row>
    <row r="144" spans="1:6" ht="25.5">
      <c r="A144" s="362" t="s">
        <v>1972</v>
      </c>
      <c r="B144" s="363" t="s">
        <v>241</v>
      </c>
      <c r="C144" s="362" t="s">
        <v>1306</v>
      </c>
      <c r="D144" s="364"/>
      <c r="E144" s="374"/>
      <c r="F144" s="374"/>
    </row>
    <row r="145" spans="1:6" ht="24">
      <c r="A145" s="365" t="s">
        <v>1975</v>
      </c>
      <c r="B145" s="366" t="s">
        <v>2090</v>
      </c>
      <c r="C145" s="367" t="s">
        <v>240</v>
      </c>
      <c r="D145" s="368"/>
      <c r="E145" s="375"/>
      <c r="F145" s="375"/>
    </row>
    <row r="146" spans="1:6" ht="25.5">
      <c r="A146" s="362" t="s">
        <v>1972</v>
      </c>
      <c r="B146" s="363" t="s">
        <v>242</v>
      </c>
      <c r="C146" s="362" t="s">
        <v>1307</v>
      </c>
      <c r="D146" s="364"/>
      <c r="E146" s="374"/>
      <c r="F146" s="374"/>
    </row>
    <row r="147" spans="1:6">
      <c r="A147" s="365" t="s">
        <v>2091</v>
      </c>
      <c r="B147" s="366" t="s">
        <v>2092</v>
      </c>
      <c r="C147" s="367" t="s">
        <v>243</v>
      </c>
      <c r="D147" s="368"/>
      <c r="E147" s="375"/>
      <c r="F147" s="375"/>
    </row>
    <row r="148" spans="1:6" ht="38.25">
      <c r="A148" s="362" t="s">
        <v>1972</v>
      </c>
      <c r="B148" s="363" t="s">
        <v>245</v>
      </c>
      <c r="C148" s="362" t="s">
        <v>1308</v>
      </c>
      <c r="D148" s="364"/>
      <c r="E148" s="374"/>
      <c r="F148" s="374"/>
    </row>
    <row r="149" spans="1:6" ht="24">
      <c r="A149" s="365" t="s">
        <v>2091</v>
      </c>
      <c r="B149" s="366" t="s">
        <v>2093</v>
      </c>
      <c r="C149" s="367" t="s">
        <v>244</v>
      </c>
      <c r="D149" s="368"/>
      <c r="E149" s="375"/>
      <c r="F149" s="375"/>
    </row>
    <row r="150" spans="1:6" ht="38.25">
      <c r="A150" s="362" t="s">
        <v>1972</v>
      </c>
      <c r="B150" s="363" t="s">
        <v>246</v>
      </c>
      <c r="C150" s="362" t="s">
        <v>1309</v>
      </c>
      <c r="D150" s="364"/>
      <c r="E150" s="374"/>
      <c r="F150" s="374"/>
    </row>
    <row r="151" spans="1:6" ht="25.5">
      <c r="A151" s="362" t="s">
        <v>1975</v>
      </c>
      <c r="B151" s="363" t="s">
        <v>248</v>
      </c>
      <c r="C151" s="362" t="s">
        <v>1310</v>
      </c>
      <c r="D151" s="364"/>
      <c r="E151" s="374"/>
      <c r="F151" s="374"/>
    </row>
    <row r="152" spans="1:6" ht="24">
      <c r="A152" s="365" t="s">
        <v>2091</v>
      </c>
      <c r="B152" s="366" t="s">
        <v>2094</v>
      </c>
      <c r="C152" s="367" t="s">
        <v>247</v>
      </c>
      <c r="D152" s="368"/>
      <c r="E152" s="375"/>
      <c r="F152" s="375"/>
    </row>
    <row r="153" spans="1:6" ht="38.25">
      <c r="A153" s="362" t="s">
        <v>1975</v>
      </c>
      <c r="B153" s="363" t="s">
        <v>250</v>
      </c>
      <c r="C153" s="362" t="s">
        <v>1311</v>
      </c>
      <c r="D153" s="364"/>
      <c r="E153" s="374"/>
      <c r="F153" s="374"/>
    </row>
    <row r="154" spans="1:6">
      <c r="A154" s="365">
        <v>8</v>
      </c>
      <c r="B154" s="366" t="s">
        <v>2095</v>
      </c>
      <c r="C154" s="367" t="s">
        <v>2096</v>
      </c>
      <c r="D154" s="368"/>
      <c r="E154" s="375"/>
      <c r="F154" s="375"/>
    </row>
    <row r="155" spans="1:6" ht="24">
      <c r="A155" s="365">
        <v>8</v>
      </c>
      <c r="B155" s="366" t="s">
        <v>2097</v>
      </c>
      <c r="C155" s="367" t="s">
        <v>2098</v>
      </c>
      <c r="D155" s="368"/>
      <c r="E155" s="375"/>
      <c r="F155" s="375"/>
    </row>
    <row r="156" spans="1:6" ht="24">
      <c r="A156" s="365">
        <v>8</v>
      </c>
      <c r="B156" s="369" t="s">
        <v>2099</v>
      </c>
      <c r="C156" s="367" t="s">
        <v>2100</v>
      </c>
      <c r="D156" s="368"/>
      <c r="E156" s="375"/>
      <c r="F156" s="375"/>
    </row>
    <row r="157" spans="1:6" ht="24">
      <c r="A157" s="365">
        <v>8</v>
      </c>
      <c r="B157" s="366" t="s">
        <v>2101</v>
      </c>
      <c r="C157" s="367" t="s">
        <v>249</v>
      </c>
      <c r="D157" s="368"/>
      <c r="E157" s="375">
        <v>133371.56</v>
      </c>
      <c r="F157" s="375">
        <v>246029.44</v>
      </c>
    </row>
    <row r="158" spans="1:6" ht="25.5">
      <c r="A158" s="362" t="s">
        <v>1972</v>
      </c>
      <c r="B158" s="363" t="s">
        <v>252</v>
      </c>
      <c r="C158" s="362" t="s">
        <v>1312</v>
      </c>
      <c r="D158" s="364"/>
      <c r="E158" s="374"/>
      <c r="F158" s="374"/>
    </row>
    <row r="159" spans="1:6" ht="24">
      <c r="A159" s="365" t="s">
        <v>1975</v>
      </c>
      <c r="B159" s="366" t="s">
        <v>2102</v>
      </c>
      <c r="C159" s="367" t="s">
        <v>251</v>
      </c>
      <c r="D159" s="368"/>
      <c r="E159" s="375">
        <v>1180101.47</v>
      </c>
      <c r="F159" s="375">
        <v>438775.71</v>
      </c>
    </row>
    <row r="160" spans="1:6" ht="38.25">
      <c r="A160" s="362" t="s">
        <v>1972</v>
      </c>
      <c r="B160" s="363" t="s">
        <v>254</v>
      </c>
      <c r="C160" s="362" t="s">
        <v>1313</v>
      </c>
      <c r="D160" s="364"/>
      <c r="E160" s="374"/>
      <c r="F160" s="374"/>
    </row>
    <row r="161" spans="1:6" ht="24">
      <c r="A161" s="365" t="s">
        <v>1975</v>
      </c>
      <c r="B161" s="366" t="s">
        <v>2103</v>
      </c>
      <c r="C161" s="367" t="s">
        <v>253</v>
      </c>
      <c r="D161" s="368" t="s">
        <v>1248</v>
      </c>
      <c r="E161" s="375"/>
      <c r="F161" s="375"/>
    </row>
    <row r="162" spans="1:6" ht="38.25">
      <c r="A162" s="362" t="s">
        <v>1972</v>
      </c>
      <c r="B162" s="363" t="s">
        <v>256</v>
      </c>
      <c r="C162" s="362" t="s">
        <v>1314</v>
      </c>
      <c r="D162" s="364"/>
      <c r="E162" s="374"/>
      <c r="F162" s="374"/>
    </row>
    <row r="163" spans="1:6" ht="36">
      <c r="A163" s="365" t="s">
        <v>1975</v>
      </c>
      <c r="B163" s="366" t="s">
        <v>2104</v>
      </c>
      <c r="C163" s="367" t="s">
        <v>255</v>
      </c>
      <c r="D163" s="368"/>
      <c r="E163" s="375"/>
      <c r="F163" s="375"/>
    </row>
    <row r="164" spans="1:6" ht="38.25">
      <c r="A164" s="362" t="s">
        <v>1968</v>
      </c>
      <c r="B164" s="363" t="s">
        <v>257</v>
      </c>
      <c r="C164" s="362" t="s">
        <v>2105</v>
      </c>
      <c r="D164" s="364"/>
      <c r="E164" s="374"/>
      <c r="F164" s="374"/>
    </row>
    <row r="165" spans="1:6" ht="25.5">
      <c r="A165" s="362" t="s">
        <v>1970</v>
      </c>
      <c r="B165" s="363" t="s">
        <v>259</v>
      </c>
      <c r="C165" s="362" t="s">
        <v>2106</v>
      </c>
      <c r="D165" s="364"/>
      <c r="E165" s="374"/>
      <c r="F165" s="374"/>
    </row>
    <row r="166" spans="1:6" ht="24">
      <c r="A166" s="365" t="s">
        <v>1972</v>
      </c>
      <c r="B166" s="366" t="s">
        <v>2107</v>
      </c>
      <c r="C166" s="367" t="s">
        <v>258</v>
      </c>
      <c r="D166" s="368"/>
      <c r="E166" s="375">
        <v>1031627.47</v>
      </c>
      <c r="F166" s="375">
        <v>1338528.0900000001</v>
      </c>
    </row>
    <row r="167" spans="1:6" ht="25.5">
      <c r="A167" s="362" t="s">
        <v>1970</v>
      </c>
      <c r="B167" s="363" t="s">
        <v>261</v>
      </c>
      <c r="C167" s="362" t="s">
        <v>2108</v>
      </c>
      <c r="D167" s="364"/>
      <c r="E167" s="374"/>
      <c r="F167" s="374"/>
    </row>
    <row r="168" spans="1:6" ht="24">
      <c r="A168" s="365" t="s">
        <v>1972</v>
      </c>
      <c r="B168" s="366" t="s">
        <v>2109</v>
      </c>
      <c r="C168" s="367" t="s">
        <v>260</v>
      </c>
      <c r="D168" s="368"/>
      <c r="E168" s="375"/>
      <c r="F168" s="375">
        <v>122139.5</v>
      </c>
    </row>
    <row r="169" spans="1:6" ht="38.25">
      <c r="A169" s="362" t="s">
        <v>1970</v>
      </c>
      <c r="B169" s="363" t="s">
        <v>262</v>
      </c>
      <c r="C169" s="362" t="s">
        <v>2110</v>
      </c>
      <c r="D169" s="364"/>
      <c r="E169" s="374"/>
      <c r="F169" s="374"/>
    </row>
    <row r="170" spans="1:6" ht="24">
      <c r="A170" s="365" t="s">
        <v>1972</v>
      </c>
      <c r="B170" s="366" t="s">
        <v>2111</v>
      </c>
      <c r="C170" s="367" t="s">
        <v>2112</v>
      </c>
      <c r="D170" s="368"/>
      <c r="E170" s="375"/>
      <c r="F170" s="375"/>
    </row>
    <row r="171" spans="1:6" ht="25.5">
      <c r="A171" s="362" t="s">
        <v>1970</v>
      </c>
      <c r="B171" s="363" t="s">
        <v>264</v>
      </c>
      <c r="C171" s="362" t="s">
        <v>2113</v>
      </c>
      <c r="D171" s="364"/>
      <c r="E171" s="374"/>
      <c r="F171" s="374"/>
    </row>
    <row r="172" spans="1:6" ht="24">
      <c r="A172" s="365" t="s">
        <v>1972</v>
      </c>
      <c r="B172" s="366" t="s">
        <v>2114</v>
      </c>
      <c r="C172" s="367" t="s">
        <v>263</v>
      </c>
      <c r="D172" s="368"/>
      <c r="E172" s="375"/>
      <c r="F172" s="375"/>
    </row>
    <row r="173" spans="1:6" ht="38.25">
      <c r="A173" s="362" t="s">
        <v>1970</v>
      </c>
      <c r="B173" s="363" t="s">
        <v>266</v>
      </c>
      <c r="C173" s="362" t="s">
        <v>1320</v>
      </c>
      <c r="D173" s="364"/>
      <c r="E173" s="374"/>
      <c r="F173" s="374"/>
    </row>
    <row r="174" spans="1:6" ht="36">
      <c r="A174" s="365" t="s">
        <v>1972</v>
      </c>
      <c r="B174" s="366" t="s">
        <v>2115</v>
      </c>
      <c r="C174" s="367" t="s">
        <v>265</v>
      </c>
      <c r="D174" s="368"/>
      <c r="E174" s="375"/>
      <c r="F174" s="375"/>
    </row>
    <row r="175" spans="1:6" ht="25.5">
      <c r="A175" s="362" t="s">
        <v>1968</v>
      </c>
      <c r="B175" s="363" t="s">
        <v>267</v>
      </c>
      <c r="C175" s="362" t="s">
        <v>2116</v>
      </c>
      <c r="D175" s="364"/>
      <c r="E175" s="374"/>
      <c r="F175" s="374"/>
    </row>
    <row r="176" spans="1:6">
      <c r="A176" s="370">
        <v>5</v>
      </c>
      <c r="B176" s="371" t="s">
        <v>2117</v>
      </c>
      <c r="C176" s="372" t="s">
        <v>268</v>
      </c>
      <c r="D176" s="373"/>
      <c r="E176" s="376"/>
      <c r="F176" s="376"/>
    </row>
    <row r="177" spans="1:6">
      <c r="A177" s="365" t="s">
        <v>1972</v>
      </c>
      <c r="B177" s="366" t="s">
        <v>2118</v>
      </c>
      <c r="C177" s="367" t="s">
        <v>199</v>
      </c>
      <c r="D177" s="368"/>
      <c r="E177" s="375">
        <v>145820.12</v>
      </c>
      <c r="F177" s="375">
        <v>137642.34</v>
      </c>
    </row>
    <row r="178" spans="1:6">
      <c r="A178" s="365" t="s">
        <v>1972</v>
      </c>
      <c r="B178" s="366" t="s">
        <v>2119</v>
      </c>
      <c r="C178" s="367" t="s">
        <v>269</v>
      </c>
      <c r="D178" s="368"/>
      <c r="E178" s="375"/>
      <c r="F178" s="375"/>
    </row>
    <row r="179" spans="1:6">
      <c r="A179" s="365" t="s">
        <v>1972</v>
      </c>
      <c r="B179" s="366" t="s">
        <v>2120</v>
      </c>
      <c r="C179" s="367" t="s">
        <v>270</v>
      </c>
      <c r="D179" s="368"/>
      <c r="E179" s="375"/>
      <c r="F179" s="375"/>
    </row>
    <row r="180" spans="1:6">
      <c r="A180" s="365" t="s">
        <v>1972</v>
      </c>
      <c r="B180" s="366" t="s">
        <v>2121</v>
      </c>
      <c r="C180" s="367" t="s">
        <v>222</v>
      </c>
      <c r="D180" s="368"/>
      <c r="E180" s="375">
        <v>773912.37</v>
      </c>
      <c r="F180" s="375">
        <v>683452.62</v>
      </c>
    </row>
    <row r="181" spans="1:6">
      <c r="A181" s="365" t="s">
        <v>1972</v>
      </c>
      <c r="B181" s="366" t="s">
        <v>2122</v>
      </c>
      <c r="C181" s="367" t="s">
        <v>271</v>
      </c>
      <c r="D181" s="368"/>
      <c r="E181" s="375">
        <v>45109.26</v>
      </c>
      <c r="F181" s="375">
        <v>23914.61</v>
      </c>
    </row>
    <row r="182" spans="1:6">
      <c r="A182" s="365" t="s">
        <v>1972</v>
      </c>
      <c r="B182" s="366" t="s">
        <v>2123</v>
      </c>
      <c r="C182" s="367" t="s">
        <v>272</v>
      </c>
      <c r="D182" s="368"/>
      <c r="E182" s="375">
        <v>89</v>
      </c>
      <c r="F182" s="375">
        <v>46.72</v>
      </c>
    </row>
    <row r="183" spans="1:6">
      <c r="A183" s="365" t="s">
        <v>1972</v>
      </c>
      <c r="B183" s="366" t="s">
        <v>2124</v>
      </c>
      <c r="C183" s="367" t="s">
        <v>273</v>
      </c>
      <c r="D183" s="368"/>
      <c r="E183" s="375">
        <v>669096.57999999996</v>
      </c>
      <c r="F183" s="375">
        <v>559525.86</v>
      </c>
    </row>
    <row r="184" spans="1:6">
      <c r="A184" s="370">
        <v>5</v>
      </c>
      <c r="B184" s="371" t="s">
        <v>2125</v>
      </c>
      <c r="C184" s="372" t="s">
        <v>274</v>
      </c>
      <c r="D184" s="373"/>
      <c r="E184" s="376"/>
      <c r="F184" s="376"/>
    </row>
    <row r="185" spans="1:6">
      <c r="A185" s="365">
        <v>6</v>
      </c>
      <c r="B185" s="366" t="s">
        <v>2126</v>
      </c>
      <c r="C185" s="367" t="s">
        <v>275</v>
      </c>
      <c r="D185" s="368"/>
      <c r="E185" s="375">
        <v>108967</v>
      </c>
      <c r="F185" s="375">
        <v>158239.38</v>
      </c>
    </row>
    <row r="186" spans="1:6">
      <c r="A186" s="365">
        <v>6</v>
      </c>
      <c r="B186" s="366" t="s">
        <v>2127</v>
      </c>
      <c r="C186" s="367" t="s">
        <v>276</v>
      </c>
      <c r="D186" s="368"/>
      <c r="E186" s="375"/>
      <c r="F186" s="375"/>
    </row>
    <row r="187" spans="1:6">
      <c r="A187" s="365">
        <v>6</v>
      </c>
      <c r="B187" s="366" t="s">
        <v>2128</v>
      </c>
      <c r="C187" s="367" t="s">
        <v>277</v>
      </c>
      <c r="D187" s="368"/>
      <c r="E187" s="375">
        <v>374358.64</v>
      </c>
      <c r="F187" s="375">
        <v>352075.12</v>
      </c>
    </row>
    <row r="188" spans="1:6">
      <c r="A188" s="365">
        <v>6</v>
      </c>
      <c r="B188" s="366" t="s">
        <v>2129</v>
      </c>
      <c r="C188" s="367" t="s">
        <v>278</v>
      </c>
      <c r="D188" s="368"/>
      <c r="E188" s="375">
        <v>48921.39</v>
      </c>
      <c r="F188" s="375">
        <v>33324.199999999997</v>
      </c>
    </row>
    <row r="189" spans="1:6">
      <c r="A189" s="365">
        <v>6</v>
      </c>
      <c r="B189" s="366" t="s">
        <v>2130</v>
      </c>
      <c r="C189" s="367" t="s">
        <v>279</v>
      </c>
      <c r="D189" s="368"/>
      <c r="E189" s="375">
        <v>156706.6</v>
      </c>
      <c r="F189" s="375">
        <v>115765.88</v>
      </c>
    </row>
    <row r="190" spans="1:6">
      <c r="A190" s="365">
        <v>6</v>
      </c>
      <c r="B190" s="366" t="s">
        <v>2131</v>
      </c>
      <c r="C190" s="367" t="s">
        <v>280</v>
      </c>
      <c r="D190" s="368"/>
      <c r="E190" s="375">
        <v>28572.3</v>
      </c>
      <c r="F190" s="375">
        <v>23637.18</v>
      </c>
    </row>
    <row r="191" spans="1:6">
      <c r="A191" s="365">
        <v>6</v>
      </c>
      <c r="B191" s="366" t="s">
        <v>2132</v>
      </c>
      <c r="C191" s="367" t="s">
        <v>281</v>
      </c>
      <c r="D191" s="368"/>
      <c r="E191" s="375">
        <v>118678.06</v>
      </c>
      <c r="F191" s="375">
        <v>127049.8</v>
      </c>
    </row>
    <row r="192" spans="1:6">
      <c r="A192" s="365">
        <v>6</v>
      </c>
      <c r="B192" s="366" t="s">
        <v>2133</v>
      </c>
      <c r="C192" s="367" t="s">
        <v>282</v>
      </c>
      <c r="D192" s="368"/>
      <c r="E192" s="375">
        <v>43078.01</v>
      </c>
      <c r="F192" s="375">
        <v>48141.22</v>
      </c>
    </row>
    <row r="193" spans="1:6">
      <c r="A193" s="365">
        <v>6</v>
      </c>
      <c r="B193" s="366" t="s">
        <v>2134</v>
      </c>
      <c r="C193" s="367" t="s">
        <v>283</v>
      </c>
      <c r="D193" s="368"/>
      <c r="E193" s="375">
        <v>402184.56</v>
      </c>
      <c r="F193" s="375">
        <v>394778.93</v>
      </c>
    </row>
    <row r="194" spans="1:6">
      <c r="A194" s="365">
        <v>6</v>
      </c>
      <c r="B194" s="366" t="s">
        <v>2135</v>
      </c>
      <c r="C194" s="367" t="s">
        <v>284</v>
      </c>
      <c r="D194" s="368"/>
      <c r="E194" s="375">
        <v>88270.17</v>
      </c>
      <c r="F194" s="375">
        <v>83504.66</v>
      </c>
    </row>
    <row r="195" spans="1:6">
      <c r="A195" s="365">
        <v>6</v>
      </c>
      <c r="B195" s="366" t="s">
        <v>2136</v>
      </c>
      <c r="C195" s="367" t="s">
        <v>285</v>
      </c>
      <c r="D195" s="368"/>
      <c r="E195" s="375">
        <v>64057.85</v>
      </c>
      <c r="F195" s="375">
        <v>76341.27</v>
      </c>
    </row>
    <row r="196" spans="1:6">
      <c r="A196" s="365">
        <v>6</v>
      </c>
      <c r="B196" s="366" t="s">
        <v>2137</v>
      </c>
      <c r="C196" s="367" t="s">
        <v>286</v>
      </c>
      <c r="D196" s="368"/>
      <c r="E196" s="375">
        <v>344434.11</v>
      </c>
      <c r="F196" s="375">
        <v>294719.52</v>
      </c>
    </row>
    <row r="197" spans="1:6">
      <c r="A197" s="365">
        <v>6</v>
      </c>
      <c r="B197" s="366" t="s">
        <v>2138</v>
      </c>
      <c r="C197" s="367" t="s">
        <v>287</v>
      </c>
      <c r="D197" s="368"/>
      <c r="E197" s="375">
        <v>613436.46</v>
      </c>
      <c r="F197" s="375">
        <v>592236.73</v>
      </c>
    </row>
    <row r="198" spans="1:6">
      <c r="A198" s="365">
        <v>6</v>
      </c>
      <c r="B198" s="366" t="s">
        <v>2139</v>
      </c>
      <c r="C198" s="367" t="s">
        <v>288</v>
      </c>
      <c r="D198" s="368"/>
      <c r="E198" s="375">
        <v>211334.64</v>
      </c>
      <c r="F198" s="375">
        <v>210989.95</v>
      </c>
    </row>
    <row r="199" spans="1:6" ht="24">
      <c r="A199" s="370">
        <v>6</v>
      </c>
      <c r="B199" s="371" t="s">
        <v>2140</v>
      </c>
      <c r="C199" s="372" t="s">
        <v>289</v>
      </c>
      <c r="D199" s="373"/>
      <c r="E199" s="376"/>
      <c r="F199" s="376"/>
    </row>
    <row r="200" spans="1:6">
      <c r="A200" s="365">
        <v>7</v>
      </c>
      <c r="B200" s="366" t="s">
        <v>2141</v>
      </c>
      <c r="C200" s="367" t="s">
        <v>290</v>
      </c>
      <c r="D200" s="368"/>
      <c r="E200" s="375"/>
      <c r="F200" s="375"/>
    </row>
    <row r="201" spans="1:6">
      <c r="A201" s="365">
        <v>7</v>
      </c>
      <c r="B201" s="366" t="s">
        <v>2142</v>
      </c>
      <c r="C201" s="367" t="s">
        <v>291</v>
      </c>
      <c r="D201" s="368"/>
      <c r="E201" s="375"/>
      <c r="F201" s="375"/>
    </row>
    <row r="202" spans="1:6">
      <c r="A202" s="365">
        <v>6</v>
      </c>
      <c r="B202" s="366" t="s">
        <v>2143</v>
      </c>
      <c r="C202" s="367" t="s">
        <v>292</v>
      </c>
      <c r="D202" s="368"/>
      <c r="E202" s="375">
        <v>58159.11</v>
      </c>
      <c r="F202" s="375">
        <v>107733.29</v>
      </c>
    </row>
    <row r="203" spans="1:6">
      <c r="A203" s="365">
        <v>5</v>
      </c>
      <c r="B203" s="366" t="s">
        <v>2144</v>
      </c>
      <c r="C203" s="367" t="s">
        <v>2145</v>
      </c>
      <c r="D203" s="368"/>
      <c r="E203" s="375">
        <v>1020</v>
      </c>
      <c r="F203" s="375">
        <v>1105</v>
      </c>
    </row>
    <row r="204" spans="1:6">
      <c r="A204" s="365">
        <v>5</v>
      </c>
      <c r="B204" s="366" t="s">
        <v>2146</v>
      </c>
      <c r="C204" s="367" t="s">
        <v>293</v>
      </c>
      <c r="D204" s="368"/>
      <c r="E204" s="375">
        <v>189595.67</v>
      </c>
      <c r="F204" s="375">
        <v>173808.7</v>
      </c>
    </row>
    <row r="205" spans="1:6">
      <c r="A205" s="365">
        <v>5</v>
      </c>
      <c r="B205" s="366" t="s">
        <v>2147</v>
      </c>
      <c r="C205" s="367" t="s">
        <v>294</v>
      </c>
      <c r="D205" s="368"/>
      <c r="E205" s="375">
        <v>70357.13</v>
      </c>
      <c r="F205" s="375">
        <v>64178.1</v>
      </c>
    </row>
    <row r="206" spans="1:6">
      <c r="A206" s="365">
        <v>5</v>
      </c>
      <c r="B206" s="366" t="s">
        <v>2148</v>
      </c>
      <c r="C206" s="367" t="s">
        <v>295</v>
      </c>
      <c r="D206" s="368"/>
      <c r="E206" s="375">
        <v>353.37</v>
      </c>
      <c r="F206" s="375"/>
    </row>
    <row r="207" spans="1:6">
      <c r="A207" s="365">
        <v>5</v>
      </c>
      <c r="B207" s="366" t="s">
        <v>2149</v>
      </c>
      <c r="C207" s="367" t="s">
        <v>296</v>
      </c>
      <c r="D207" s="368"/>
      <c r="E207" s="375">
        <v>387127.93</v>
      </c>
      <c r="F207" s="375">
        <v>309511.28000000003</v>
      </c>
    </row>
    <row r="208" spans="1:6">
      <c r="A208" s="365">
        <v>5</v>
      </c>
      <c r="B208" s="366" t="s">
        <v>2150</v>
      </c>
      <c r="C208" s="367" t="s">
        <v>297</v>
      </c>
      <c r="D208" s="368"/>
      <c r="E208" s="375"/>
      <c r="F208" s="375"/>
    </row>
    <row r="209" spans="1:6">
      <c r="A209" s="370">
        <v>5</v>
      </c>
      <c r="B209" s="371" t="s">
        <v>2151</v>
      </c>
      <c r="C209" s="372" t="s">
        <v>298</v>
      </c>
      <c r="D209" s="373"/>
      <c r="E209" s="376"/>
      <c r="F209" s="376"/>
    </row>
    <row r="210" spans="1:6">
      <c r="A210" s="365">
        <v>6</v>
      </c>
      <c r="B210" s="366" t="s">
        <v>2152</v>
      </c>
      <c r="C210" s="367" t="s">
        <v>299</v>
      </c>
      <c r="D210" s="368"/>
      <c r="E210" s="375"/>
      <c r="F210" s="375"/>
    </row>
    <row r="211" spans="1:6">
      <c r="A211" s="365">
        <v>6</v>
      </c>
      <c r="B211" s="366" t="s">
        <v>2153</v>
      </c>
      <c r="C211" s="367" t="s">
        <v>300</v>
      </c>
      <c r="D211" s="368"/>
      <c r="E211" s="375"/>
      <c r="F211" s="375"/>
    </row>
    <row r="212" spans="1:6" ht="25.5">
      <c r="A212" s="362" t="s">
        <v>1968</v>
      </c>
      <c r="B212" s="363" t="s">
        <v>1322</v>
      </c>
      <c r="C212" s="362" t="s">
        <v>2154</v>
      </c>
      <c r="D212" s="364"/>
      <c r="E212" s="374"/>
      <c r="F212" s="374"/>
    </row>
    <row r="213" spans="1:6" ht="25.5">
      <c r="A213" s="362" t="s">
        <v>1970</v>
      </c>
      <c r="B213" s="363" t="s">
        <v>302</v>
      </c>
      <c r="C213" s="362" t="s">
        <v>2155</v>
      </c>
      <c r="D213" s="364"/>
      <c r="E213" s="374"/>
      <c r="F213" s="374"/>
    </row>
    <row r="214" spans="1:6" ht="24">
      <c r="A214" s="365" t="s">
        <v>1972</v>
      </c>
      <c r="B214" s="366" t="s">
        <v>2156</v>
      </c>
      <c r="C214" s="367" t="s">
        <v>301</v>
      </c>
      <c r="D214" s="368"/>
      <c r="E214" s="375">
        <v>1109930.7</v>
      </c>
      <c r="F214" s="375">
        <v>904998.7</v>
      </c>
    </row>
    <row r="215" spans="1:6" ht="25.5">
      <c r="A215" s="362" t="s">
        <v>1970</v>
      </c>
      <c r="B215" s="363" t="s">
        <v>304</v>
      </c>
      <c r="C215" s="362" t="s">
        <v>2157</v>
      </c>
      <c r="D215" s="364"/>
      <c r="E215" s="374"/>
      <c r="F215" s="374"/>
    </row>
    <row r="216" spans="1:6" ht="24">
      <c r="A216" s="365" t="s">
        <v>1972</v>
      </c>
      <c r="B216" s="366" t="s">
        <v>2158</v>
      </c>
      <c r="C216" s="367" t="s">
        <v>303</v>
      </c>
      <c r="D216" s="368"/>
      <c r="E216" s="375">
        <v>7650931.7400000002</v>
      </c>
      <c r="F216" s="375">
        <v>6635986.2800000003</v>
      </c>
    </row>
    <row r="217" spans="1:6" ht="25.5">
      <c r="A217" s="362" t="s">
        <v>1970</v>
      </c>
      <c r="B217" s="363" t="s">
        <v>306</v>
      </c>
      <c r="C217" s="362" t="s">
        <v>2159</v>
      </c>
      <c r="D217" s="364"/>
      <c r="E217" s="374"/>
      <c r="F217" s="374"/>
    </row>
    <row r="218" spans="1:6" ht="24">
      <c r="A218" s="365" t="s">
        <v>1972</v>
      </c>
      <c r="B218" s="366" t="s">
        <v>2160</v>
      </c>
      <c r="C218" s="367" t="s">
        <v>305</v>
      </c>
      <c r="D218" s="368"/>
      <c r="E218" s="375">
        <v>220</v>
      </c>
      <c r="F218" s="375">
        <v>325</v>
      </c>
    </row>
    <row r="219" spans="1:6" ht="25.5">
      <c r="A219" s="362" t="s">
        <v>1970</v>
      </c>
      <c r="B219" s="363" t="s">
        <v>308</v>
      </c>
      <c r="C219" s="362" t="s">
        <v>2161</v>
      </c>
      <c r="D219" s="364"/>
      <c r="E219" s="374"/>
      <c r="F219" s="374"/>
    </row>
    <row r="220" spans="1:6" ht="24">
      <c r="A220" s="365" t="s">
        <v>1972</v>
      </c>
      <c r="B220" s="366" t="s">
        <v>2162</v>
      </c>
      <c r="C220" s="367" t="s">
        <v>307</v>
      </c>
      <c r="D220" s="368"/>
      <c r="E220" s="375">
        <v>102792.31</v>
      </c>
      <c r="F220" s="375">
        <v>89058.4</v>
      </c>
    </row>
    <row r="221" spans="1:6" ht="38.25">
      <c r="A221" s="362" t="s">
        <v>1970</v>
      </c>
      <c r="B221" s="363" t="s">
        <v>310</v>
      </c>
      <c r="C221" s="362" t="s">
        <v>2163</v>
      </c>
      <c r="D221" s="364" t="s">
        <v>1248</v>
      </c>
      <c r="E221" s="374"/>
      <c r="F221" s="374"/>
    </row>
    <row r="222" spans="1:6" ht="36">
      <c r="A222" s="365" t="s">
        <v>1972</v>
      </c>
      <c r="B222" s="366" t="s">
        <v>2164</v>
      </c>
      <c r="C222" s="367" t="s">
        <v>309</v>
      </c>
      <c r="D222" s="368" t="s">
        <v>1248</v>
      </c>
      <c r="E222" s="375">
        <v>165926.20000000001</v>
      </c>
      <c r="F222" s="375">
        <v>122523</v>
      </c>
    </row>
    <row r="223" spans="1:6" ht="25.5">
      <c r="A223" s="362" t="s">
        <v>1970</v>
      </c>
      <c r="B223" s="363" t="s">
        <v>312</v>
      </c>
      <c r="C223" s="362" t="s">
        <v>2165</v>
      </c>
      <c r="D223" s="364"/>
      <c r="E223" s="374"/>
      <c r="F223" s="374"/>
    </row>
    <row r="224" spans="1:6">
      <c r="A224" s="365" t="s">
        <v>1972</v>
      </c>
      <c r="B224" s="366" t="s">
        <v>2166</v>
      </c>
      <c r="C224" s="367" t="s">
        <v>311</v>
      </c>
      <c r="D224" s="368"/>
      <c r="E224" s="375">
        <v>43000</v>
      </c>
      <c r="F224" s="375">
        <v>38500</v>
      </c>
    </row>
    <row r="225" spans="1:186" ht="25.5">
      <c r="A225" s="362" t="s">
        <v>1970</v>
      </c>
      <c r="B225" s="363" t="s">
        <v>314</v>
      </c>
      <c r="C225" s="362" t="s">
        <v>2167</v>
      </c>
      <c r="D225" s="364" t="s">
        <v>1248</v>
      </c>
      <c r="E225" s="374"/>
      <c r="F225" s="374"/>
    </row>
    <row r="226" spans="1:186" ht="24">
      <c r="A226" s="365" t="s">
        <v>1972</v>
      </c>
      <c r="B226" s="366" t="s">
        <v>2168</v>
      </c>
      <c r="C226" s="367" t="s">
        <v>313</v>
      </c>
      <c r="D226" s="368" t="s">
        <v>1248</v>
      </c>
      <c r="E226" s="375"/>
      <c r="F226" s="375"/>
    </row>
    <row r="227" spans="1:186">
      <c r="A227" s="362" t="s">
        <v>1966</v>
      </c>
      <c r="B227" s="363" t="s">
        <v>1331</v>
      </c>
      <c r="C227" s="362" t="s">
        <v>1332</v>
      </c>
      <c r="D227" s="364"/>
      <c r="E227" s="374"/>
      <c r="F227" s="374"/>
    </row>
    <row r="228" spans="1:186">
      <c r="A228" s="362" t="s">
        <v>1968</v>
      </c>
      <c r="B228" s="363" t="s">
        <v>316</v>
      </c>
      <c r="C228" s="362" t="s">
        <v>1333</v>
      </c>
      <c r="D228" s="364"/>
      <c r="E228" s="374"/>
      <c r="F228" s="374"/>
    </row>
    <row r="229" spans="1:186">
      <c r="A229" s="365" t="s">
        <v>1970</v>
      </c>
      <c r="B229" s="366" t="s">
        <v>2169</v>
      </c>
      <c r="C229" s="367" t="s">
        <v>315</v>
      </c>
      <c r="D229" s="368"/>
      <c r="E229" s="375">
        <v>159093.43</v>
      </c>
      <c r="F229" s="375">
        <v>83026.77</v>
      </c>
    </row>
    <row r="230" spans="1:186">
      <c r="A230" s="362" t="s">
        <v>1968</v>
      </c>
      <c r="B230" s="363" t="s">
        <v>1334</v>
      </c>
      <c r="C230" s="362" t="s">
        <v>1335</v>
      </c>
      <c r="D230" s="364"/>
      <c r="E230" s="374"/>
      <c r="F230" s="374"/>
    </row>
    <row r="231" spans="1:186" ht="25.5">
      <c r="A231" s="362" t="s">
        <v>1970</v>
      </c>
      <c r="B231" s="363" t="s">
        <v>318</v>
      </c>
      <c r="C231" s="362" t="s">
        <v>1336</v>
      </c>
      <c r="D231" s="364"/>
      <c r="E231" s="374"/>
      <c r="F231" s="374"/>
    </row>
    <row r="232" spans="1:186" ht="24">
      <c r="A232" s="365" t="s">
        <v>1972</v>
      </c>
      <c r="B232" s="366" t="s">
        <v>2170</v>
      </c>
      <c r="C232" s="367" t="s">
        <v>317</v>
      </c>
      <c r="D232" s="368"/>
      <c r="E232" s="375">
        <v>94473.01</v>
      </c>
      <c r="F232" s="375">
        <v>243048.04</v>
      </c>
    </row>
    <row r="233" spans="1:186" ht="25.5">
      <c r="A233" s="362" t="s">
        <v>1970</v>
      </c>
      <c r="B233" s="363" t="s">
        <v>320</v>
      </c>
      <c r="C233" s="362" t="s">
        <v>1337</v>
      </c>
      <c r="D233" s="364"/>
      <c r="E233" s="374"/>
      <c r="F233" s="374"/>
    </row>
    <row r="234" spans="1:186">
      <c r="A234" s="365" t="s">
        <v>1972</v>
      </c>
      <c r="B234" s="366" t="s">
        <v>2171</v>
      </c>
      <c r="C234" s="367" t="s">
        <v>319</v>
      </c>
      <c r="D234" s="368"/>
      <c r="E234" s="375"/>
      <c r="F234" s="375"/>
    </row>
    <row r="235" spans="1:186" ht="25.5">
      <c r="A235" s="362" t="s">
        <v>1968</v>
      </c>
      <c r="B235" s="363" t="s">
        <v>1338</v>
      </c>
      <c r="C235" s="362" t="s">
        <v>1339</v>
      </c>
      <c r="D235" s="364" t="s">
        <v>1248</v>
      </c>
      <c r="E235" s="374"/>
      <c r="F235" s="374"/>
    </row>
    <row r="236" spans="1:186" ht="38.25">
      <c r="A236" s="362" t="s">
        <v>1970</v>
      </c>
      <c r="B236" s="363" t="s">
        <v>322</v>
      </c>
      <c r="C236" s="362" t="s">
        <v>1340</v>
      </c>
      <c r="D236" s="364" t="s">
        <v>1248</v>
      </c>
      <c r="E236" s="374"/>
      <c r="F236" s="374"/>
    </row>
    <row r="237" spans="1:186" ht="36">
      <c r="A237" s="365">
        <v>6</v>
      </c>
      <c r="B237" s="366" t="s">
        <v>2172</v>
      </c>
      <c r="C237" s="367" t="s">
        <v>321</v>
      </c>
      <c r="D237" s="368" t="s">
        <v>1248</v>
      </c>
      <c r="E237" s="375">
        <v>56183.39</v>
      </c>
      <c r="F237" s="375">
        <v>124522.06</v>
      </c>
    </row>
    <row r="238" spans="1:186" ht="25.5">
      <c r="A238" s="362" t="s">
        <v>1970</v>
      </c>
      <c r="B238" s="363" t="s">
        <v>324</v>
      </c>
      <c r="C238" s="362" t="s">
        <v>1341</v>
      </c>
      <c r="D238" s="364" t="s">
        <v>1248</v>
      </c>
      <c r="E238" s="374"/>
      <c r="F238" s="374"/>
    </row>
    <row r="239" spans="1:186" ht="24">
      <c r="A239" s="365" t="s">
        <v>1972</v>
      </c>
      <c r="B239" s="366" t="s">
        <v>2173</v>
      </c>
      <c r="C239" s="367" t="s">
        <v>323</v>
      </c>
      <c r="D239" s="368" t="s">
        <v>1248</v>
      </c>
      <c r="E239" s="375"/>
      <c r="F239" s="375">
        <v>788.5</v>
      </c>
    </row>
    <row r="240" spans="1:186" ht="25.5">
      <c r="A240" s="362" t="s">
        <v>1970</v>
      </c>
      <c r="B240" s="363" t="s">
        <v>325</v>
      </c>
      <c r="C240" s="362" t="s">
        <v>1342</v>
      </c>
      <c r="D240" s="364" t="s">
        <v>1248</v>
      </c>
      <c r="E240" s="374"/>
      <c r="F240" s="37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</row>
    <row r="241" spans="1:186" ht="24">
      <c r="A241" s="365">
        <v>6</v>
      </c>
      <c r="B241" s="366" t="s">
        <v>2174</v>
      </c>
      <c r="C241" s="367" t="s">
        <v>2175</v>
      </c>
      <c r="D241" s="368" t="s">
        <v>1248</v>
      </c>
      <c r="E241" s="375">
        <v>214081.99</v>
      </c>
      <c r="F241" s="375">
        <v>268466.40000000002</v>
      </c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</row>
    <row r="242" spans="1:186" ht="24">
      <c r="A242" s="365">
        <v>6</v>
      </c>
      <c r="B242" s="366" t="s">
        <v>2176</v>
      </c>
      <c r="C242" s="367" t="s">
        <v>2177</v>
      </c>
      <c r="D242" s="368" t="s">
        <v>1248</v>
      </c>
      <c r="E242" s="375">
        <v>11840.29</v>
      </c>
      <c r="F242" s="375">
        <v>10851</v>
      </c>
    </row>
    <row r="243" spans="1:186" ht="24">
      <c r="A243" s="365">
        <v>6</v>
      </c>
      <c r="B243" s="366" t="s">
        <v>2178</v>
      </c>
      <c r="C243" s="367" t="s">
        <v>2179</v>
      </c>
      <c r="D243" s="368" t="s">
        <v>1248</v>
      </c>
      <c r="E243" s="375">
        <v>951810.4</v>
      </c>
      <c r="F243" s="375">
        <v>655206.34</v>
      </c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</row>
    <row r="244" spans="1:186" ht="25.5">
      <c r="A244" s="362" t="s">
        <v>1970</v>
      </c>
      <c r="B244" s="363" t="s">
        <v>327</v>
      </c>
      <c r="C244" s="362" t="s">
        <v>1343</v>
      </c>
      <c r="D244" s="364" t="s">
        <v>1248</v>
      </c>
      <c r="E244" s="374"/>
      <c r="F244" s="37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</row>
    <row r="245" spans="1:186" ht="24">
      <c r="A245" s="365" t="s">
        <v>1972</v>
      </c>
      <c r="B245" s="366" t="s">
        <v>2180</v>
      </c>
      <c r="C245" s="367" t="s">
        <v>326</v>
      </c>
      <c r="D245" s="368" t="s">
        <v>1248</v>
      </c>
      <c r="E245" s="375"/>
      <c r="F245" s="375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</row>
    <row r="246" spans="1:186" ht="25.5">
      <c r="A246" s="362" t="s">
        <v>1968</v>
      </c>
      <c r="B246" s="363" t="s">
        <v>328</v>
      </c>
      <c r="C246" s="362" t="s">
        <v>1344</v>
      </c>
      <c r="D246" s="364"/>
      <c r="E246" s="374"/>
      <c r="F246" s="37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</row>
    <row r="247" spans="1:186" ht="38.25">
      <c r="A247" s="362" t="s">
        <v>1970</v>
      </c>
      <c r="B247" s="363" t="s">
        <v>330</v>
      </c>
      <c r="C247" s="362" t="s">
        <v>1345</v>
      </c>
      <c r="D247" s="364"/>
      <c r="E247" s="374"/>
      <c r="F247" s="37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</row>
    <row r="248" spans="1:186" ht="36">
      <c r="A248" s="365" t="s">
        <v>1972</v>
      </c>
      <c r="B248" s="366" t="s">
        <v>2181</v>
      </c>
      <c r="C248" s="367" t="s">
        <v>329</v>
      </c>
      <c r="D248" s="368"/>
      <c r="E248" s="375">
        <v>162380.35</v>
      </c>
      <c r="F248" s="375">
        <v>176166.79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</row>
    <row r="249" spans="1:186" ht="25.5">
      <c r="A249" s="362" t="s">
        <v>1970</v>
      </c>
      <c r="B249" s="363" t="s">
        <v>332</v>
      </c>
      <c r="C249" s="362" t="s">
        <v>1346</v>
      </c>
      <c r="D249" s="364"/>
      <c r="E249" s="374"/>
      <c r="F249" s="37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</row>
    <row r="250" spans="1:186" ht="24">
      <c r="A250" s="365" t="s">
        <v>1972</v>
      </c>
      <c r="B250" s="366" t="s">
        <v>2182</v>
      </c>
      <c r="C250" s="367" t="s">
        <v>331</v>
      </c>
      <c r="D250" s="368"/>
      <c r="E250" s="375"/>
      <c r="F250" s="375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</row>
    <row r="251" spans="1:186" ht="25.5">
      <c r="A251" s="362" t="s">
        <v>1970</v>
      </c>
      <c r="B251" s="363" t="s">
        <v>334</v>
      </c>
      <c r="C251" s="362" t="s">
        <v>1347</v>
      </c>
      <c r="D251" s="364"/>
      <c r="E251" s="374"/>
      <c r="F251" s="37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</row>
    <row r="252" spans="1:186">
      <c r="A252" s="365" t="s">
        <v>1972</v>
      </c>
      <c r="B252" s="366" t="s">
        <v>2183</v>
      </c>
      <c r="C252" s="367" t="s">
        <v>335</v>
      </c>
      <c r="D252" s="368"/>
      <c r="E252" s="375"/>
      <c r="F252" s="375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</row>
    <row r="253" spans="1:186">
      <c r="A253" s="365" t="s">
        <v>1972</v>
      </c>
      <c r="B253" s="366" t="s">
        <v>2184</v>
      </c>
      <c r="C253" s="367" t="s">
        <v>336</v>
      </c>
      <c r="D253" s="368"/>
      <c r="E253" s="375"/>
      <c r="F253" s="375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</row>
    <row r="254" spans="1:186">
      <c r="A254" s="365" t="s">
        <v>1972</v>
      </c>
      <c r="B254" s="366" t="s">
        <v>2185</v>
      </c>
      <c r="C254" s="367" t="s">
        <v>337</v>
      </c>
      <c r="D254" s="368"/>
      <c r="E254" s="375">
        <v>714378.46</v>
      </c>
      <c r="F254" s="375">
        <v>756562.17</v>
      </c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</row>
    <row r="255" spans="1:186">
      <c r="A255" s="365" t="s">
        <v>1972</v>
      </c>
      <c r="B255" s="366" t="s">
        <v>2186</v>
      </c>
      <c r="C255" s="367" t="s">
        <v>338</v>
      </c>
      <c r="D255" s="368"/>
      <c r="E255" s="375"/>
      <c r="F255" s="375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</row>
    <row r="256" spans="1:186">
      <c r="A256" s="365" t="s">
        <v>1972</v>
      </c>
      <c r="B256" s="366" t="s">
        <v>2187</v>
      </c>
      <c r="C256" s="367" t="s">
        <v>339</v>
      </c>
      <c r="D256" s="368"/>
      <c r="E256" s="375"/>
      <c r="F256" s="375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</row>
    <row r="257" spans="1:186" ht="24">
      <c r="A257" s="365" t="s">
        <v>1972</v>
      </c>
      <c r="B257" s="366" t="s">
        <v>2188</v>
      </c>
      <c r="C257" s="367" t="s">
        <v>333</v>
      </c>
      <c r="D257" s="368"/>
      <c r="E257" s="375">
        <v>1464285.78</v>
      </c>
      <c r="F257" s="375">
        <v>549376.35</v>
      </c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</row>
    <row r="258" spans="1:186">
      <c r="A258" s="362" t="s">
        <v>1968</v>
      </c>
      <c r="B258" s="363" t="s">
        <v>340</v>
      </c>
      <c r="C258" s="362" t="s">
        <v>1348</v>
      </c>
      <c r="D258" s="364"/>
      <c r="E258" s="374"/>
      <c r="F258" s="37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</row>
    <row r="259" spans="1:186" ht="25.5">
      <c r="A259" s="362" t="s">
        <v>1970</v>
      </c>
      <c r="B259" s="363" t="s">
        <v>341</v>
      </c>
      <c r="C259" s="362" t="s">
        <v>1349</v>
      </c>
      <c r="D259" s="364"/>
      <c r="E259" s="374"/>
      <c r="F259" s="37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</row>
    <row r="260" spans="1:186" ht="25.5">
      <c r="A260" s="362" t="s">
        <v>1972</v>
      </c>
      <c r="B260" s="363" t="s">
        <v>343</v>
      </c>
      <c r="C260" s="362" t="s">
        <v>1350</v>
      </c>
      <c r="D260" s="364"/>
      <c r="E260" s="374"/>
      <c r="F260" s="37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</row>
    <row r="261" spans="1:186" ht="24">
      <c r="A261" s="365" t="s">
        <v>1975</v>
      </c>
      <c r="B261" s="366" t="s">
        <v>2189</v>
      </c>
      <c r="C261" s="367" t="s">
        <v>342</v>
      </c>
      <c r="D261" s="368"/>
      <c r="E261" s="375"/>
      <c r="F261" s="375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</row>
    <row r="262" spans="1:186" ht="25.5">
      <c r="A262" s="362" t="s">
        <v>1972</v>
      </c>
      <c r="B262" s="363" t="s">
        <v>345</v>
      </c>
      <c r="C262" s="362" t="s">
        <v>1351</v>
      </c>
      <c r="D262" s="364"/>
      <c r="E262" s="374"/>
      <c r="F262" s="37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</row>
    <row r="263" spans="1:186" ht="24">
      <c r="A263" s="365" t="s">
        <v>1975</v>
      </c>
      <c r="B263" s="366" t="s">
        <v>2190</v>
      </c>
      <c r="C263" s="367" t="s">
        <v>344</v>
      </c>
      <c r="D263" s="368"/>
      <c r="E263" s="375">
        <v>9518847</v>
      </c>
      <c r="F263" s="375">
        <v>26195778.23</v>
      </c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</row>
    <row r="264" spans="1:186">
      <c r="A264" s="362" t="s">
        <v>1972</v>
      </c>
      <c r="B264" s="363" t="s">
        <v>347</v>
      </c>
      <c r="C264" s="362" t="s">
        <v>1352</v>
      </c>
      <c r="D264" s="364"/>
      <c r="E264" s="374"/>
      <c r="F264" s="37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</row>
    <row r="265" spans="1:186">
      <c r="A265" s="365" t="s">
        <v>1975</v>
      </c>
      <c r="B265" s="366" t="s">
        <v>2191</v>
      </c>
      <c r="C265" s="367" t="s">
        <v>346</v>
      </c>
      <c r="D265" s="368"/>
      <c r="E265" s="375">
        <v>3367280.22</v>
      </c>
      <c r="F265" s="375">
        <v>4861282.34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</row>
    <row r="266" spans="1:186">
      <c r="A266" s="362" t="s">
        <v>1970</v>
      </c>
      <c r="B266" s="363" t="s">
        <v>349</v>
      </c>
      <c r="C266" s="362" t="s">
        <v>1353</v>
      </c>
      <c r="D266" s="364"/>
      <c r="E266" s="374"/>
      <c r="F266" s="37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</row>
    <row r="267" spans="1:186">
      <c r="A267" s="365" t="s">
        <v>1972</v>
      </c>
      <c r="B267" s="366" t="s">
        <v>2192</v>
      </c>
      <c r="C267" s="367" t="s">
        <v>348</v>
      </c>
      <c r="D267" s="368"/>
      <c r="E267" s="375"/>
      <c r="F267" s="375">
        <v>42017120.640000001</v>
      </c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</row>
    <row r="268" spans="1:186">
      <c r="A268" s="362" t="s">
        <v>1970</v>
      </c>
      <c r="B268" s="363" t="s">
        <v>351</v>
      </c>
      <c r="C268" s="362" t="s">
        <v>1354</v>
      </c>
      <c r="D268" s="364"/>
      <c r="E268" s="374"/>
      <c r="F268" s="37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</row>
    <row r="269" spans="1:186">
      <c r="A269" s="365" t="s">
        <v>1972</v>
      </c>
      <c r="B269" s="366" t="s">
        <v>2193</v>
      </c>
      <c r="C269" s="367" t="s">
        <v>352</v>
      </c>
      <c r="D269" s="368"/>
      <c r="E269" s="375"/>
      <c r="F269" s="375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</row>
    <row r="270" spans="1:186" ht="24">
      <c r="A270" s="365" t="s">
        <v>1972</v>
      </c>
      <c r="B270" s="366" t="s">
        <v>2194</v>
      </c>
      <c r="C270" s="367" t="s">
        <v>353</v>
      </c>
      <c r="D270" s="368"/>
      <c r="E270" s="375">
        <v>380351.68</v>
      </c>
      <c r="F270" s="375">
        <v>344833.49</v>
      </c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</row>
    <row r="271" spans="1:186" ht="24">
      <c r="A271" s="365" t="s">
        <v>1972</v>
      </c>
      <c r="B271" s="366" t="s">
        <v>2195</v>
      </c>
      <c r="C271" s="367" t="s">
        <v>354</v>
      </c>
      <c r="D271" s="368"/>
      <c r="E271" s="375">
        <v>18</v>
      </c>
      <c r="F271" s="375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</row>
    <row r="272" spans="1:186">
      <c r="A272" s="365" t="s">
        <v>1972</v>
      </c>
      <c r="B272" s="366" t="s">
        <v>2196</v>
      </c>
      <c r="C272" s="367" t="s">
        <v>355</v>
      </c>
      <c r="D272" s="368"/>
      <c r="E272" s="375">
        <v>125268.78</v>
      </c>
      <c r="F272" s="375">
        <v>109786.52</v>
      </c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  <c r="GB272" s="54"/>
      <c r="GC272" s="54"/>
      <c r="GD272" s="54"/>
    </row>
    <row r="273" spans="1:186">
      <c r="A273" s="365" t="s">
        <v>1972</v>
      </c>
      <c r="B273" s="366" t="s">
        <v>2197</v>
      </c>
      <c r="C273" s="367" t="s">
        <v>356</v>
      </c>
      <c r="D273" s="368"/>
      <c r="E273" s="375">
        <v>959.28</v>
      </c>
      <c r="F273" s="375">
        <v>1834.88</v>
      </c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</row>
    <row r="274" spans="1:186">
      <c r="A274" s="365" t="s">
        <v>1972</v>
      </c>
      <c r="B274" s="366" t="s">
        <v>2198</v>
      </c>
      <c r="C274" s="367" t="s">
        <v>357</v>
      </c>
      <c r="D274" s="368"/>
      <c r="E274" s="375">
        <v>60482.81</v>
      </c>
      <c r="F274" s="375">
        <v>121037.31</v>
      </c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</row>
    <row r="275" spans="1:186">
      <c r="A275" s="365" t="s">
        <v>1972</v>
      </c>
      <c r="B275" s="366" t="s">
        <v>2199</v>
      </c>
      <c r="C275" s="367" t="s">
        <v>358</v>
      </c>
      <c r="D275" s="368"/>
      <c r="E275" s="375"/>
      <c r="F275" s="375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</row>
    <row r="276" spans="1:186">
      <c r="A276" s="365" t="s">
        <v>1972</v>
      </c>
      <c r="B276" s="366" t="s">
        <v>2200</v>
      </c>
      <c r="C276" s="367" t="s">
        <v>359</v>
      </c>
      <c r="D276" s="368"/>
      <c r="E276" s="375">
        <v>10698.01</v>
      </c>
      <c r="F276" s="375">
        <v>7289.5</v>
      </c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</row>
    <row r="277" spans="1:186">
      <c r="A277" s="365" t="s">
        <v>1972</v>
      </c>
      <c r="B277" s="366" t="s">
        <v>2201</v>
      </c>
      <c r="C277" s="367" t="s">
        <v>360</v>
      </c>
      <c r="D277" s="368"/>
      <c r="E277" s="375">
        <v>4937.08</v>
      </c>
      <c r="F277" s="375">
        <v>5578.48</v>
      </c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</row>
    <row r="278" spans="1:186" ht="24">
      <c r="A278" s="365" t="s">
        <v>1972</v>
      </c>
      <c r="B278" s="366" t="s">
        <v>2202</v>
      </c>
      <c r="C278" s="367" t="s">
        <v>361</v>
      </c>
      <c r="D278" s="368"/>
      <c r="E278" s="375">
        <v>7643.26</v>
      </c>
      <c r="F278" s="375">
        <v>10198.459999999999</v>
      </c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</row>
    <row r="279" spans="1:186">
      <c r="A279" s="365" t="s">
        <v>1972</v>
      </c>
      <c r="B279" s="366" t="s">
        <v>2203</v>
      </c>
      <c r="C279" s="367" t="s">
        <v>362</v>
      </c>
      <c r="D279" s="368"/>
      <c r="E279" s="375"/>
      <c r="F279" s="375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</row>
    <row r="280" spans="1:186">
      <c r="A280" s="365" t="s">
        <v>1972</v>
      </c>
      <c r="B280" s="366" t="s">
        <v>2204</v>
      </c>
      <c r="C280" s="367" t="s">
        <v>363</v>
      </c>
      <c r="D280" s="368"/>
      <c r="E280" s="375">
        <v>12320.51</v>
      </c>
      <c r="F280" s="375">
        <v>14239.06</v>
      </c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</row>
    <row r="281" spans="1:186">
      <c r="A281" s="365" t="s">
        <v>1972</v>
      </c>
      <c r="B281" s="366" t="s">
        <v>2205</v>
      </c>
      <c r="C281" s="367" t="s">
        <v>350</v>
      </c>
      <c r="D281" s="368"/>
      <c r="E281" s="375">
        <v>185768.44</v>
      </c>
      <c r="F281" s="375">
        <v>239315.64</v>
      </c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</row>
    <row r="282" spans="1:186" ht="25.5">
      <c r="A282" s="362" t="s">
        <v>1966</v>
      </c>
      <c r="B282" s="363" t="s">
        <v>364</v>
      </c>
      <c r="C282" s="362" t="s">
        <v>2206</v>
      </c>
      <c r="D282" s="364"/>
      <c r="E282" s="374"/>
      <c r="F282" s="37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</row>
    <row r="283" spans="1:186" ht="38.25">
      <c r="A283" s="362" t="s">
        <v>1968</v>
      </c>
      <c r="B283" s="363" t="s">
        <v>365</v>
      </c>
      <c r="C283" s="362" t="s">
        <v>2207</v>
      </c>
      <c r="D283" s="364"/>
      <c r="E283" s="374"/>
      <c r="F283" s="37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</row>
    <row r="284" spans="1:186" ht="36">
      <c r="A284" s="365" t="s">
        <v>1970</v>
      </c>
      <c r="B284" s="366" t="s">
        <v>2208</v>
      </c>
      <c r="C284" s="367" t="s">
        <v>1822</v>
      </c>
      <c r="D284" s="368"/>
      <c r="E284" s="375">
        <v>8686383.7200000007</v>
      </c>
      <c r="F284" s="375">
        <v>7695548.8200000003</v>
      </c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  <c r="GB284" s="54"/>
      <c r="GC284" s="54"/>
      <c r="GD284" s="54"/>
    </row>
    <row r="285" spans="1:186" ht="25.5">
      <c r="A285" s="362" t="s">
        <v>1968</v>
      </c>
      <c r="B285" s="363" t="s">
        <v>367</v>
      </c>
      <c r="C285" s="362" t="s">
        <v>2209</v>
      </c>
      <c r="D285" s="364"/>
      <c r="E285" s="374"/>
      <c r="F285" s="37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</row>
    <row r="286" spans="1:186" ht="24">
      <c r="A286" s="365" t="s">
        <v>1970</v>
      </c>
      <c r="B286" s="366" t="s">
        <v>2210</v>
      </c>
      <c r="C286" s="367" t="s">
        <v>366</v>
      </c>
      <c r="D286" s="368"/>
      <c r="E286" s="375">
        <v>64744.26</v>
      </c>
      <c r="F286" s="375">
        <v>66784.63</v>
      </c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  <c r="GB286" s="54"/>
      <c r="GC286" s="54"/>
      <c r="GD286" s="54"/>
    </row>
    <row r="287" spans="1:186" ht="25.5">
      <c r="A287" s="362" t="s">
        <v>1968</v>
      </c>
      <c r="B287" s="363" t="s">
        <v>369</v>
      </c>
      <c r="C287" s="362" t="s">
        <v>2211</v>
      </c>
      <c r="D287" s="364"/>
      <c r="E287" s="374"/>
      <c r="F287" s="37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</row>
    <row r="288" spans="1:186" ht="24">
      <c r="A288" s="365" t="s">
        <v>1970</v>
      </c>
      <c r="B288" s="366" t="s">
        <v>2212</v>
      </c>
      <c r="C288" s="367" t="s">
        <v>368</v>
      </c>
      <c r="D288" s="368"/>
      <c r="E288" s="375"/>
      <c r="F288" s="375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</row>
    <row r="289" spans="1:186">
      <c r="A289" s="362" t="s">
        <v>1966</v>
      </c>
      <c r="B289" s="363" t="s">
        <v>370</v>
      </c>
      <c r="C289" s="362" t="s">
        <v>2213</v>
      </c>
      <c r="D289" s="364"/>
      <c r="E289" s="374"/>
      <c r="F289" s="37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</row>
    <row r="290" spans="1:186" ht="25.5">
      <c r="A290" s="362" t="s">
        <v>1968</v>
      </c>
      <c r="B290" s="363" t="s">
        <v>372</v>
      </c>
      <c r="C290" s="362" t="s">
        <v>1360</v>
      </c>
      <c r="D290" s="364"/>
      <c r="E290" s="374"/>
      <c r="F290" s="37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</row>
    <row r="291" spans="1:186" ht="24">
      <c r="A291" s="365" t="s">
        <v>1970</v>
      </c>
      <c r="B291" s="366" t="s">
        <v>2214</v>
      </c>
      <c r="C291" s="367" t="s">
        <v>371</v>
      </c>
      <c r="D291" s="368"/>
      <c r="E291" s="375">
        <v>112625.60000000001</v>
      </c>
      <c r="F291" s="375">
        <v>53698.3</v>
      </c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</row>
    <row r="292" spans="1:186" ht="25.5">
      <c r="A292" s="362" t="s">
        <v>1968</v>
      </c>
      <c r="B292" s="363" t="s">
        <v>374</v>
      </c>
      <c r="C292" s="362" t="s">
        <v>2215</v>
      </c>
      <c r="D292" s="364"/>
      <c r="E292" s="374"/>
      <c r="F292" s="37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</row>
    <row r="293" spans="1:186" ht="24">
      <c r="A293" s="365" t="s">
        <v>1970</v>
      </c>
      <c r="B293" s="366" t="s">
        <v>2216</v>
      </c>
      <c r="C293" s="367" t="s">
        <v>373</v>
      </c>
      <c r="D293" s="368"/>
      <c r="E293" s="375">
        <v>18754781.469999999</v>
      </c>
      <c r="F293" s="375">
        <v>19759354.710000001</v>
      </c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</row>
    <row r="294" spans="1:186" ht="25.5">
      <c r="A294" s="362" t="s">
        <v>1968</v>
      </c>
      <c r="B294" s="363" t="s">
        <v>376</v>
      </c>
      <c r="C294" s="362" t="s">
        <v>2217</v>
      </c>
      <c r="D294" s="364"/>
      <c r="E294" s="374"/>
      <c r="F294" s="37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</row>
    <row r="295" spans="1:186" ht="24">
      <c r="A295" s="365" t="s">
        <v>1970</v>
      </c>
      <c r="B295" s="366" t="s">
        <v>2218</v>
      </c>
      <c r="C295" s="367" t="s">
        <v>375</v>
      </c>
      <c r="D295" s="368"/>
      <c r="E295" s="375">
        <v>5079543.01</v>
      </c>
      <c r="F295" s="375">
        <v>4410124.92</v>
      </c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  <c r="GB295" s="54"/>
      <c r="GC295" s="54"/>
      <c r="GD295" s="54"/>
    </row>
    <row r="296" spans="1:186" ht="25.5">
      <c r="A296" s="362" t="s">
        <v>1968</v>
      </c>
      <c r="B296" s="363" t="s">
        <v>378</v>
      </c>
      <c r="C296" s="362" t="s">
        <v>1363</v>
      </c>
      <c r="D296" s="364"/>
      <c r="E296" s="374"/>
      <c r="F296" s="37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</row>
    <row r="297" spans="1:186" ht="24">
      <c r="A297" s="365" t="s">
        <v>1970</v>
      </c>
      <c r="B297" s="366" t="s">
        <v>2219</v>
      </c>
      <c r="C297" s="367" t="s">
        <v>377</v>
      </c>
      <c r="D297" s="368"/>
      <c r="E297" s="375"/>
      <c r="F297" s="375">
        <v>37093.089999999997</v>
      </c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</row>
    <row r="298" spans="1:186" ht="25.5">
      <c r="A298" s="362" t="s">
        <v>1968</v>
      </c>
      <c r="B298" s="363" t="s">
        <v>380</v>
      </c>
      <c r="C298" s="362" t="s">
        <v>1364</v>
      </c>
      <c r="D298" s="364"/>
      <c r="E298" s="374"/>
      <c r="F298" s="37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</row>
    <row r="299" spans="1:186" ht="24">
      <c r="A299" s="365" t="s">
        <v>1970</v>
      </c>
      <c r="B299" s="366" t="s">
        <v>2220</v>
      </c>
      <c r="C299" s="367" t="s">
        <v>379</v>
      </c>
      <c r="D299" s="368"/>
      <c r="E299" s="375">
        <v>19670.04</v>
      </c>
      <c r="F299" s="375">
        <v>335.42</v>
      </c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</row>
    <row r="300" spans="1:186" ht="25.5">
      <c r="A300" s="362" t="s">
        <v>1968</v>
      </c>
      <c r="B300" s="363" t="s">
        <v>382</v>
      </c>
      <c r="C300" s="362" t="s">
        <v>1365</v>
      </c>
      <c r="D300" s="364"/>
      <c r="E300" s="374"/>
      <c r="F300" s="37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  <c r="GB300" s="54"/>
      <c r="GC300" s="54"/>
      <c r="GD300" s="54"/>
    </row>
    <row r="301" spans="1:186" ht="24">
      <c r="A301" s="365" t="s">
        <v>1970</v>
      </c>
      <c r="B301" s="366" t="s">
        <v>2221</v>
      </c>
      <c r="C301" s="367" t="s">
        <v>381</v>
      </c>
      <c r="D301" s="368"/>
      <c r="E301" s="375">
        <v>1755327.35</v>
      </c>
      <c r="F301" s="375">
        <v>1691267.56</v>
      </c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  <c r="GB301" s="54"/>
      <c r="GC301" s="54"/>
      <c r="GD301" s="54"/>
    </row>
    <row r="302" spans="1:186">
      <c r="A302" s="362" t="s">
        <v>1966</v>
      </c>
      <c r="B302" s="363" t="s">
        <v>383</v>
      </c>
      <c r="C302" s="362" t="s">
        <v>2222</v>
      </c>
      <c r="D302" s="364"/>
      <c r="E302" s="374"/>
      <c r="F302" s="37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</row>
    <row r="303" spans="1:186">
      <c r="A303" s="365" t="s">
        <v>1968</v>
      </c>
      <c r="B303" s="366" t="s">
        <v>2223</v>
      </c>
      <c r="C303" s="367" t="s">
        <v>30</v>
      </c>
      <c r="D303" s="368"/>
      <c r="E303" s="375">
        <v>91081.83</v>
      </c>
      <c r="F303" s="375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</row>
    <row r="304" spans="1:186">
      <c r="A304" s="362" t="s">
        <v>1966</v>
      </c>
      <c r="B304" s="363" t="s">
        <v>384</v>
      </c>
      <c r="C304" s="362" t="s">
        <v>1367</v>
      </c>
      <c r="D304" s="364"/>
      <c r="E304" s="374"/>
      <c r="F304" s="37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</row>
    <row r="305" spans="1:186">
      <c r="A305" s="362" t="s">
        <v>1968</v>
      </c>
      <c r="B305" s="363" t="s">
        <v>385</v>
      </c>
      <c r="C305" s="362" t="s">
        <v>1368</v>
      </c>
      <c r="D305" s="364"/>
      <c r="E305" s="374"/>
      <c r="F305" s="37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  <c r="GB305" s="54"/>
      <c r="GC305" s="54"/>
      <c r="GD305" s="54"/>
    </row>
    <row r="306" spans="1:186">
      <c r="A306" s="365">
        <v>5</v>
      </c>
      <c r="B306" s="366" t="s">
        <v>2224</v>
      </c>
      <c r="C306" s="367" t="s">
        <v>386</v>
      </c>
      <c r="D306" s="368"/>
      <c r="E306" s="375"/>
      <c r="F306" s="375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A306" s="54"/>
      <c r="GB306" s="54"/>
      <c r="GC306" s="54"/>
      <c r="GD306" s="54"/>
    </row>
    <row r="307" spans="1:186">
      <c r="A307" s="365">
        <v>5</v>
      </c>
      <c r="B307" s="366" t="s">
        <v>2225</v>
      </c>
      <c r="C307" s="367" t="s">
        <v>387</v>
      </c>
      <c r="D307" s="368"/>
      <c r="E307" s="375"/>
      <c r="F307" s="375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A307" s="54"/>
      <c r="GB307" s="54"/>
      <c r="GC307" s="54"/>
      <c r="GD307" s="54"/>
    </row>
    <row r="308" spans="1:186">
      <c r="A308" s="365">
        <v>5</v>
      </c>
      <c r="B308" s="366" t="s">
        <v>2226</v>
      </c>
      <c r="C308" s="367" t="s">
        <v>388</v>
      </c>
      <c r="D308" s="368"/>
      <c r="E308" s="375"/>
      <c r="F308" s="375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4"/>
      <c r="FK308" s="54"/>
      <c r="FL308" s="54"/>
      <c r="FM308" s="54"/>
      <c r="FN308" s="54"/>
      <c r="FO308" s="54"/>
      <c r="FP308" s="54"/>
      <c r="FQ308" s="54"/>
      <c r="FR308" s="54"/>
      <c r="FS308" s="54"/>
      <c r="FT308" s="54"/>
      <c r="FU308" s="54"/>
      <c r="FV308" s="54"/>
      <c r="FW308" s="54"/>
      <c r="FX308" s="54"/>
      <c r="FY308" s="54"/>
      <c r="FZ308" s="54"/>
      <c r="GA308" s="54"/>
      <c r="GB308" s="54"/>
      <c r="GC308" s="54"/>
      <c r="GD308" s="54"/>
    </row>
    <row r="309" spans="1:186">
      <c r="A309" s="362" t="s">
        <v>1968</v>
      </c>
      <c r="B309" s="363" t="s">
        <v>389</v>
      </c>
      <c r="C309" s="362" t="s">
        <v>1369</v>
      </c>
      <c r="D309" s="364"/>
      <c r="E309" s="374"/>
      <c r="F309" s="37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  <c r="GB309" s="54"/>
      <c r="GC309" s="54"/>
      <c r="GD309" s="54"/>
    </row>
    <row r="310" spans="1:186">
      <c r="A310" s="365">
        <v>5</v>
      </c>
      <c r="B310" s="366" t="s">
        <v>2227</v>
      </c>
      <c r="C310" s="367" t="s">
        <v>390</v>
      </c>
      <c r="D310" s="368"/>
      <c r="E310" s="375">
        <v>4316.53</v>
      </c>
      <c r="F310" s="375">
        <v>5486.91</v>
      </c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  <c r="GB310" s="54"/>
      <c r="GC310" s="54"/>
      <c r="GD310" s="54"/>
    </row>
    <row r="311" spans="1:186">
      <c r="A311" s="365">
        <v>5</v>
      </c>
      <c r="B311" s="366" t="s">
        <v>2228</v>
      </c>
      <c r="C311" s="367" t="s">
        <v>391</v>
      </c>
      <c r="D311" s="368"/>
      <c r="E311" s="375">
        <v>69407.100000000006</v>
      </c>
      <c r="F311" s="375">
        <v>87534.34</v>
      </c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4"/>
      <c r="FK311" s="54"/>
      <c r="FL311" s="54"/>
      <c r="FM311" s="54"/>
      <c r="FN311" s="54"/>
      <c r="FO311" s="54"/>
      <c r="FP311" s="54"/>
      <c r="FQ311" s="54"/>
      <c r="FR311" s="54"/>
      <c r="FS311" s="54"/>
      <c r="FT311" s="54"/>
      <c r="FU311" s="54"/>
      <c r="FV311" s="54"/>
      <c r="FW311" s="54"/>
      <c r="FX311" s="54"/>
      <c r="FY311" s="54"/>
      <c r="FZ311" s="54"/>
      <c r="GA311" s="54"/>
      <c r="GB311" s="54"/>
      <c r="GC311" s="54"/>
      <c r="GD311" s="54"/>
    </row>
    <row r="312" spans="1:186">
      <c r="A312" s="365">
        <v>5</v>
      </c>
      <c r="B312" s="366" t="s">
        <v>2229</v>
      </c>
      <c r="C312" s="367" t="s">
        <v>392</v>
      </c>
      <c r="D312" s="368"/>
      <c r="E312" s="375">
        <v>144117.82999999999</v>
      </c>
      <c r="F312" s="375">
        <v>121551.11</v>
      </c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54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4"/>
      <c r="FK312" s="54"/>
      <c r="FL312" s="54"/>
      <c r="FM312" s="54"/>
      <c r="FN312" s="54"/>
      <c r="FO312" s="54"/>
      <c r="FP312" s="54"/>
      <c r="FQ312" s="54"/>
      <c r="FR312" s="54"/>
      <c r="FS312" s="54"/>
      <c r="FT312" s="54"/>
      <c r="FU312" s="54"/>
      <c r="FV312" s="54"/>
      <c r="FW312" s="54"/>
      <c r="FX312" s="54"/>
      <c r="FY312" s="54"/>
      <c r="FZ312" s="54"/>
      <c r="GA312" s="54"/>
      <c r="GB312" s="54"/>
      <c r="GC312" s="54"/>
      <c r="GD312" s="54"/>
    </row>
    <row r="313" spans="1:186">
      <c r="A313" s="362" t="s">
        <v>1968</v>
      </c>
      <c r="B313" s="363" t="s">
        <v>394</v>
      </c>
      <c r="C313" s="362" t="s">
        <v>1370</v>
      </c>
      <c r="D313" s="364"/>
      <c r="E313" s="374"/>
      <c r="F313" s="37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54"/>
      <c r="FL313" s="54"/>
      <c r="FM313" s="54"/>
      <c r="FN313" s="54"/>
      <c r="FO313" s="54"/>
      <c r="FP313" s="54"/>
      <c r="FQ313" s="54"/>
      <c r="FR313" s="54"/>
      <c r="FS313" s="54"/>
      <c r="FT313" s="54"/>
      <c r="FU313" s="54"/>
      <c r="FV313" s="54"/>
      <c r="FW313" s="54"/>
      <c r="FX313" s="54"/>
      <c r="FY313" s="54"/>
      <c r="FZ313" s="54"/>
      <c r="GA313" s="54"/>
      <c r="GB313" s="54"/>
      <c r="GC313" s="54"/>
      <c r="GD313" s="54"/>
    </row>
    <row r="314" spans="1:186" ht="24">
      <c r="A314" s="365">
        <v>5</v>
      </c>
      <c r="B314" s="366" t="s">
        <v>2230</v>
      </c>
      <c r="C314" s="367" t="s">
        <v>395</v>
      </c>
      <c r="D314" s="368"/>
      <c r="E314" s="375">
        <v>340789.03</v>
      </c>
      <c r="F314" s="375">
        <v>449858.67</v>
      </c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</row>
    <row r="315" spans="1:186">
      <c r="A315" s="365">
        <v>5</v>
      </c>
      <c r="B315" s="366" t="s">
        <v>2231</v>
      </c>
      <c r="C315" s="367" t="s">
        <v>396</v>
      </c>
      <c r="D315" s="368"/>
      <c r="E315" s="375"/>
      <c r="F315" s="375">
        <v>17.55</v>
      </c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54"/>
      <c r="FL315" s="54"/>
      <c r="FM315" s="54"/>
      <c r="FN315" s="54"/>
      <c r="FO315" s="54"/>
      <c r="FP315" s="54"/>
      <c r="FQ315" s="54"/>
      <c r="FR315" s="54"/>
      <c r="FS315" s="54"/>
      <c r="FT315" s="54"/>
      <c r="FU315" s="54"/>
      <c r="FV315" s="54"/>
      <c r="FW315" s="54"/>
      <c r="FX315" s="54"/>
      <c r="FY315" s="54"/>
      <c r="FZ315" s="54"/>
      <c r="GA315" s="54"/>
      <c r="GB315" s="54"/>
      <c r="GC315" s="54"/>
      <c r="GD315" s="54"/>
    </row>
    <row r="316" spans="1:186">
      <c r="A316" s="365">
        <v>5</v>
      </c>
      <c r="B316" s="366" t="s">
        <v>2232</v>
      </c>
      <c r="C316" s="367" t="s">
        <v>393</v>
      </c>
      <c r="D316" s="368"/>
      <c r="E316" s="375">
        <v>156917.19</v>
      </c>
      <c r="F316" s="375">
        <v>159324.85</v>
      </c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</row>
    <row r="317" spans="1:186">
      <c r="A317" s="388">
        <v>2</v>
      </c>
      <c r="B317" s="363" t="s">
        <v>3534</v>
      </c>
      <c r="C317" s="363" t="s">
        <v>3535</v>
      </c>
      <c r="D317" s="378"/>
      <c r="E317" s="391"/>
      <c r="F317" s="391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</row>
    <row r="318" spans="1:186">
      <c r="A318" s="362" t="s">
        <v>1966</v>
      </c>
      <c r="B318" s="363" t="s">
        <v>397</v>
      </c>
      <c r="C318" s="362" t="s">
        <v>1712</v>
      </c>
      <c r="D318" s="364"/>
      <c r="E318" s="392"/>
      <c r="F318" s="392"/>
    </row>
    <row r="319" spans="1:186">
      <c r="A319" s="362" t="s">
        <v>1968</v>
      </c>
      <c r="B319" s="363" t="s">
        <v>399</v>
      </c>
      <c r="C319" s="362" t="s">
        <v>1713</v>
      </c>
      <c r="D319" s="364"/>
      <c r="E319" s="392"/>
      <c r="F319" s="392"/>
    </row>
    <row r="320" spans="1:186">
      <c r="A320" s="365" t="s">
        <v>1970</v>
      </c>
      <c r="B320" s="366" t="s">
        <v>3536</v>
      </c>
      <c r="C320" s="367" t="s">
        <v>398</v>
      </c>
      <c r="D320" s="368"/>
      <c r="E320" s="375">
        <v>0.18</v>
      </c>
      <c r="F320" s="393">
        <v>0.1</v>
      </c>
    </row>
    <row r="321" spans="1:6">
      <c r="A321" s="362" t="s">
        <v>1968</v>
      </c>
      <c r="B321" s="363" t="s">
        <v>400</v>
      </c>
      <c r="C321" s="362" t="s">
        <v>1714</v>
      </c>
      <c r="D321" s="364"/>
      <c r="E321" s="392"/>
      <c r="F321" s="392"/>
    </row>
    <row r="322" spans="1:6">
      <c r="A322" s="365" t="s">
        <v>1970</v>
      </c>
      <c r="B322" s="366" t="s">
        <v>3537</v>
      </c>
      <c r="C322" s="367" t="s">
        <v>401</v>
      </c>
      <c r="D322" s="368"/>
      <c r="E322" s="375"/>
      <c r="F322" s="393"/>
    </row>
    <row r="323" spans="1:6">
      <c r="A323" s="365" t="s">
        <v>1970</v>
      </c>
      <c r="B323" s="366" t="s">
        <v>3538</v>
      </c>
      <c r="C323" s="367" t="s">
        <v>402</v>
      </c>
      <c r="D323" s="368"/>
      <c r="E323" s="375"/>
      <c r="F323" s="393"/>
    </row>
    <row r="324" spans="1:6">
      <c r="A324" s="362" t="s">
        <v>1968</v>
      </c>
      <c r="B324" s="363" t="s">
        <v>404</v>
      </c>
      <c r="C324" s="362" t="s">
        <v>1715</v>
      </c>
      <c r="D324" s="364"/>
      <c r="E324" s="392"/>
      <c r="F324" s="392"/>
    </row>
    <row r="325" spans="1:6">
      <c r="A325" s="365" t="s">
        <v>1970</v>
      </c>
      <c r="B325" s="366" t="s">
        <v>3539</v>
      </c>
      <c r="C325" s="367" t="s">
        <v>405</v>
      </c>
      <c r="D325" s="368"/>
      <c r="E325" s="375"/>
      <c r="F325" s="393"/>
    </row>
    <row r="326" spans="1:6">
      <c r="A326" s="365" t="s">
        <v>1970</v>
      </c>
      <c r="B326" s="366" t="s">
        <v>3540</v>
      </c>
      <c r="C326" s="367" t="s">
        <v>3541</v>
      </c>
      <c r="D326" s="368"/>
      <c r="E326" s="375"/>
      <c r="F326" s="393"/>
    </row>
    <row r="327" spans="1:6">
      <c r="A327" s="365" t="s">
        <v>1970</v>
      </c>
      <c r="B327" s="366" t="s">
        <v>3542</v>
      </c>
      <c r="C327" s="367" t="s">
        <v>403</v>
      </c>
      <c r="D327" s="368"/>
      <c r="E327" s="375">
        <v>5413.45</v>
      </c>
      <c r="F327" s="393">
        <v>26.46</v>
      </c>
    </row>
    <row r="328" spans="1:6">
      <c r="A328" s="362" t="s">
        <v>1966</v>
      </c>
      <c r="B328" s="363" t="s">
        <v>406</v>
      </c>
      <c r="C328" s="362" t="s">
        <v>1716</v>
      </c>
      <c r="D328" s="364"/>
      <c r="E328" s="392"/>
      <c r="F328" s="392"/>
    </row>
    <row r="329" spans="1:6">
      <c r="A329" s="362" t="s">
        <v>1968</v>
      </c>
      <c r="B329" s="363" t="s">
        <v>408</v>
      </c>
      <c r="C329" s="362" t="s">
        <v>1717</v>
      </c>
      <c r="D329" s="364"/>
      <c r="E329" s="392"/>
      <c r="F329" s="392"/>
    </row>
    <row r="330" spans="1:6">
      <c r="A330" s="365" t="s">
        <v>1970</v>
      </c>
      <c r="B330" s="366" t="s">
        <v>3543</v>
      </c>
      <c r="C330" s="367" t="s">
        <v>407</v>
      </c>
      <c r="D330" s="368"/>
      <c r="E330" s="375"/>
      <c r="F330" s="393"/>
    </row>
    <row r="331" spans="1:6" ht="25.5">
      <c r="A331" s="362" t="s">
        <v>1968</v>
      </c>
      <c r="B331" s="363" t="s">
        <v>410</v>
      </c>
      <c r="C331" s="362" t="s">
        <v>1718</v>
      </c>
      <c r="D331" s="364"/>
      <c r="E331" s="392"/>
      <c r="F331" s="392"/>
    </row>
    <row r="332" spans="1:6" ht="24">
      <c r="A332" s="365" t="s">
        <v>1970</v>
      </c>
      <c r="B332" s="366" t="s">
        <v>3544</v>
      </c>
      <c r="C332" s="367" t="s">
        <v>409</v>
      </c>
      <c r="D332" s="368"/>
      <c r="E332" s="375"/>
      <c r="F332" s="393"/>
    </row>
    <row r="333" spans="1:6" ht="25.5">
      <c r="A333" s="362" t="s">
        <v>1968</v>
      </c>
      <c r="B333" s="363" t="s">
        <v>412</v>
      </c>
      <c r="C333" s="362" t="s">
        <v>1719</v>
      </c>
      <c r="D333" s="364"/>
      <c r="E333" s="392"/>
      <c r="F333" s="392"/>
    </row>
    <row r="334" spans="1:6">
      <c r="A334" s="365" t="s">
        <v>1970</v>
      </c>
      <c r="B334" s="366" t="s">
        <v>3545</v>
      </c>
      <c r="C334" s="367" t="s">
        <v>411</v>
      </c>
      <c r="D334" s="368"/>
      <c r="E334" s="375"/>
      <c r="F334" s="393"/>
    </row>
    <row r="335" spans="1:6">
      <c r="A335" s="362" t="s">
        <v>1968</v>
      </c>
      <c r="B335" s="363" t="s">
        <v>414</v>
      </c>
      <c r="C335" s="362" t="s">
        <v>1720</v>
      </c>
      <c r="D335" s="364"/>
      <c r="E335" s="392"/>
      <c r="F335" s="392"/>
    </row>
    <row r="336" spans="1:6">
      <c r="A336" s="365" t="s">
        <v>1970</v>
      </c>
      <c r="B336" s="366" t="s">
        <v>3546</v>
      </c>
      <c r="C336" s="367" t="s">
        <v>413</v>
      </c>
      <c r="D336" s="368"/>
      <c r="E336" s="375"/>
      <c r="F336" s="393"/>
    </row>
    <row r="337" spans="1:6">
      <c r="A337" s="362" t="s">
        <v>1968</v>
      </c>
      <c r="B337" s="363" t="s">
        <v>416</v>
      </c>
      <c r="C337" s="362" t="s">
        <v>1721</v>
      </c>
      <c r="D337" s="364"/>
      <c r="E337" s="392"/>
      <c r="F337" s="392"/>
    </row>
    <row r="338" spans="1:6">
      <c r="A338" s="365" t="s">
        <v>1970</v>
      </c>
      <c r="B338" s="366" t="s">
        <v>3547</v>
      </c>
      <c r="C338" s="367" t="s">
        <v>415</v>
      </c>
      <c r="D338" s="368"/>
      <c r="E338" s="375"/>
      <c r="F338" s="393"/>
    </row>
    <row r="339" spans="1:6">
      <c r="A339" s="388">
        <v>2</v>
      </c>
      <c r="B339" s="363" t="s">
        <v>3556</v>
      </c>
      <c r="C339" s="363" t="s">
        <v>3557</v>
      </c>
      <c r="D339" s="378"/>
      <c r="E339" s="391"/>
      <c r="F339" s="391"/>
    </row>
    <row r="340" spans="1:6">
      <c r="A340" s="362" t="s">
        <v>1966</v>
      </c>
      <c r="B340" s="363" t="s">
        <v>418</v>
      </c>
      <c r="C340" s="362" t="s">
        <v>3558</v>
      </c>
      <c r="D340" s="364"/>
      <c r="E340" s="392"/>
      <c r="F340" s="392"/>
    </row>
    <row r="341" spans="1:6">
      <c r="A341" s="365" t="s">
        <v>1968</v>
      </c>
      <c r="B341" s="366" t="s">
        <v>3559</v>
      </c>
      <c r="C341" s="367" t="s">
        <v>417</v>
      </c>
      <c r="D341" s="368"/>
      <c r="E341" s="375"/>
      <c r="F341" s="393"/>
    </row>
    <row r="342" spans="1:6">
      <c r="A342" s="390" t="s">
        <v>1963</v>
      </c>
      <c r="B342" s="363" t="s">
        <v>3562</v>
      </c>
      <c r="C342" s="362" t="s">
        <v>3563</v>
      </c>
      <c r="D342" s="364"/>
      <c r="E342" s="392"/>
      <c r="F342" s="392"/>
    </row>
    <row r="343" spans="1:6">
      <c r="A343" s="362" t="s">
        <v>1966</v>
      </c>
      <c r="B343" s="363" t="s">
        <v>419</v>
      </c>
      <c r="C343" s="362" t="s">
        <v>1738</v>
      </c>
      <c r="D343" s="364"/>
      <c r="E343" s="392"/>
      <c r="F343" s="392"/>
    </row>
    <row r="344" spans="1:6">
      <c r="A344" s="362" t="s">
        <v>1968</v>
      </c>
      <c r="B344" s="363" t="s">
        <v>421</v>
      </c>
      <c r="C344" s="362" t="s">
        <v>1739</v>
      </c>
      <c r="D344" s="364"/>
      <c r="E344" s="392"/>
      <c r="F344" s="392"/>
    </row>
    <row r="345" spans="1:6">
      <c r="A345" s="365" t="s">
        <v>1970</v>
      </c>
      <c r="B345" s="366" t="s">
        <v>3564</v>
      </c>
      <c r="C345" s="367" t="s">
        <v>420</v>
      </c>
      <c r="D345" s="368"/>
      <c r="E345" s="375"/>
      <c r="F345" s="393">
        <v>0.16</v>
      </c>
    </row>
    <row r="346" spans="1:6">
      <c r="A346" s="362" t="s">
        <v>1968</v>
      </c>
      <c r="B346" s="363" t="s">
        <v>423</v>
      </c>
      <c r="C346" s="362" t="s">
        <v>1740</v>
      </c>
      <c r="D346" s="364"/>
      <c r="E346" s="392"/>
      <c r="F346" s="392"/>
    </row>
    <row r="347" spans="1:6">
      <c r="A347" s="362" t="s">
        <v>1970</v>
      </c>
      <c r="B347" s="363" t="s">
        <v>425</v>
      </c>
      <c r="C347" s="362" t="s">
        <v>1741</v>
      </c>
      <c r="D347" s="364"/>
      <c r="E347" s="392"/>
      <c r="F347" s="392"/>
    </row>
    <row r="348" spans="1:6">
      <c r="A348" s="365" t="s">
        <v>1972</v>
      </c>
      <c r="B348" s="366" t="s">
        <v>3565</v>
      </c>
      <c r="C348" s="367" t="s">
        <v>424</v>
      </c>
      <c r="D348" s="368"/>
      <c r="E348" s="375">
        <v>1972766.37</v>
      </c>
      <c r="F348" s="393">
        <v>658905.35</v>
      </c>
    </row>
    <row r="349" spans="1:6">
      <c r="A349" s="362" t="s">
        <v>1970</v>
      </c>
      <c r="B349" s="363" t="s">
        <v>426</v>
      </c>
      <c r="C349" s="362" t="s">
        <v>1742</v>
      </c>
      <c r="D349" s="364"/>
      <c r="E349" s="392"/>
      <c r="F349" s="392"/>
    </row>
    <row r="350" spans="1:6" ht="25.5">
      <c r="A350" s="362" t="s">
        <v>1972</v>
      </c>
      <c r="B350" s="363" t="s">
        <v>428</v>
      </c>
      <c r="C350" s="362" t="s">
        <v>1743</v>
      </c>
      <c r="D350" s="364"/>
      <c r="E350" s="392"/>
      <c r="F350" s="392"/>
    </row>
    <row r="351" spans="1:6">
      <c r="A351" s="365" t="s">
        <v>1975</v>
      </c>
      <c r="B351" s="366" t="s">
        <v>3566</v>
      </c>
      <c r="C351" s="367" t="s">
        <v>427</v>
      </c>
      <c r="D351" s="368"/>
      <c r="E351" s="375"/>
      <c r="F351" s="393">
        <v>14018790.699999999</v>
      </c>
    </row>
    <row r="352" spans="1:6" ht="25.5">
      <c r="A352" s="362" t="s">
        <v>1972</v>
      </c>
      <c r="B352" s="363" t="s">
        <v>430</v>
      </c>
      <c r="C352" s="362" t="s">
        <v>1744</v>
      </c>
      <c r="D352" s="364" t="s">
        <v>1248</v>
      </c>
      <c r="E352" s="392"/>
      <c r="F352" s="392"/>
    </row>
    <row r="353" spans="1:6" ht="24">
      <c r="A353" s="365" t="s">
        <v>1975</v>
      </c>
      <c r="B353" s="366" t="s">
        <v>3567</v>
      </c>
      <c r="C353" s="367" t="s">
        <v>429</v>
      </c>
      <c r="D353" s="368" t="s">
        <v>1248</v>
      </c>
      <c r="E353" s="375">
        <v>699690.22</v>
      </c>
      <c r="F353" s="393">
        <v>74633.38</v>
      </c>
    </row>
    <row r="354" spans="1:6">
      <c r="A354" s="362" t="s">
        <v>1972</v>
      </c>
      <c r="B354" s="363" t="s">
        <v>431</v>
      </c>
      <c r="C354" s="362" t="s">
        <v>1745</v>
      </c>
      <c r="D354" s="364"/>
      <c r="E354" s="392"/>
      <c r="F354" s="392"/>
    </row>
    <row r="355" spans="1:6" ht="25.5">
      <c r="A355" s="362" t="s">
        <v>1975</v>
      </c>
      <c r="B355" s="363" t="s">
        <v>433</v>
      </c>
      <c r="C355" s="362" t="s">
        <v>1746</v>
      </c>
      <c r="D355" s="364"/>
      <c r="E355" s="392"/>
      <c r="F355" s="392"/>
    </row>
    <row r="356" spans="1:6" ht="24">
      <c r="A356" s="365" t="s">
        <v>2091</v>
      </c>
      <c r="B356" s="366" t="s">
        <v>3568</v>
      </c>
      <c r="C356" s="367" t="s">
        <v>432</v>
      </c>
      <c r="D356" s="368"/>
      <c r="E356" s="375">
        <v>881.07</v>
      </c>
      <c r="F356" s="393">
        <v>694.29</v>
      </c>
    </row>
    <row r="357" spans="1:6" ht="25.5">
      <c r="A357" s="362" t="s">
        <v>1975</v>
      </c>
      <c r="B357" s="363" t="s">
        <v>435</v>
      </c>
      <c r="C357" s="362" t="s">
        <v>1747</v>
      </c>
      <c r="D357" s="364"/>
      <c r="E357" s="392"/>
      <c r="F357" s="392"/>
    </row>
    <row r="358" spans="1:6">
      <c r="A358" s="365" t="s">
        <v>2091</v>
      </c>
      <c r="B358" s="366" t="s">
        <v>3569</v>
      </c>
      <c r="C358" s="367" t="s">
        <v>434</v>
      </c>
      <c r="D358" s="368"/>
      <c r="E358" s="375">
        <v>27002.71</v>
      </c>
      <c r="F358" s="393">
        <v>62016.52</v>
      </c>
    </row>
    <row r="359" spans="1:6" ht="25.5">
      <c r="A359" s="362" t="s">
        <v>1975</v>
      </c>
      <c r="B359" s="363" t="s">
        <v>437</v>
      </c>
      <c r="C359" s="362" t="s">
        <v>1748</v>
      </c>
      <c r="D359" s="364"/>
      <c r="E359" s="392"/>
      <c r="F359" s="392"/>
    </row>
    <row r="360" spans="1:6" ht="24">
      <c r="A360" s="365" t="s">
        <v>2091</v>
      </c>
      <c r="B360" s="366" t="s">
        <v>3570</v>
      </c>
      <c r="C360" s="367" t="s">
        <v>436</v>
      </c>
      <c r="D360" s="368"/>
      <c r="E360" s="375">
        <v>3602.17</v>
      </c>
      <c r="F360" s="393">
        <v>45409.07</v>
      </c>
    </row>
    <row r="361" spans="1:6" ht="25.5">
      <c r="A361" s="362" t="s">
        <v>1975</v>
      </c>
      <c r="B361" s="363" t="s">
        <v>439</v>
      </c>
      <c r="C361" s="362" t="s">
        <v>1749</v>
      </c>
      <c r="D361" s="364"/>
      <c r="E361" s="392"/>
      <c r="F361" s="392"/>
    </row>
    <row r="362" spans="1:6" ht="24">
      <c r="A362" s="365" t="s">
        <v>2091</v>
      </c>
      <c r="B362" s="366" t="s">
        <v>3571</v>
      </c>
      <c r="C362" s="367" t="s">
        <v>438</v>
      </c>
      <c r="D362" s="368"/>
      <c r="E362" s="375">
        <v>15926.24</v>
      </c>
      <c r="F362" s="393">
        <v>1245.94</v>
      </c>
    </row>
    <row r="363" spans="1:6" ht="25.5">
      <c r="A363" s="362" t="s">
        <v>1975</v>
      </c>
      <c r="B363" s="363" t="s">
        <v>441</v>
      </c>
      <c r="C363" s="362" t="s">
        <v>1750</v>
      </c>
      <c r="D363" s="364"/>
      <c r="E363" s="392"/>
      <c r="F363" s="392"/>
    </row>
    <row r="364" spans="1:6" ht="24">
      <c r="A364" s="365" t="s">
        <v>2091</v>
      </c>
      <c r="B364" s="366" t="s">
        <v>3572</v>
      </c>
      <c r="C364" s="367" t="s">
        <v>440</v>
      </c>
      <c r="D364" s="368"/>
      <c r="E364" s="375">
        <v>63457.59</v>
      </c>
      <c r="F364" s="393">
        <v>5385.25</v>
      </c>
    </row>
    <row r="365" spans="1:6" ht="25.5">
      <c r="A365" s="362" t="s">
        <v>1975</v>
      </c>
      <c r="B365" s="363" t="s">
        <v>443</v>
      </c>
      <c r="C365" s="362" t="s">
        <v>1751</v>
      </c>
      <c r="D365" s="364"/>
      <c r="E365" s="392"/>
      <c r="F365" s="392"/>
    </row>
    <row r="366" spans="1:6" ht="24">
      <c r="A366" s="365" t="s">
        <v>2091</v>
      </c>
      <c r="B366" s="366" t="s">
        <v>3573</v>
      </c>
      <c r="C366" s="367" t="s">
        <v>442</v>
      </c>
      <c r="D366" s="368"/>
      <c r="E366" s="375">
        <v>270485.89</v>
      </c>
      <c r="F366" s="393">
        <v>132636.03</v>
      </c>
    </row>
    <row r="367" spans="1:6">
      <c r="A367" s="362" t="s">
        <v>1975</v>
      </c>
      <c r="B367" s="363" t="s">
        <v>445</v>
      </c>
      <c r="C367" s="362" t="s">
        <v>1752</v>
      </c>
      <c r="D367" s="364"/>
      <c r="E367" s="392"/>
      <c r="F367" s="392"/>
    </row>
    <row r="368" spans="1:6">
      <c r="A368" s="365" t="s">
        <v>2091</v>
      </c>
      <c r="B368" s="366" t="s">
        <v>3574</v>
      </c>
      <c r="C368" s="367" t="s">
        <v>444</v>
      </c>
      <c r="D368" s="368"/>
      <c r="E368" s="375">
        <v>2063407.88</v>
      </c>
      <c r="F368" s="393">
        <v>1300180.76</v>
      </c>
    </row>
    <row r="369" spans="1:6">
      <c r="A369" s="362" t="s">
        <v>1970</v>
      </c>
      <c r="B369" s="363" t="s">
        <v>1753</v>
      </c>
      <c r="C369" s="362" t="s">
        <v>3575</v>
      </c>
      <c r="D369" s="364"/>
      <c r="E369" s="392"/>
      <c r="F369" s="392"/>
    </row>
    <row r="370" spans="1:6" ht="25.5">
      <c r="A370" s="362" t="s">
        <v>1972</v>
      </c>
      <c r="B370" s="363" t="s">
        <v>447</v>
      </c>
      <c r="C370" s="362" t="s">
        <v>1755</v>
      </c>
      <c r="D370" s="364" t="s">
        <v>1248</v>
      </c>
      <c r="E370" s="392"/>
      <c r="F370" s="392"/>
    </row>
    <row r="371" spans="1:6" ht="24">
      <c r="A371" s="365" t="s">
        <v>1975</v>
      </c>
      <c r="B371" s="366" t="s">
        <v>3576</v>
      </c>
      <c r="C371" s="367" t="s">
        <v>446</v>
      </c>
      <c r="D371" s="368" t="s">
        <v>1248</v>
      </c>
      <c r="E371" s="375">
        <v>3943.65</v>
      </c>
      <c r="F371" s="393"/>
    </row>
    <row r="372" spans="1:6">
      <c r="A372" s="362" t="s">
        <v>1972</v>
      </c>
      <c r="B372" s="363" t="s">
        <v>1756</v>
      </c>
      <c r="C372" s="362" t="s">
        <v>1757</v>
      </c>
      <c r="D372" s="364"/>
      <c r="E372" s="392"/>
      <c r="F372" s="392"/>
    </row>
    <row r="373" spans="1:6" ht="25.5">
      <c r="A373" s="362" t="s">
        <v>1975</v>
      </c>
      <c r="B373" s="363" t="s">
        <v>449</v>
      </c>
      <c r="C373" s="362" t="s">
        <v>1758</v>
      </c>
      <c r="D373" s="364"/>
      <c r="E373" s="392"/>
      <c r="F373" s="392"/>
    </row>
    <row r="374" spans="1:6" ht="24">
      <c r="A374" s="365" t="s">
        <v>2091</v>
      </c>
      <c r="B374" s="366" t="s">
        <v>3577</v>
      </c>
      <c r="C374" s="367" t="s">
        <v>448</v>
      </c>
      <c r="D374" s="368"/>
      <c r="E374" s="375"/>
      <c r="F374" s="393"/>
    </row>
    <row r="375" spans="1:6" ht="25.5">
      <c r="A375" s="362" t="s">
        <v>1975</v>
      </c>
      <c r="B375" s="363" t="s">
        <v>451</v>
      </c>
      <c r="C375" s="362" t="s">
        <v>1759</v>
      </c>
      <c r="D375" s="364"/>
      <c r="E375" s="392"/>
      <c r="F375" s="392"/>
    </row>
    <row r="376" spans="1:6">
      <c r="A376" s="365" t="s">
        <v>2091</v>
      </c>
      <c r="B376" s="366" t="s">
        <v>3578</v>
      </c>
      <c r="C376" s="367" t="s">
        <v>450</v>
      </c>
      <c r="D376" s="368"/>
      <c r="E376" s="393">
        <v>899.81</v>
      </c>
      <c r="F376" s="393">
        <v>767.37</v>
      </c>
    </row>
    <row r="377" spans="1:6" ht="25.5">
      <c r="A377" s="362" t="s">
        <v>1975</v>
      </c>
      <c r="B377" s="363" t="s">
        <v>453</v>
      </c>
      <c r="C377" s="362" t="s">
        <v>1760</v>
      </c>
      <c r="D377" s="364"/>
      <c r="E377" s="392"/>
      <c r="F377" s="392"/>
    </row>
    <row r="378" spans="1:6" ht="24">
      <c r="A378" s="365" t="s">
        <v>2091</v>
      </c>
      <c r="B378" s="366" t="s">
        <v>3579</v>
      </c>
      <c r="C378" s="367" t="s">
        <v>452</v>
      </c>
      <c r="D378" s="368"/>
      <c r="E378" s="375">
        <v>48.61</v>
      </c>
      <c r="F378" s="393">
        <v>3682.63</v>
      </c>
    </row>
    <row r="379" spans="1:6" ht="25.5">
      <c r="A379" s="362" t="s">
        <v>1975</v>
      </c>
      <c r="B379" s="363" t="s">
        <v>455</v>
      </c>
      <c r="C379" s="362" t="s">
        <v>1761</v>
      </c>
      <c r="D379" s="364"/>
      <c r="E379" s="392"/>
      <c r="F379" s="392"/>
    </row>
    <row r="380" spans="1:6" ht="24">
      <c r="A380" s="365" t="s">
        <v>2091</v>
      </c>
      <c r="B380" s="366" t="s">
        <v>3580</v>
      </c>
      <c r="C380" s="367" t="s">
        <v>454</v>
      </c>
      <c r="D380" s="368"/>
      <c r="E380" s="375">
        <v>0.02</v>
      </c>
      <c r="F380" s="393"/>
    </row>
    <row r="381" spans="1:6" ht="25.5">
      <c r="A381" s="362" t="s">
        <v>1975</v>
      </c>
      <c r="B381" s="363" t="s">
        <v>457</v>
      </c>
      <c r="C381" s="362" t="s">
        <v>1762</v>
      </c>
      <c r="D381" s="364"/>
      <c r="E381" s="392"/>
      <c r="F381" s="392"/>
    </row>
    <row r="382" spans="1:6" ht="24">
      <c r="A382" s="365" t="s">
        <v>2091</v>
      </c>
      <c r="B382" s="366" t="s">
        <v>3581</v>
      </c>
      <c r="C382" s="367" t="s">
        <v>456</v>
      </c>
      <c r="D382" s="368"/>
      <c r="E382" s="375"/>
      <c r="F382" s="393">
        <v>1276871.18</v>
      </c>
    </row>
    <row r="383" spans="1:6" ht="25.5">
      <c r="A383" s="362" t="s">
        <v>1975</v>
      </c>
      <c r="B383" s="363" t="s">
        <v>459</v>
      </c>
      <c r="C383" s="362" t="s">
        <v>1763</v>
      </c>
      <c r="D383" s="364"/>
      <c r="E383" s="392"/>
      <c r="F383" s="392"/>
    </row>
    <row r="384" spans="1:6" ht="24">
      <c r="A384" s="365" t="s">
        <v>2091</v>
      </c>
      <c r="B384" s="366" t="s">
        <v>3582</v>
      </c>
      <c r="C384" s="367" t="s">
        <v>458</v>
      </c>
      <c r="D384" s="368"/>
      <c r="E384" s="793">
        <v>1279107.56</v>
      </c>
      <c r="F384" s="393">
        <v>155159.79</v>
      </c>
    </row>
    <row r="385" spans="1:186">
      <c r="A385" s="362" t="s">
        <v>1975</v>
      </c>
      <c r="B385" s="363" t="s">
        <v>461</v>
      </c>
      <c r="C385" s="362" t="s">
        <v>1764</v>
      </c>
      <c r="D385" s="364"/>
      <c r="E385" s="392"/>
      <c r="F385" s="392"/>
    </row>
    <row r="386" spans="1:186">
      <c r="A386" s="365" t="s">
        <v>2091</v>
      </c>
      <c r="B386" s="366" t="s">
        <v>3583</v>
      </c>
      <c r="C386" s="367" t="s">
        <v>460</v>
      </c>
      <c r="D386" s="368"/>
      <c r="E386" s="794">
        <v>3761011.71</v>
      </c>
      <c r="F386" s="393">
        <v>2999447.24</v>
      </c>
    </row>
    <row r="387" spans="1:186">
      <c r="A387" s="362" t="s">
        <v>1970</v>
      </c>
      <c r="B387" s="363" t="s">
        <v>462</v>
      </c>
      <c r="C387" s="362" t="s">
        <v>1765</v>
      </c>
      <c r="D387" s="364"/>
      <c r="E387" s="392"/>
      <c r="F387" s="392"/>
    </row>
    <row r="388" spans="1:186">
      <c r="A388" s="365" t="s">
        <v>1972</v>
      </c>
      <c r="B388" s="366" t="s">
        <v>3584</v>
      </c>
      <c r="C388" s="367" t="s">
        <v>422</v>
      </c>
      <c r="D388" s="368"/>
      <c r="E388" s="794">
        <v>7380.23</v>
      </c>
      <c r="F388" s="393">
        <v>2179.87</v>
      </c>
    </row>
    <row r="389" spans="1:186" s="403" customFormat="1">
      <c r="A389" s="365"/>
      <c r="B389" s="366"/>
      <c r="C389" s="367" t="s">
        <v>1860</v>
      </c>
      <c r="D389" s="368"/>
      <c r="E389" s="393">
        <f>SUM(E7:E388)</f>
        <v>1002830562.4699999</v>
      </c>
      <c r="F389" s="393">
        <f>SUM(F7:F388)</f>
        <v>1024990584.5699997</v>
      </c>
    </row>
    <row r="390" spans="1:186" s="403" customFormat="1">
      <c r="A390" s="365"/>
      <c r="B390" s="366"/>
      <c r="C390" s="367" t="s">
        <v>3619</v>
      </c>
      <c r="D390" s="368"/>
      <c r="E390" s="393">
        <f>+'Alimentazione CE Costi'!E1193</f>
        <v>1002830562.4699999</v>
      </c>
      <c r="F390" s="393">
        <f>+'Alimentazione CE Costi'!F1193</f>
        <v>1024990584.5700005</v>
      </c>
    </row>
    <row r="391" spans="1:186" s="403" customFormat="1">
      <c r="A391" s="365"/>
      <c r="B391" s="366"/>
      <c r="C391" s="367" t="s">
        <v>1815</v>
      </c>
      <c r="D391" s="368"/>
      <c r="E391" s="393">
        <f>+E389-E390</f>
        <v>0</v>
      </c>
      <c r="F391" s="393">
        <f t="shared" ref="F391" si="0">+F389-F390</f>
        <v>0</v>
      </c>
    </row>
    <row r="392" spans="1:186">
      <c r="A392" s="180"/>
      <c r="B392" s="180"/>
      <c r="C392" s="55"/>
      <c r="D392" s="56"/>
      <c r="E392" s="50"/>
      <c r="F392" s="50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  <c r="EU392" s="54"/>
      <c r="EV392" s="54"/>
      <c r="EW392" s="54"/>
      <c r="EX392" s="54"/>
      <c r="EY392" s="54"/>
      <c r="EZ392" s="54"/>
      <c r="FA392" s="54"/>
      <c r="FB392" s="54"/>
      <c r="FC392" s="54"/>
      <c r="FD392" s="54"/>
      <c r="FE392" s="54"/>
      <c r="FF392" s="54"/>
      <c r="FG392" s="54"/>
      <c r="FH392" s="54"/>
      <c r="FI392" s="54"/>
      <c r="FJ392" s="54"/>
      <c r="FK392" s="54"/>
      <c r="FL392" s="54"/>
      <c r="FM392" s="54"/>
      <c r="FN392" s="54"/>
      <c r="FO392" s="54"/>
      <c r="FP392" s="54"/>
      <c r="FQ392" s="54"/>
      <c r="FR392" s="54"/>
      <c r="FS392" s="54"/>
      <c r="FT392" s="54"/>
      <c r="FU392" s="54"/>
      <c r="FV392" s="54"/>
      <c r="FW392" s="54"/>
      <c r="FX392" s="54"/>
      <c r="FY392" s="54"/>
      <c r="FZ392" s="54"/>
      <c r="GA392" s="54"/>
      <c r="GB392" s="54"/>
      <c r="GC392" s="54"/>
      <c r="GD392" s="54"/>
    </row>
    <row r="393" spans="1:186">
      <c r="A393" s="180"/>
      <c r="B393" s="180"/>
      <c r="C393" s="55"/>
      <c r="D393" s="56"/>
      <c r="E393" s="50"/>
      <c r="F393" s="50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  <c r="ES393" s="54"/>
      <c r="ET393" s="54"/>
      <c r="EU393" s="54"/>
      <c r="EV393" s="54"/>
      <c r="EW393" s="54"/>
      <c r="EX393" s="54"/>
      <c r="EY393" s="54"/>
      <c r="EZ393" s="54"/>
      <c r="FA393" s="54"/>
      <c r="FB393" s="54"/>
      <c r="FC393" s="54"/>
      <c r="FD393" s="54"/>
      <c r="FE393" s="54"/>
      <c r="FF393" s="54"/>
      <c r="FG393" s="54"/>
      <c r="FH393" s="54"/>
      <c r="FI393" s="54"/>
      <c r="FJ393" s="54"/>
      <c r="FK393" s="54"/>
      <c r="FL393" s="54"/>
      <c r="FM393" s="54"/>
      <c r="FN393" s="54"/>
      <c r="FO393" s="54"/>
      <c r="FP393" s="54"/>
      <c r="FQ393" s="54"/>
      <c r="FR393" s="54"/>
      <c r="FS393" s="54"/>
      <c r="FT393" s="54"/>
      <c r="FU393" s="54"/>
      <c r="FV393" s="54"/>
      <c r="FW393" s="54"/>
      <c r="FX393" s="54"/>
      <c r="FY393" s="54"/>
      <c r="FZ393" s="54"/>
      <c r="GA393" s="54"/>
      <c r="GB393" s="54"/>
      <c r="GC393" s="54"/>
      <c r="GD393" s="54"/>
    </row>
    <row r="394" spans="1:186">
      <c r="A394" s="180"/>
      <c r="B394" s="180"/>
      <c r="C394" s="55"/>
      <c r="D394" s="56"/>
      <c r="E394" s="50"/>
      <c r="F394" s="50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  <c r="ES394" s="54"/>
      <c r="ET394" s="54"/>
      <c r="EU394" s="54"/>
      <c r="EV394" s="54"/>
      <c r="EW394" s="54"/>
      <c r="EX394" s="54"/>
      <c r="EY394" s="54"/>
      <c r="EZ394" s="54"/>
      <c r="FA394" s="54"/>
      <c r="FB394" s="54"/>
      <c r="FC394" s="54"/>
      <c r="FD394" s="54"/>
      <c r="FE394" s="54"/>
      <c r="FF394" s="54"/>
      <c r="FG394" s="54"/>
      <c r="FH394" s="54"/>
      <c r="FI394" s="54"/>
      <c r="FJ394" s="54"/>
      <c r="FK394" s="54"/>
      <c r="FL394" s="54"/>
      <c r="FM394" s="54"/>
      <c r="FN394" s="54"/>
      <c r="FO394" s="54"/>
      <c r="FP394" s="54"/>
      <c r="FQ394" s="54"/>
      <c r="FR394" s="54"/>
      <c r="FS394" s="54"/>
      <c r="FT394" s="54"/>
      <c r="FU394" s="54"/>
      <c r="FV394" s="54"/>
      <c r="FW394" s="54"/>
      <c r="FX394" s="54"/>
      <c r="FY394" s="54"/>
      <c r="FZ394" s="54"/>
      <c r="GA394" s="54"/>
      <c r="GB394" s="54"/>
      <c r="GC394" s="54"/>
      <c r="GD394" s="54"/>
    </row>
    <row r="395" spans="1:186">
      <c r="A395" s="180"/>
      <c r="B395" s="180"/>
      <c r="C395" s="55"/>
      <c r="D395" s="56"/>
      <c r="E395" s="50"/>
      <c r="F395" s="50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  <c r="ES395" s="54"/>
      <c r="ET395" s="54"/>
      <c r="EU395" s="54"/>
      <c r="EV395" s="54"/>
      <c r="EW395" s="54"/>
      <c r="EX395" s="54"/>
      <c r="EY395" s="54"/>
      <c r="EZ395" s="54"/>
      <c r="FA395" s="54"/>
      <c r="FB395" s="54"/>
      <c r="FC395" s="54"/>
      <c r="FD395" s="54"/>
      <c r="FE395" s="54"/>
      <c r="FF395" s="54"/>
      <c r="FG395" s="54"/>
      <c r="FH395" s="54"/>
      <c r="FI395" s="54"/>
      <c r="FJ395" s="54"/>
      <c r="FK395" s="54"/>
      <c r="FL395" s="54"/>
      <c r="FM395" s="54"/>
      <c r="FN395" s="54"/>
      <c r="FO395" s="54"/>
      <c r="FP395" s="54"/>
      <c r="FQ395" s="54"/>
      <c r="FR395" s="54"/>
      <c r="FS395" s="54"/>
      <c r="FT395" s="54"/>
      <c r="FU395" s="54"/>
      <c r="FV395" s="54"/>
      <c r="FW395" s="54"/>
      <c r="FX395" s="54"/>
      <c r="FY395" s="54"/>
      <c r="FZ395" s="54"/>
      <c r="GA395" s="54"/>
      <c r="GB395" s="54"/>
      <c r="GC395" s="54"/>
      <c r="GD395" s="54"/>
    </row>
    <row r="396" spans="1:186">
      <c r="A396" s="180"/>
      <c r="B396" s="180"/>
      <c r="C396" s="55"/>
      <c r="D396" s="56"/>
      <c r="E396" s="50"/>
      <c r="F396" s="50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  <c r="ES396" s="54"/>
      <c r="ET396" s="54"/>
      <c r="EU396" s="54"/>
      <c r="EV396" s="54"/>
      <c r="EW396" s="54"/>
      <c r="EX396" s="54"/>
      <c r="EY396" s="54"/>
      <c r="EZ396" s="54"/>
      <c r="FA396" s="54"/>
      <c r="FB396" s="54"/>
      <c r="FC396" s="54"/>
      <c r="FD396" s="54"/>
      <c r="FE396" s="54"/>
      <c r="FF396" s="54"/>
      <c r="FG396" s="54"/>
      <c r="FH396" s="54"/>
      <c r="FI396" s="54"/>
      <c r="FJ396" s="54"/>
      <c r="FK396" s="54"/>
      <c r="FL396" s="54"/>
      <c r="FM396" s="54"/>
      <c r="FN396" s="54"/>
      <c r="FO396" s="54"/>
      <c r="FP396" s="54"/>
      <c r="FQ396" s="54"/>
      <c r="FR396" s="54"/>
      <c r="FS396" s="54"/>
      <c r="FT396" s="54"/>
      <c r="FU396" s="54"/>
      <c r="FV396" s="54"/>
      <c r="FW396" s="54"/>
      <c r="FX396" s="54"/>
      <c r="FY396" s="54"/>
      <c r="FZ396" s="54"/>
      <c r="GA396" s="54"/>
      <c r="GB396" s="54"/>
      <c r="GC396" s="54"/>
      <c r="GD396" s="54"/>
    </row>
    <row r="397" spans="1:186">
      <c r="A397" s="180"/>
      <c r="B397" s="180"/>
      <c r="C397" s="55"/>
      <c r="D397" s="56"/>
      <c r="E397" s="50"/>
      <c r="F397" s="50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  <c r="ES397" s="54"/>
      <c r="ET397" s="54"/>
      <c r="EU397" s="54"/>
      <c r="EV397" s="54"/>
      <c r="EW397" s="54"/>
      <c r="EX397" s="54"/>
      <c r="EY397" s="54"/>
      <c r="EZ397" s="54"/>
      <c r="FA397" s="54"/>
      <c r="FB397" s="54"/>
      <c r="FC397" s="54"/>
      <c r="FD397" s="54"/>
      <c r="FE397" s="54"/>
      <c r="FF397" s="54"/>
      <c r="FG397" s="54"/>
      <c r="FH397" s="54"/>
      <c r="FI397" s="54"/>
      <c r="FJ397" s="54"/>
      <c r="FK397" s="54"/>
      <c r="FL397" s="54"/>
      <c r="FM397" s="54"/>
      <c r="FN397" s="54"/>
      <c r="FO397" s="54"/>
      <c r="FP397" s="54"/>
      <c r="FQ397" s="54"/>
      <c r="FR397" s="54"/>
      <c r="FS397" s="54"/>
      <c r="FT397" s="54"/>
      <c r="FU397" s="54"/>
      <c r="FV397" s="54"/>
      <c r="FW397" s="54"/>
      <c r="FX397" s="54"/>
      <c r="FY397" s="54"/>
      <c r="FZ397" s="54"/>
      <c r="GA397" s="54"/>
      <c r="GB397" s="54"/>
      <c r="GC397" s="54"/>
      <c r="GD397" s="54"/>
    </row>
    <row r="398" spans="1:186">
      <c r="A398" s="180"/>
      <c r="B398" s="180"/>
      <c r="C398" s="55"/>
      <c r="D398" s="56"/>
      <c r="E398" s="50"/>
      <c r="F398" s="50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  <c r="ES398" s="54"/>
      <c r="ET398" s="54"/>
      <c r="EU398" s="54"/>
      <c r="EV398" s="54"/>
      <c r="EW398" s="54"/>
      <c r="EX398" s="54"/>
      <c r="EY398" s="54"/>
      <c r="EZ398" s="54"/>
      <c r="FA398" s="54"/>
      <c r="FB398" s="54"/>
      <c r="FC398" s="54"/>
      <c r="FD398" s="54"/>
      <c r="FE398" s="54"/>
      <c r="FF398" s="54"/>
      <c r="FG398" s="54"/>
      <c r="FH398" s="54"/>
      <c r="FI398" s="54"/>
      <c r="FJ398" s="54"/>
      <c r="FK398" s="54"/>
      <c r="FL398" s="54"/>
      <c r="FM398" s="54"/>
      <c r="FN398" s="54"/>
      <c r="FO398" s="54"/>
      <c r="FP398" s="54"/>
      <c r="FQ398" s="54"/>
      <c r="FR398" s="54"/>
      <c r="FS398" s="54"/>
      <c r="FT398" s="54"/>
      <c r="FU398" s="54"/>
      <c r="FV398" s="54"/>
      <c r="FW398" s="54"/>
      <c r="FX398" s="54"/>
      <c r="FY398" s="54"/>
      <c r="FZ398" s="54"/>
      <c r="GA398" s="54"/>
      <c r="GB398" s="54"/>
      <c r="GC398" s="54"/>
      <c r="GD398" s="54"/>
    </row>
    <row r="399" spans="1:186">
      <c r="A399" s="180"/>
      <c r="B399" s="180"/>
      <c r="C399" s="55"/>
      <c r="D399" s="56"/>
      <c r="E399" s="50"/>
      <c r="F399" s="50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  <c r="EU399" s="54"/>
      <c r="EV399" s="54"/>
      <c r="EW399" s="54"/>
      <c r="EX399" s="54"/>
      <c r="EY399" s="54"/>
      <c r="EZ399" s="54"/>
      <c r="FA399" s="54"/>
      <c r="FB399" s="54"/>
      <c r="FC399" s="54"/>
      <c r="FD399" s="54"/>
      <c r="FE399" s="54"/>
      <c r="FF399" s="54"/>
      <c r="FG399" s="54"/>
      <c r="FH399" s="54"/>
      <c r="FI399" s="54"/>
      <c r="FJ399" s="54"/>
      <c r="FK399" s="54"/>
      <c r="FL399" s="54"/>
      <c r="FM399" s="54"/>
      <c r="FN399" s="54"/>
      <c r="FO399" s="54"/>
      <c r="FP399" s="54"/>
      <c r="FQ399" s="54"/>
      <c r="FR399" s="54"/>
      <c r="FS399" s="54"/>
      <c r="FT399" s="54"/>
      <c r="FU399" s="54"/>
      <c r="FV399" s="54"/>
      <c r="FW399" s="54"/>
      <c r="FX399" s="54"/>
      <c r="FY399" s="54"/>
      <c r="FZ399" s="54"/>
      <c r="GA399" s="54"/>
      <c r="GB399" s="54"/>
      <c r="GC399" s="54"/>
      <c r="GD399" s="54"/>
    </row>
    <row r="400" spans="1:186">
      <c r="A400" s="180"/>
      <c r="B400" s="180"/>
      <c r="C400" s="55"/>
      <c r="D400" s="56"/>
      <c r="E400" s="50"/>
      <c r="F400" s="50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  <c r="EU400" s="54"/>
      <c r="EV400" s="54"/>
      <c r="EW400" s="54"/>
      <c r="EX400" s="54"/>
      <c r="EY400" s="54"/>
      <c r="EZ400" s="54"/>
      <c r="FA400" s="54"/>
      <c r="FB400" s="54"/>
      <c r="FC400" s="54"/>
      <c r="FD400" s="54"/>
      <c r="FE400" s="54"/>
      <c r="FF400" s="54"/>
      <c r="FG400" s="54"/>
      <c r="FH400" s="54"/>
      <c r="FI400" s="54"/>
      <c r="FJ400" s="54"/>
      <c r="FK400" s="54"/>
      <c r="FL400" s="54"/>
      <c r="FM400" s="54"/>
      <c r="FN400" s="54"/>
      <c r="FO400" s="54"/>
      <c r="FP400" s="54"/>
      <c r="FQ400" s="54"/>
      <c r="FR400" s="54"/>
      <c r="FS400" s="54"/>
      <c r="FT400" s="54"/>
      <c r="FU400" s="54"/>
      <c r="FV400" s="54"/>
      <c r="FW400" s="54"/>
      <c r="FX400" s="54"/>
      <c r="FY400" s="54"/>
      <c r="FZ400" s="54"/>
      <c r="GA400" s="54"/>
      <c r="GB400" s="54"/>
      <c r="GC400" s="54"/>
      <c r="GD400" s="54"/>
    </row>
    <row r="401" spans="1:186">
      <c r="A401" s="180"/>
      <c r="B401" s="180"/>
      <c r="C401" s="55"/>
      <c r="D401" s="56"/>
      <c r="E401" s="50"/>
      <c r="F401" s="50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  <c r="ES401" s="54"/>
      <c r="ET401" s="54"/>
      <c r="EU401" s="54"/>
      <c r="EV401" s="54"/>
      <c r="EW401" s="54"/>
      <c r="EX401" s="54"/>
      <c r="EY401" s="54"/>
      <c r="EZ401" s="54"/>
      <c r="FA401" s="54"/>
      <c r="FB401" s="54"/>
      <c r="FC401" s="54"/>
      <c r="FD401" s="54"/>
      <c r="FE401" s="54"/>
      <c r="FF401" s="54"/>
      <c r="FG401" s="54"/>
      <c r="FH401" s="54"/>
      <c r="FI401" s="54"/>
      <c r="FJ401" s="54"/>
      <c r="FK401" s="54"/>
      <c r="FL401" s="54"/>
      <c r="FM401" s="54"/>
      <c r="FN401" s="54"/>
      <c r="FO401" s="54"/>
      <c r="FP401" s="54"/>
      <c r="FQ401" s="54"/>
      <c r="FR401" s="54"/>
      <c r="FS401" s="54"/>
      <c r="FT401" s="54"/>
      <c r="FU401" s="54"/>
      <c r="FV401" s="54"/>
      <c r="FW401" s="54"/>
      <c r="FX401" s="54"/>
      <c r="FY401" s="54"/>
      <c r="FZ401" s="54"/>
      <c r="GA401" s="54"/>
      <c r="GB401" s="54"/>
      <c r="GC401" s="54"/>
      <c r="GD401" s="54"/>
    </row>
    <row r="402" spans="1:186">
      <c r="A402" s="180"/>
      <c r="B402" s="180"/>
      <c r="C402" s="55"/>
      <c r="D402" s="56"/>
      <c r="E402" s="50"/>
      <c r="F402" s="50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  <c r="ES402" s="54"/>
      <c r="ET402" s="54"/>
      <c r="EU402" s="54"/>
      <c r="EV402" s="54"/>
      <c r="EW402" s="54"/>
      <c r="EX402" s="54"/>
      <c r="EY402" s="54"/>
      <c r="EZ402" s="54"/>
      <c r="FA402" s="54"/>
      <c r="FB402" s="54"/>
      <c r="FC402" s="54"/>
      <c r="FD402" s="54"/>
      <c r="FE402" s="54"/>
      <c r="FF402" s="54"/>
      <c r="FG402" s="54"/>
      <c r="FH402" s="54"/>
      <c r="FI402" s="54"/>
      <c r="FJ402" s="54"/>
      <c r="FK402" s="54"/>
      <c r="FL402" s="54"/>
      <c r="FM402" s="54"/>
      <c r="FN402" s="54"/>
      <c r="FO402" s="54"/>
      <c r="FP402" s="54"/>
      <c r="FQ402" s="54"/>
      <c r="FR402" s="54"/>
      <c r="FS402" s="54"/>
      <c r="FT402" s="54"/>
      <c r="FU402" s="54"/>
      <c r="FV402" s="54"/>
      <c r="FW402" s="54"/>
      <c r="FX402" s="54"/>
      <c r="FY402" s="54"/>
      <c r="FZ402" s="54"/>
      <c r="GA402" s="54"/>
      <c r="GB402" s="54"/>
      <c r="GC402" s="54"/>
      <c r="GD402" s="54"/>
    </row>
    <row r="403" spans="1:186">
      <c r="A403" s="180"/>
      <c r="B403" s="180"/>
      <c r="C403" s="55"/>
      <c r="D403" s="56"/>
      <c r="E403" s="50"/>
      <c r="F403" s="50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  <c r="ES403" s="54"/>
      <c r="ET403" s="54"/>
      <c r="EU403" s="54"/>
      <c r="EV403" s="54"/>
      <c r="EW403" s="54"/>
      <c r="EX403" s="54"/>
      <c r="EY403" s="54"/>
      <c r="EZ403" s="54"/>
      <c r="FA403" s="54"/>
      <c r="FB403" s="54"/>
      <c r="FC403" s="54"/>
      <c r="FD403" s="54"/>
      <c r="FE403" s="54"/>
      <c r="FF403" s="54"/>
      <c r="FG403" s="54"/>
      <c r="FH403" s="54"/>
      <c r="FI403" s="54"/>
      <c r="FJ403" s="54"/>
      <c r="FK403" s="54"/>
      <c r="FL403" s="54"/>
      <c r="FM403" s="54"/>
      <c r="FN403" s="54"/>
      <c r="FO403" s="54"/>
      <c r="FP403" s="54"/>
      <c r="FQ403" s="54"/>
      <c r="FR403" s="54"/>
      <c r="FS403" s="54"/>
      <c r="FT403" s="54"/>
      <c r="FU403" s="54"/>
      <c r="FV403" s="54"/>
      <c r="FW403" s="54"/>
      <c r="FX403" s="54"/>
      <c r="FY403" s="54"/>
      <c r="FZ403" s="54"/>
      <c r="GA403" s="54"/>
      <c r="GB403" s="54"/>
      <c r="GC403" s="54"/>
      <c r="GD403" s="54"/>
    </row>
    <row r="404" spans="1:186">
      <c r="A404" s="180"/>
      <c r="B404" s="180"/>
      <c r="C404" s="55"/>
      <c r="D404" s="56"/>
      <c r="E404" s="50"/>
      <c r="F404" s="50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  <c r="ES404" s="54"/>
      <c r="ET404" s="54"/>
      <c r="EU404" s="54"/>
      <c r="EV404" s="54"/>
      <c r="EW404" s="54"/>
      <c r="EX404" s="54"/>
      <c r="EY404" s="54"/>
      <c r="EZ404" s="54"/>
      <c r="FA404" s="54"/>
      <c r="FB404" s="54"/>
      <c r="FC404" s="54"/>
      <c r="FD404" s="54"/>
      <c r="FE404" s="54"/>
      <c r="FF404" s="54"/>
      <c r="FG404" s="54"/>
      <c r="FH404" s="54"/>
      <c r="FI404" s="54"/>
      <c r="FJ404" s="54"/>
      <c r="FK404" s="54"/>
      <c r="FL404" s="54"/>
      <c r="FM404" s="54"/>
      <c r="FN404" s="54"/>
      <c r="FO404" s="54"/>
      <c r="FP404" s="54"/>
      <c r="FQ404" s="54"/>
      <c r="FR404" s="54"/>
      <c r="FS404" s="54"/>
      <c r="FT404" s="54"/>
      <c r="FU404" s="54"/>
      <c r="FV404" s="54"/>
      <c r="FW404" s="54"/>
      <c r="FX404" s="54"/>
      <c r="FY404" s="54"/>
      <c r="FZ404" s="54"/>
      <c r="GA404" s="54"/>
      <c r="GB404" s="54"/>
      <c r="GC404" s="54"/>
      <c r="GD404" s="54"/>
    </row>
    <row r="405" spans="1:186">
      <c r="A405" s="180"/>
      <c r="B405" s="180"/>
      <c r="C405" s="55"/>
      <c r="D405" s="56"/>
      <c r="E405" s="50"/>
      <c r="F405" s="50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  <c r="ES405" s="54"/>
      <c r="ET405" s="54"/>
      <c r="EU405" s="54"/>
      <c r="EV405" s="54"/>
      <c r="EW405" s="54"/>
      <c r="EX405" s="54"/>
      <c r="EY405" s="54"/>
      <c r="EZ405" s="54"/>
      <c r="FA405" s="54"/>
      <c r="FB405" s="54"/>
      <c r="FC405" s="54"/>
      <c r="FD405" s="54"/>
      <c r="FE405" s="54"/>
      <c r="FF405" s="54"/>
      <c r="FG405" s="54"/>
      <c r="FH405" s="54"/>
      <c r="FI405" s="54"/>
      <c r="FJ405" s="54"/>
      <c r="FK405" s="54"/>
      <c r="FL405" s="54"/>
      <c r="FM405" s="54"/>
      <c r="FN405" s="54"/>
      <c r="FO405" s="54"/>
      <c r="FP405" s="54"/>
      <c r="FQ405" s="54"/>
      <c r="FR405" s="54"/>
      <c r="FS405" s="54"/>
      <c r="FT405" s="54"/>
      <c r="FU405" s="54"/>
      <c r="FV405" s="54"/>
      <c r="FW405" s="54"/>
      <c r="FX405" s="54"/>
      <c r="FY405" s="54"/>
      <c r="FZ405" s="54"/>
      <c r="GA405" s="54"/>
      <c r="GB405" s="54"/>
      <c r="GC405" s="54"/>
      <c r="GD405" s="54"/>
    </row>
    <row r="406" spans="1:186">
      <c r="A406" s="180"/>
      <c r="B406" s="180"/>
      <c r="C406" s="55"/>
      <c r="D406" s="56"/>
      <c r="E406" s="50"/>
      <c r="F406" s="50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  <c r="ES406" s="54"/>
      <c r="ET406" s="54"/>
      <c r="EU406" s="54"/>
      <c r="EV406" s="54"/>
      <c r="EW406" s="54"/>
      <c r="EX406" s="54"/>
      <c r="EY406" s="54"/>
      <c r="EZ406" s="54"/>
      <c r="FA406" s="54"/>
      <c r="FB406" s="54"/>
      <c r="FC406" s="54"/>
      <c r="FD406" s="54"/>
      <c r="FE406" s="54"/>
      <c r="FF406" s="54"/>
      <c r="FG406" s="54"/>
      <c r="FH406" s="54"/>
      <c r="FI406" s="54"/>
      <c r="FJ406" s="54"/>
      <c r="FK406" s="54"/>
      <c r="FL406" s="54"/>
      <c r="FM406" s="54"/>
      <c r="FN406" s="54"/>
      <c r="FO406" s="54"/>
      <c r="FP406" s="54"/>
      <c r="FQ406" s="54"/>
      <c r="FR406" s="54"/>
      <c r="FS406" s="54"/>
      <c r="FT406" s="54"/>
      <c r="FU406" s="54"/>
      <c r="FV406" s="54"/>
      <c r="FW406" s="54"/>
      <c r="FX406" s="54"/>
      <c r="FY406" s="54"/>
      <c r="FZ406" s="54"/>
      <c r="GA406" s="54"/>
      <c r="GB406" s="54"/>
      <c r="GC406" s="54"/>
      <c r="GD406" s="54"/>
    </row>
    <row r="407" spans="1:186">
      <c r="A407" s="180"/>
      <c r="B407" s="180"/>
      <c r="C407" s="55"/>
      <c r="D407" s="56"/>
      <c r="E407" s="50"/>
      <c r="F407" s="50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  <c r="ES407" s="54"/>
      <c r="ET407" s="54"/>
      <c r="EU407" s="54"/>
      <c r="EV407" s="54"/>
      <c r="EW407" s="54"/>
      <c r="EX407" s="54"/>
      <c r="EY407" s="54"/>
      <c r="EZ407" s="54"/>
      <c r="FA407" s="54"/>
      <c r="FB407" s="54"/>
      <c r="FC407" s="54"/>
      <c r="FD407" s="54"/>
      <c r="FE407" s="54"/>
      <c r="FF407" s="54"/>
      <c r="FG407" s="54"/>
      <c r="FH407" s="54"/>
      <c r="FI407" s="54"/>
      <c r="FJ407" s="54"/>
      <c r="FK407" s="54"/>
      <c r="FL407" s="54"/>
      <c r="FM407" s="54"/>
      <c r="FN407" s="54"/>
      <c r="FO407" s="54"/>
      <c r="FP407" s="54"/>
      <c r="FQ407" s="54"/>
      <c r="FR407" s="54"/>
      <c r="FS407" s="54"/>
      <c r="FT407" s="54"/>
      <c r="FU407" s="54"/>
      <c r="FV407" s="54"/>
      <c r="FW407" s="54"/>
      <c r="FX407" s="54"/>
      <c r="FY407" s="54"/>
      <c r="FZ407" s="54"/>
      <c r="GA407" s="54"/>
      <c r="GB407" s="54"/>
      <c r="GC407" s="54"/>
      <c r="GD407" s="54"/>
    </row>
    <row r="408" spans="1:186">
      <c r="A408" s="180"/>
      <c r="B408" s="180"/>
      <c r="C408" s="55"/>
      <c r="D408" s="56"/>
      <c r="E408" s="50"/>
      <c r="F408" s="50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  <c r="ES408" s="54"/>
      <c r="ET408" s="54"/>
      <c r="EU408" s="54"/>
      <c r="EV408" s="54"/>
      <c r="EW408" s="54"/>
      <c r="EX408" s="54"/>
      <c r="EY408" s="54"/>
      <c r="EZ408" s="54"/>
      <c r="FA408" s="54"/>
      <c r="FB408" s="54"/>
      <c r="FC408" s="54"/>
      <c r="FD408" s="54"/>
      <c r="FE408" s="54"/>
      <c r="FF408" s="54"/>
      <c r="FG408" s="54"/>
      <c r="FH408" s="54"/>
      <c r="FI408" s="54"/>
      <c r="FJ408" s="54"/>
      <c r="FK408" s="54"/>
      <c r="FL408" s="54"/>
      <c r="FM408" s="54"/>
      <c r="FN408" s="54"/>
      <c r="FO408" s="54"/>
      <c r="FP408" s="54"/>
      <c r="FQ408" s="54"/>
      <c r="FR408" s="54"/>
      <c r="FS408" s="54"/>
      <c r="FT408" s="54"/>
      <c r="FU408" s="54"/>
      <c r="FV408" s="54"/>
      <c r="FW408" s="54"/>
      <c r="FX408" s="54"/>
      <c r="FY408" s="54"/>
      <c r="FZ408" s="54"/>
      <c r="GA408" s="54"/>
      <c r="GB408" s="54"/>
      <c r="GC408" s="54"/>
      <c r="GD408" s="54"/>
    </row>
    <row r="409" spans="1:186">
      <c r="A409" s="180"/>
      <c r="B409" s="180"/>
      <c r="C409" s="55"/>
      <c r="D409" s="56"/>
      <c r="E409" s="50"/>
      <c r="F409" s="50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  <c r="ES409" s="54"/>
      <c r="ET409" s="54"/>
      <c r="EU409" s="54"/>
      <c r="EV409" s="54"/>
      <c r="EW409" s="54"/>
      <c r="EX409" s="54"/>
      <c r="EY409" s="54"/>
      <c r="EZ409" s="54"/>
      <c r="FA409" s="54"/>
      <c r="FB409" s="54"/>
      <c r="FC409" s="54"/>
      <c r="FD409" s="54"/>
      <c r="FE409" s="54"/>
      <c r="FF409" s="54"/>
      <c r="FG409" s="54"/>
      <c r="FH409" s="54"/>
      <c r="FI409" s="54"/>
      <c r="FJ409" s="54"/>
      <c r="FK409" s="54"/>
      <c r="FL409" s="54"/>
      <c r="FM409" s="54"/>
      <c r="FN409" s="54"/>
      <c r="FO409" s="54"/>
      <c r="FP409" s="54"/>
      <c r="FQ409" s="54"/>
      <c r="FR409" s="54"/>
      <c r="FS409" s="54"/>
      <c r="FT409" s="54"/>
      <c r="FU409" s="54"/>
      <c r="FV409" s="54"/>
      <c r="FW409" s="54"/>
      <c r="FX409" s="54"/>
      <c r="FY409" s="54"/>
      <c r="FZ409" s="54"/>
      <c r="GA409" s="54"/>
      <c r="GB409" s="54"/>
      <c r="GC409" s="54"/>
      <c r="GD409" s="54"/>
    </row>
    <row r="410" spans="1:186">
      <c r="A410" s="180"/>
      <c r="B410" s="180"/>
      <c r="C410" s="55"/>
      <c r="D410" s="56"/>
      <c r="E410" s="50"/>
      <c r="F410" s="50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  <c r="ES410" s="54"/>
      <c r="ET410" s="54"/>
      <c r="EU410" s="54"/>
      <c r="EV410" s="54"/>
      <c r="EW410" s="54"/>
      <c r="EX410" s="54"/>
      <c r="EY410" s="54"/>
      <c r="EZ410" s="54"/>
      <c r="FA410" s="54"/>
      <c r="FB410" s="54"/>
      <c r="FC410" s="54"/>
      <c r="FD410" s="54"/>
      <c r="FE410" s="54"/>
      <c r="FF410" s="54"/>
      <c r="FG410" s="54"/>
      <c r="FH410" s="54"/>
      <c r="FI410" s="54"/>
      <c r="FJ410" s="54"/>
      <c r="FK410" s="54"/>
      <c r="FL410" s="54"/>
      <c r="FM410" s="54"/>
      <c r="FN410" s="54"/>
      <c r="FO410" s="54"/>
      <c r="FP410" s="54"/>
      <c r="FQ410" s="54"/>
      <c r="FR410" s="54"/>
      <c r="FS410" s="54"/>
      <c r="FT410" s="54"/>
      <c r="FU410" s="54"/>
      <c r="FV410" s="54"/>
      <c r="FW410" s="54"/>
      <c r="FX410" s="54"/>
      <c r="FY410" s="54"/>
      <c r="FZ410" s="54"/>
      <c r="GA410" s="54"/>
      <c r="GB410" s="54"/>
      <c r="GC410" s="54"/>
      <c r="GD410" s="54"/>
    </row>
    <row r="411" spans="1:186">
      <c r="A411" s="180"/>
      <c r="B411" s="180"/>
      <c r="C411" s="55"/>
      <c r="D411" s="56"/>
      <c r="E411" s="50"/>
      <c r="F411" s="50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  <c r="ES411" s="54"/>
      <c r="ET411" s="54"/>
      <c r="EU411" s="54"/>
      <c r="EV411" s="54"/>
      <c r="EW411" s="54"/>
      <c r="EX411" s="54"/>
      <c r="EY411" s="54"/>
      <c r="EZ411" s="54"/>
      <c r="FA411" s="54"/>
      <c r="FB411" s="54"/>
      <c r="FC411" s="54"/>
      <c r="FD411" s="54"/>
      <c r="FE411" s="54"/>
      <c r="FF411" s="54"/>
      <c r="FG411" s="54"/>
      <c r="FH411" s="54"/>
      <c r="FI411" s="54"/>
      <c r="FJ411" s="54"/>
      <c r="FK411" s="54"/>
      <c r="FL411" s="54"/>
      <c r="FM411" s="54"/>
      <c r="FN411" s="54"/>
      <c r="FO411" s="54"/>
      <c r="FP411" s="54"/>
      <c r="FQ411" s="54"/>
      <c r="FR411" s="54"/>
      <c r="FS411" s="54"/>
      <c r="FT411" s="54"/>
      <c r="FU411" s="54"/>
      <c r="FV411" s="54"/>
      <c r="FW411" s="54"/>
      <c r="FX411" s="54"/>
      <c r="FY411" s="54"/>
      <c r="FZ411" s="54"/>
      <c r="GA411" s="54"/>
      <c r="GB411" s="54"/>
      <c r="GC411" s="54"/>
      <c r="GD411" s="54"/>
    </row>
    <row r="412" spans="1:186">
      <c r="A412" s="180"/>
      <c r="B412" s="180"/>
      <c r="C412" s="55"/>
      <c r="D412" s="56"/>
      <c r="E412" s="50"/>
      <c r="F412" s="50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  <c r="ES412" s="54"/>
      <c r="ET412" s="54"/>
      <c r="EU412" s="54"/>
      <c r="EV412" s="54"/>
      <c r="EW412" s="54"/>
      <c r="EX412" s="54"/>
      <c r="EY412" s="54"/>
      <c r="EZ412" s="54"/>
      <c r="FA412" s="54"/>
      <c r="FB412" s="54"/>
      <c r="FC412" s="54"/>
      <c r="FD412" s="54"/>
      <c r="FE412" s="54"/>
      <c r="FF412" s="54"/>
      <c r="FG412" s="54"/>
      <c r="FH412" s="54"/>
      <c r="FI412" s="54"/>
      <c r="FJ412" s="54"/>
      <c r="FK412" s="54"/>
      <c r="FL412" s="54"/>
      <c r="FM412" s="54"/>
      <c r="FN412" s="54"/>
      <c r="FO412" s="54"/>
      <c r="FP412" s="54"/>
      <c r="FQ412" s="54"/>
      <c r="FR412" s="54"/>
      <c r="FS412" s="54"/>
      <c r="FT412" s="54"/>
      <c r="FU412" s="54"/>
      <c r="FV412" s="54"/>
      <c r="FW412" s="54"/>
      <c r="FX412" s="54"/>
      <c r="FY412" s="54"/>
      <c r="FZ412" s="54"/>
      <c r="GA412" s="54"/>
      <c r="GB412" s="54"/>
      <c r="GC412" s="54"/>
      <c r="GD412" s="54"/>
    </row>
    <row r="413" spans="1:186">
      <c r="A413" s="180"/>
      <c r="B413" s="180"/>
      <c r="C413" s="55"/>
      <c r="D413" s="56"/>
      <c r="E413" s="50"/>
      <c r="F413" s="50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  <c r="ES413" s="54"/>
      <c r="ET413" s="54"/>
      <c r="EU413" s="54"/>
      <c r="EV413" s="54"/>
      <c r="EW413" s="54"/>
      <c r="EX413" s="54"/>
      <c r="EY413" s="54"/>
      <c r="EZ413" s="54"/>
      <c r="FA413" s="54"/>
      <c r="FB413" s="54"/>
      <c r="FC413" s="54"/>
      <c r="FD413" s="54"/>
      <c r="FE413" s="54"/>
      <c r="FF413" s="54"/>
      <c r="FG413" s="54"/>
      <c r="FH413" s="54"/>
      <c r="FI413" s="54"/>
      <c r="FJ413" s="54"/>
      <c r="FK413" s="54"/>
      <c r="FL413" s="54"/>
      <c r="FM413" s="54"/>
      <c r="FN413" s="54"/>
      <c r="FO413" s="54"/>
      <c r="FP413" s="54"/>
      <c r="FQ413" s="54"/>
      <c r="FR413" s="54"/>
      <c r="FS413" s="54"/>
      <c r="FT413" s="54"/>
      <c r="FU413" s="54"/>
      <c r="FV413" s="54"/>
      <c r="FW413" s="54"/>
      <c r="FX413" s="54"/>
      <c r="FY413" s="54"/>
      <c r="FZ413" s="54"/>
      <c r="GA413" s="54"/>
      <c r="GB413" s="54"/>
      <c r="GC413" s="54"/>
      <c r="GD413" s="54"/>
    </row>
    <row r="414" spans="1:186">
      <c r="A414" s="180"/>
      <c r="B414" s="180"/>
      <c r="C414" s="55"/>
      <c r="D414" s="56"/>
      <c r="E414" s="50"/>
      <c r="F414" s="50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  <c r="ES414" s="54"/>
      <c r="ET414" s="54"/>
      <c r="EU414" s="54"/>
      <c r="EV414" s="54"/>
      <c r="EW414" s="54"/>
      <c r="EX414" s="54"/>
      <c r="EY414" s="54"/>
      <c r="EZ414" s="54"/>
      <c r="FA414" s="54"/>
      <c r="FB414" s="54"/>
      <c r="FC414" s="54"/>
      <c r="FD414" s="54"/>
      <c r="FE414" s="54"/>
      <c r="FF414" s="54"/>
      <c r="FG414" s="54"/>
      <c r="FH414" s="54"/>
      <c r="FI414" s="54"/>
      <c r="FJ414" s="54"/>
      <c r="FK414" s="54"/>
      <c r="FL414" s="54"/>
      <c r="FM414" s="54"/>
      <c r="FN414" s="54"/>
      <c r="FO414" s="54"/>
      <c r="FP414" s="54"/>
      <c r="FQ414" s="54"/>
      <c r="FR414" s="54"/>
      <c r="FS414" s="54"/>
      <c r="FT414" s="54"/>
      <c r="FU414" s="54"/>
      <c r="FV414" s="54"/>
      <c r="FW414" s="54"/>
      <c r="FX414" s="54"/>
      <c r="FY414" s="54"/>
      <c r="FZ414" s="54"/>
      <c r="GA414" s="54"/>
      <c r="GB414" s="54"/>
      <c r="GC414" s="54"/>
      <c r="GD414" s="54"/>
    </row>
    <row r="415" spans="1:186">
      <c r="A415" s="180"/>
      <c r="B415" s="180"/>
      <c r="C415" s="55"/>
      <c r="D415" s="56"/>
      <c r="E415" s="50"/>
      <c r="F415" s="50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  <c r="ES415" s="54"/>
      <c r="ET415" s="54"/>
      <c r="EU415" s="54"/>
      <c r="EV415" s="54"/>
      <c r="EW415" s="54"/>
      <c r="EX415" s="54"/>
      <c r="EY415" s="54"/>
      <c r="EZ415" s="54"/>
      <c r="FA415" s="54"/>
      <c r="FB415" s="54"/>
      <c r="FC415" s="54"/>
      <c r="FD415" s="54"/>
      <c r="FE415" s="54"/>
      <c r="FF415" s="54"/>
      <c r="FG415" s="54"/>
      <c r="FH415" s="54"/>
      <c r="FI415" s="54"/>
      <c r="FJ415" s="54"/>
      <c r="FK415" s="54"/>
      <c r="FL415" s="54"/>
      <c r="FM415" s="54"/>
      <c r="FN415" s="54"/>
      <c r="FO415" s="54"/>
      <c r="FP415" s="54"/>
      <c r="FQ415" s="54"/>
      <c r="FR415" s="54"/>
      <c r="FS415" s="54"/>
      <c r="FT415" s="54"/>
      <c r="FU415" s="54"/>
      <c r="FV415" s="54"/>
      <c r="FW415" s="54"/>
      <c r="FX415" s="54"/>
      <c r="FY415" s="54"/>
      <c r="FZ415" s="54"/>
      <c r="GA415" s="54"/>
      <c r="GB415" s="54"/>
      <c r="GC415" s="54"/>
      <c r="GD415" s="54"/>
    </row>
    <row r="416" spans="1:186">
      <c r="A416" s="180"/>
      <c r="B416" s="180"/>
      <c r="C416" s="55"/>
      <c r="D416" s="56"/>
      <c r="E416" s="50"/>
      <c r="F416" s="50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  <c r="ES416" s="54"/>
      <c r="ET416" s="54"/>
      <c r="EU416" s="54"/>
      <c r="EV416" s="54"/>
      <c r="EW416" s="54"/>
      <c r="EX416" s="54"/>
      <c r="EY416" s="54"/>
      <c r="EZ416" s="54"/>
      <c r="FA416" s="54"/>
      <c r="FB416" s="54"/>
      <c r="FC416" s="54"/>
      <c r="FD416" s="54"/>
      <c r="FE416" s="54"/>
      <c r="FF416" s="54"/>
      <c r="FG416" s="54"/>
      <c r="FH416" s="54"/>
      <c r="FI416" s="54"/>
      <c r="FJ416" s="54"/>
      <c r="FK416" s="54"/>
      <c r="FL416" s="54"/>
      <c r="FM416" s="54"/>
      <c r="FN416" s="54"/>
      <c r="FO416" s="54"/>
      <c r="FP416" s="54"/>
      <c r="FQ416" s="54"/>
      <c r="FR416" s="54"/>
      <c r="FS416" s="54"/>
      <c r="FT416" s="54"/>
      <c r="FU416" s="54"/>
      <c r="FV416" s="54"/>
      <c r="FW416" s="54"/>
      <c r="FX416" s="54"/>
      <c r="FY416" s="54"/>
      <c r="FZ416" s="54"/>
      <c r="GA416" s="54"/>
      <c r="GB416" s="54"/>
      <c r="GC416" s="54"/>
      <c r="GD416" s="54"/>
    </row>
    <row r="417" spans="1:186">
      <c r="A417" s="180"/>
      <c r="B417" s="180"/>
      <c r="C417" s="55"/>
      <c r="D417" s="56"/>
      <c r="E417" s="50"/>
      <c r="F417" s="50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  <c r="ES417" s="54"/>
      <c r="ET417" s="54"/>
      <c r="EU417" s="54"/>
      <c r="EV417" s="54"/>
      <c r="EW417" s="54"/>
      <c r="EX417" s="54"/>
      <c r="EY417" s="54"/>
      <c r="EZ417" s="54"/>
      <c r="FA417" s="54"/>
      <c r="FB417" s="54"/>
      <c r="FC417" s="54"/>
      <c r="FD417" s="54"/>
      <c r="FE417" s="54"/>
      <c r="FF417" s="54"/>
      <c r="FG417" s="54"/>
      <c r="FH417" s="54"/>
      <c r="FI417" s="54"/>
      <c r="FJ417" s="54"/>
      <c r="FK417" s="54"/>
      <c r="FL417" s="54"/>
      <c r="FM417" s="54"/>
      <c r="FN417" s="54"/>
      <c r="FO417" s="54"/>
      <c r="FP417" s="54"/>
      <c r="FQ417" s="54"/>
      <c r="FR417" s="54"/>
      <c r="FS417" s="54"/>
      <c r="FT417" s="54"/>
      <c r="FU417" s="54"/>
      <c r="FV417" s="54"/>
      <c r="FW417" s="54"/>
      <c r="FX417" s="54"/>
      <c r="FY417" s="54"/>
      <c r="FZ417" s="54"/>
      <c r="GA417" s="54"/>
      <c r="GB417" s="54"/>
      <c r="GC417" s="54"/>
      <c r="GD417" s="54"/>
    </row>
    <row r="418" spans="1:186">
      <c r="A418" s="180"/>
      <c r="B418" s="180"/>
      <c r="C418" s="55"/>
      <c r="D418" s="56"/>
      <c r="E418" s="50"/>
      <c r="F418" s="50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  <c r="ES418" s="54"/>
      <c r="ET418" s="54"/>
      <c r="EU418" s="54"/>
      <c r="EV418" s="54"/>
      <c r="EW418" s="54"/>
      <c r="EX418" s="54"/>
      <c r="EY418" s="54"/>
      <c r="EZ418" s="54"/>
      <c r="FA418" s="54"/>
      <c r="FB418" s="54"/>
      <c r="FC418" s="54"/>
      <c r="FD418" s="54"/>
      <c r="FE418" s="54"/>
      <c r="FF418" s="54"/>
      <c r="FG418" s="54"/>
      <c r="FH418" s="54"/>
      <c r="FI418" s="54"/>
      <c r="FJ418" s="54"/>
      <c r="FK418" s="54"/>
      <c r="FL418" s="54"/>
      <c r="FM418" s="54"/>
      <c r="FN418" s="54"/>
      <c r="FO418" s="54"/>
      <c r="FP418" s="54"/>
      <c r="FQ418" s="54"/>
      <c r="FR418" s="54"/>
      <c r="FS418" s="54"/>
      <c r="FT418" s="54"/>
      <c r="FU418" s="54"/>
      <c r="FV418" s="54"/>
      <c r="FW418" s="54"/>
      <c r="FX418" s="54"/>
      <c r="FY418" s="54"/>
      <c r="FZ418" s="54"/>
      <c r="GA418" s="54"/>
      <c r="GB418" s="54"/>
      <c r="GC418" s="54"/>
      <c r="GD418" s="54"/>
    </row>
    <row r="419" spans="1:186">
      <c r="A419" s="180"/>
      <c r="B419" s="180"/>
      <c r="C419" s="55"/>
      <c r="D419" s="56"/>
      <c r="E419" s="50"/>
      <c r="F419" s="50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  <c r="ES419" s="54"/>
      <c r="ET419" s="54"/>
      <c r="EU419" s="54"/>
      <c r="EV419" s="54"/>
      <c r="EW419" s="54"/>
      <c r="EX419" s="54"/>
      <c r="EY419" s="54"/>
      <c r="EZ419" s="54"/>
      <c r="FA419" s="54"/>
      <c r="FB419" s="54"/>
      <c r="FC419" s="54"/>
      <c r="FD419" s="54"/>
      <c r="FE419" s="54"/>
      <c r="FF419" s="54"/>
      <c r="FG419" s="54"/>
      <c r="FH419" s="54"/>
      <c r="FI419" s="54"/>
      <c r="FJ419" s="54"/>
      <c r="FK419" s="54"/>
      <c r="FL419" s="54"/>
      <c r="FM419" s="54"/>
      <c r="FN419" s="54"/>
      <c r="FO419" s="54"/>
      <c r="FP419" s="54"/>
      <c r="FQ419" s="54"/>
      <c r="FR419" s="54"/>
      <c r="FS419" s="54"/>
      <c r="FT419" s="54"/>
      <c r="FU419" s="54"/>
      <c r="FV419" s="54"/>
      <c r="FW419" s="54"/>
      <c r="FX419" s="54"/>
      <c r="FY419" s="54"/>
      <c r="FZ419" s="54"/>
      <c r="GA419" s="54"/>
      <c r="GB419" s="54"/>
      <c r="GC419" s="54"/>
      <c r="GD419" s="54"/>
    </row>
    <row r="420" spans="1:186">
      <c r="A420" s="180"/>
      <c r="B420" s="180"/>
      <c r="C420" s="55"/>
      <c r="D420" s="56"/>
      <c r="E420" s="50"/>
      <c r="F420" s="50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  <c r="ES420" s="54"/>
      <c r="ET420" s="54"/>
      <c r="EU420" s="54"/>
      <c r="EV420" s="54"/>
      <c r="EW420" s="54"/>
      <c r="EX420" s="54"/>
      <c r="EY420" s="54"/>
      <c r="EZ420" s="54"/>
      <c r="FA420" s="54"/>
      <c r="FB420" s="54"/>
      <c r="FC420" s="54"/>
      <c r="FD420" s="54"/>
      <c r="FE420" s="54"/>
      <c r="FF420" s="54"/>
      <c r="FG420" s="54"/>
      <c r="FH420" s="54"/>
      <c r="FI420" s="54"/>
      <c r="FJ420" s="54"/>
      <c r="FK420" s="54"/>
      <c r="FL420" s="54"/>
      <c r="FM420" s="54"/>
      <c r="FN420" s="54"/>
      <c r="FO420" s="54"/>
      <c r="FP420" s="54"/>
      <c r="FQ420" s="54"/>
      <c r="FR420" s="54"/>
      <c r="FS420" s="54"/>
      <c r="FT420" s="54"/>
      <c r="FU420" s="54"/>
      <c r="FV420" s="54"/>
      <c r="FW420" s="54"/>
      <c r="FX420" s="54"/>
      <c r="FY420" s="54"/>
      <c r="FZ420" s="54"/>
      <c r="GA420" s="54"/>
      <c r="GB420" s="54"/>
      <c r="GC420" s="54"/>
      <c r="GD420" s="54"/>
    </row>
    <row r="421" spans="1:186">
      <c r="A421" s="180"/>
      <c r="B421" s="180"/>
      <c r="C421" s="55"/>
      <c r="D421" s="56"/>
      <c r="E421" s="50"/>
      <c r="F421" s="50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  <c r="ES421" s="54"/>
      <c r="ET421" s="54"/>
      <c r="EU421" s="54"/>
      <c r="EV421" s="54"/>
      <c r="EW421" s="54"/>
      <c r="EX421" s="54"/>
      <c r="EY421" s="54"/>
      <c r="EZ421" s="54"/>
      <c r="FA421" s="54"/>
      <c r="FB421" s="54"/>
      <c r="FC421" s="54"/>
      <c r="FD421" s="54"/>
      <c r="FE421" s="54"/>
      <c r="FF421" s="54"/>
      <c r="FG421" s="54"/>
      <c r="FH421" s="54"/>
      <c r="FI421" s="54"/>
      <c r="FJ421" s="54"/>
      <c r="FK421" s="54"/>
      <c r="FL421" s="54"/>
      <c r="FM421" s="54"/>
      <c r="FN421" s="54"/>
      <c r="FO421" s="54"/>
      <c r="FP421" s="54"/>
      <c r="FQ421" s="54"/>
      <c r="FR421" s="54"/>
      <c r="FS421" s="54"/>
      <c r="FT421" s="54"/>
      <c r="FU421" s="54"/>
      <c r="FV421" s="54"/>
      <c r="FW421" s="54"/>
      <c r="FX421" s="54"/>
      <c r="FY421" s="54"/>
      <c r="FZ421" s="54"/>
      <c r="GA421" s="54"/>
      <c r="GB421" s="54"/>
      <c r="GC421" s="54"/>
      <c r="GD421" s="54"/>
    </row>
    <row r="422" spans="1:186">
      <c r="A422" s="180"/>
      <c r="B422" s="180"/>
      <c r="C422" s="55"/>
      <c r="D422" s="56"/>
      <c r="E422" s="50"/>
      <c r="F422" s="50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  <c r="ES422" s="54"/>
      <c r="ET422" s="54"/>
      <c r="EU422" s="54"/>
      <c r="EV422" s="54"/>
      <c r="EW422" s="54"/>
      <c r="EX422" s="54"/>
      <c r="EY422" s="54"/>
      <c r="EZ422" s="54"/>
      <c r="FA422" s="54"/>
      <c r="FB422" s="54"/>
      <c r="FC422" s="54"/>
      <c r="FD422" s="54"/>
      <c r="FE422" s="54"/>
      <c r="FF422" s="54"/>
      <c r="FG422" s="54"/>
      <c r="FH422" s="54"/>
      <c r="FI422" s="54"/>
      <c r="FJ422" s="54"/>
      <c r="FK422" s="54"/>
      <c r="FL422" s="54"/>
      <c r="FM422" s="54"/>
      <c r="FN422" s="54"/>
      <c r="FO422" s="54"/>
      <c r="FP422" s="54"/>
      <c r="FQ422" s="54"/>
      <c r="FR422" s="54"/>
      <c r="FS422" s="54"/>
      <c r="FT422" s="54"/>
      <c r="FU422" s="54"/>
      <c r="FV422" s="54"/>
      <c r="FW422" s="54"/>
      <c r="FX422" s="54"/>
      <c r="FY422" s="54"/>
      <c r="FZ422" s="54"/>
      <c r="GA422" s="54"/>
      <c r="GB422" s="54"/>
      <c r="GC422" s="54"/>
      <c r="GD422" s="54"/>
    </row>
    <row r="423" spans="1:186">
      <c r="A423" s="180"/>
      <c r="B423" s="180"/>
      <c r="C423" s="55"/>
      <c r="D423" s="56"/>
      <c r="E423" s="50"/>
      <c r="F423" s="50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  <c r="ES423" s="54"/>
      <c r="ET423" s="54"/>
      <c r="EU423" s="54"/>
      <c r="EV423" s="54"/>
      <c r="EW423" s="54"/>
      <c r="EX423" s="54"/>
      <c r="EY423" s="54"/>
      <c r="EZ423" s="54"/>
      <c r="FA423" s="54"/>
      <c r="FB423" s="54"/>
      <c r="FC423" s="54"/>
      <c r="FD423" s="54"/>
      <c r="FE423" s="54"/>
      <c r="FF423" s="54"/>
      <c r="FG423" s="54"/>
      <c r="FH423" s="54"/>
      <c r="FI423" s="54"/>
      <c r="FJ423" s="54"/>
      <c r="FK423" s="54"/>
      <c r="FL423" s="54"/>
      <c r="FM423" s="54"/>
      <c r="FN423" s="54"/>
      <c r="FO423" s="54"/>
      <c r="FP423" s="54"/>
      <c r="FQ423" s="54"/>
      <c r="FR423" s="54"/>
      <c r="FS423" s="54"/>
      <c r="FT423" s="54"/>
      <c r="FU423" s="54"/>
      <c r="FV423" s="54"/>
      <c r="FW423" s="54"/>
      <c r="FX423" s="54"/>
      <c r="FY423" s="54"/>
      <c r="FZ423" s="54"/>
      <c r="GA423" s="54"/>
      <c r="GB423" s="54"/>
      <c r="GC423" s="54"/>
      <c r="GD423" s="54"/>
    </row>
    <row r="424" spans="1:186">
      <c r="A424" s="180"/>
      <c r="B424" s="180"/>
      <c r="C424" s="55"/>
      <c r="D424" s="56"/>
      <c r="E424" s="50"/>
      <c r="F424" s="50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  <c r="ES424" s="54"/>
      <c r="ET424" s="54"/>
      <c r="EU424" s="54"/>
      <c r="EV424" s="54"/>
      <c r="EW424" s="54"/>
      <c r="EX424" s="54"/>
      <c r="EY424" s="54"/>
      <c r="EZ424" s="54"/>
      <c r="FA424" s="54"/>
      <c r="FB424" s="54"/>
      <c r="FC424" s="54"/>
      <c r="FD424" s="54"/>
      <c r="FE424" s="54"/>
      <c r="FF424" s="54"/>
      <c r="FG424" s="54"/>
      <c r="FH424" s="54"/>
      <c r="FI424" s="54"/>
      <c r="FJ424" s="54"/>
      <c r="FK424" s="54"/>
      <c r="FL424" s="54"/>
      <c r="FM424" s="54"/>
      <c r="FN424" s="54"/>
      <c r="FO424" s="54"/>
      <c r="FP424" s="54"/>
      <c r="FQ424" s="54"/>
      <c r="FR424" s="54"/>
      <c r="FS424" s="54"/>
      <c r="FT424" s="54"/>
      <c r="FU424" s="54"/>
      <c r="FV424" s="54"/>
      <c r="FW424" s="54"/>
      <c r="FX424" s="54"/>
      <c r="FY424" s="54"/>
      <c r="FZ424" s="54"/>
      <c r="GA424" s="54"/>
      <c r="GB424" s="54"/>
      <c r="GC424" s="54"/>
      <c r="GD424" s="54"/>
    </row>
    <row r="425" spans="1:186">
      <c r="A425" s="180"/>
      <c r="B425" s="180"/>
      <c r="C425" s="55"/>
      <c r="D425" s="56"/>
      <c r="E425" s="50"/>
      <c r="F425" s="50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  <c r="ES425" s="54"/>
      <c r="ET425" s="54"/>
      <c r="EU425" s="54"/>
      <c r="EV425" s="54"/>
      <c r="EW425" s="54"/>
      <c r="EX425" s="54"/>
      <c r="EY425" s="54"/>
      <c r="EZ425" s="54"/>
      <c r="FA425" s="54"/>
      <c r="FB425" s="54"/>
      <c r="FC425" s="54"/>
      <c r="FD425" s="54"/>
      <c r="FE425" s="54"/>
      <c r="FF425" s="54"/>
      <c r="FG425" s="54"/>
      <c r="FH425" s="54"/>
      <c r="FI425" s="54"/>
      <c r="FJ425" s="54"/>
      <c r="FK425" s="54"/>
      <c r="FL425" s="54"/>
      <c r="FM425" s="54"/>
      <c r="FN425" s="54"/>
      <c r="FO425" s="54"/>
      <c r="FP425" s="54"/>
      <c r="FQ425" s="54"/>
      <c r="FR425" s="54"/>
      <c r="FS425" s="54"/>
      <c r="FT425" s="54"/>
      <c r="FU425" s="54"/>
      <c r="FV425" s="54"/>
      <c r="FW425" s="54"/>
      <c r="FX425" s="54"/>
      <c r="FY425" s="54"/>
      <c r="FZ425" s="54"/>
      <c r="GA425" s="54"/>
      <c r="GB425" s="54"/>
      <c r="GC425" s="54"/>
      <c r="GD425" s="54"/>
    </row>
    <row r="426" spans="1:186">
      <c r="A426" s="180"/>
      <c r="B426" s="180"/>
      <c r="C426" s="55"/>
      <c r="D426" s="56"/>
      <c r="E426" s="50"/>
      <c r="F426" s="50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  <c r="ES426" s="54"/>
      <c r="ET426" s="54"/>
      <c r="EU426" s="54"/>
      <c r="EV426" s="54"/>
      <c r="EW426" s="54"/>
      <c r="EX426" s="54"/>
      <c r="EY426" s="54"/>
      <c r="EZ426" s="54"/>
      <c r="FA426" s="54"/>
      <c r="FB426" s="54"/>
      <c r="FC426" s="54"/>
      <c r="FD426" s="54"/>
      <c r="FE426" s="54"/>
      <c r="FF426" s="54"/>
      <c r="FG426" s="54"/>
      <c r="FH426" s="54"/>
      <c r="FI426" s="54"/>
      <c r="FJ426" s="54"/>
      <c r="FK426" s="54"/>
      <c r="FL426" s="54"/>
      <c r="FM426" s="54"/>
      <c r="FN426" s="54"/>
      <c r="FO426" s="54"/>
      <c r="FP426" s="54"/>
      <c r="FQ426" s="54"/>
      <c r="FR426" s="54"/>
      <c r="FS426" s="54"/>
      <c r="FT426" s="54"/>
      <c r="FU426" s="54"/>
      <c r="FV426" s="54"/>
      <c r="FW426" s="54"/>
      <c r="FX426" s="54"/>
      <c r="FY426" s="54"/>
      <c r="FZ426" s="54"/>
      <c r="GA426" s="54"/>
      <c r="GB426" s="54"/>
      <c r="GC426" s="54"/>
      <c r="GD426" s="54"/>
    </row>
    <row r="427" spans="1:186">
      <c r="A427" s="180"/>
      <c r="B427" s="180"/>
      <c r="C427" s="55"/>
      <c r="D427" s="56"/>
      <c r="E427" s="50"/>
      <c r="F427" s="50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  <c r="ES427" s="54"/>
      <c r="ET427" s="54"/>
      <c r="EU427" s="54"/>
      <c r="EV427" s="54"/>
      <c r="EW427" s="54"/>
      <c r="EX427" s="54"/>
      <c r="EY427" s="54"/>
      <c r="EZ427" s="54"/>
      <c r="FA427" s="54"/>
      <c r="FB427" s="54"/>
      <c r="FC427" s="54"/>
      <c r="FD427" s="54"/>
      <c r="FE427" s="54"/>
      <c r="FF427" s="54"/>
      <c r="FG427" s="54"/>
      <c r="FH427" s="54"/>
      <c r="FI427" s="54"/>
      <c r="FJ427" s="54"/>
      <c r="FK427" s="54"/>
      <c r="FL427" s="54"/>
      <c r="FM427" s="54"/>
      <c r="FN427" s="54"/>
      <c r="FO427" s="54"/>
      <c r="FP427" s="54"/>
      <c r="FQ427" s="54"/>
      <c r="FR427" s="54"/>
      <c r="FS427" s="54"/>
      <c r="FT427" s="54"/>
      <c r="FU427" s="54"/>
      <c r="FV427" s="54"/>
      <c r="FW427" s="54"/>
      <c r="FX427" s="54"/>
      <c r="FY427" s="54"/>
      <c r="FZ427" s="54"/>
      <c r="GA427" s="54"/>
      <c r="GB427" s="54"/>
      <c r="GC427" s="54"/>
      <c r="GD427" s="54"/>
    </row>
    <row r="428" spans="1:186">
      <c r="A428" s="180"/>
      <c r="B428" s="180"/>
      <c r="C428" s="55"/>
      <c r="D428" s="56"/>
      <c r="E428" s="50"/>
      <c r="F428" s="50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  <c r="ES428" s="54"/>
      <c r="ET428" s="54"/>
      <c r="EU428" s="54"/>
      <c r="EV428" s="54"/>
      <c r="EW428" s="54"/>
      <c r="EX428" s="54"/>
      <c r="EY428" s="54"/>
      <c r="EZ428" s="54"/>
      <c r="FA428" s="54"/>
      <c r="FB428" s="54"/>
      <c r="FC428" s="54"/>
      <c r="FD428" s="54"/>
      <c r="FE428" s="54"/>
      <c r="FF428" s="54"/>
      <c r="FG428" s="54"/>
      <c r="FH428" s="54"/>
      <c r="FI428" s="54"/>
      <c r="FJ428" s="54"/>
      <c r="FK428" s="54"/>
      <c r="FL428" s="54"/>
      <c r="FM428" s="54"/>
      <c r="FN428" s="54"/>
      <c r="FO428" s="54"/>
      <c r="FP428" s="54"/>
      <c r="FQ428" s="54"/>
      <c r="FR428" s="54"/>
      <c r="FS428" s="54"/>
      <c r="FT428" s="54"/>
      <c r="FU428" s="54"/>
      <c r="FV428" s="54"/>
      <c r="FW428" s="54"/>
      <c r="FX428" s="54"/>
      <c r="FY428" s="54"/>
      <c r="FZ428" s="54"/>
      <c r="GA428" s="54"/>
      <c r="GB428" s="54"/>
      <c r="GC428" s="54"/>
      <c r="GD428" s="54"/>
    </row>
    <row r="429" spans="1:186">
      <c r="A429" s="180"/>
      <c r="B429" s="180"/>
      <c r="C429" s="55"/>
      <c r="D429" s="56"/>
      <c r="E429" s="50"/>
      <c r="F429" s="50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  <c r="ES429" s="54"/>
      <c r="ET429" s="54"/>
      <c r="EU429" s="54"/>
      <c r="EV429" s="54"/>
      <c r="EW429" s="54"/>
      <c r="EX429" s="54"/>
      <c r="EY429" s="54"/>
      <c r="EZ429" s="54"/>
      <c r="FA429" s="54"/>
      <c r="FB429" s="54"/>
      <c r="FC429" s="54"/>
      <c r="FD429" s="54"/>
      <c r="FE429" s="54"/>
      <c r="FF429" s="54"/>
      <c r="FG429" s="54"/>
      <c r="FH429" s="54"/>
      <c r="FI429" s="54"/>
      <c r="FJ429" s="54"/>
      <c r="FK429" s="54"/>
      <c r="FL429" s="54"/>
      <c r="FM429" s="54"/>
      <c r="FN429" s="54"/>
      <c r="FO429" s="54"/>
      <c r="FP429" s="54"/>
      <c r="FQ429" s="54"/>
      <c r="FR429" s="54"/>
      <c r="FS429" s="54"/>
      <c r="FT429" s="54"/>
      <c r="FU429" s="54"/>
      <c r="FV429" s="54"/>
      <c r="FW429" s="54"/>
      <c r="FX429" s="54"/>
      <c r="FY429" s="54"/>
      <c r="FZ429" s="54"/>
      <c r="GA429" s="54"/>
      <c r="GB429" s="54"/>
      <c r="GC429" s="54"/>
      <c r="GD429" s="54"/>
    </row>
    <row r="430" spans="1:186">
      <c r="A430" s="180"/>
      <c r="B430" s="180"/>
      <c r="C430" s="55"/>
      <c r="D430" s="56"/>
      <c r="E430" s="50"/>
      <c r="F430" s="50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  <c r="ES430" s="54"/>
      <c r="ET430" s="54"/>
      <c r="EU430" s="54"/>
      <c r="EV430" s="54"/>
      <c r="EW430" s="54"/>
      <c r="EX430" s="54"/>
      <c r="EY430" s="54"/>
      <c r="EZ430" s="54"/>
      <c r="FA430" s="54"/>
      <c r="FB430" s="54"/>
      <c r="FC430" s="54"/>
      <c r="FD430" s="54"/>
      <c r="FE430" s="54"/>
      <c r="FF430" s="54"/>
      <c r="FG430" s="54"/>
      <c r="FH430" s="54"/>
      <c r="FI430" s="54"/>
      <c r="FJ430" s="54"/>
      <c r="FK430" s="54"/>
      <c r="FL430" s="54"/>
      <c r="FM430" s="54"/>
      <c r="FN430" s="54"/>
      <c r="FO430" s="54"/>
      <c r="FP430" s="54"/>
      <c r="FQ430" s="54"/>
      <c r="FR430" s="54"/>
      <c r="FS430" s="54"/>
      <c r="FT430" s="54"/>
      <c r="FU430" s="54"/>
      <c r="FV430" s="54"/>
      <c r="FW430" s="54"/>
      <c r="FX430" s="54"/>
      <c r="FY430" s="54"/>
      <c r="FZ430" s="54"/>
      <c r="GA430" s="54"/>
      <c r="GB430" s="54"/>
      <c r="GC430" s="54"/>
      <c r="GD430" s="54"/>
    </row>
    <row r="431" spans="1:186">
      <c r="A431" s="180"/>
      <c r="B431" s="180"/>
      <c r="C431" s="55"/>
      <c r="D431" s="56"/>
      <c r="E431" s="50"/>
      <c r="F431" s="50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  <c r="ES431" s="54"/>
      <c r="ET431" s="54"/>
      <c r="EU431" s="54"/>
      <c r="EV431" s="54"/>
      <c r="EW431" s="54"/>
      <c r="EX431" s="54"/>
      <c r="EY431" s="54"/>
      <c r="EZ431" s="54"/>
      <c r="FA431" s="54"/>
      <c r="FB431" s="54"/>
      <c r="FC431" s="54"/>
      <c r="FD431" s="54"/>
      <c r="FE431" s="54"/>
      <c r="FF431" s="54"/>
      <c r="FG431" s="54"/>
      <c r="FH431" s="54"/>
      <c r="FI431" s="54"/>
      <c r="FJ431" s="54"/>
      <c r="FK431" s="54"/>
      <c r="FL431" s="54"/>
      <c r="FM431" s="54"/>
      <c r="FN431" s="54"/>
      <c r="FO431" s="54"/>
      <c r="FP431" s="54"/>
      <c r="FQ431" s="54"/>
      <c r="FR431" s="54"/>
      <c r="FS431" s="54"/>
      <c r="FT431" s="54"/>
      <c r="FU431" s="54"/>
      <c r="FV431" s="54"/>
      <c r="FW431" s="54"/>
      <c r="FX431" s="54"/>
      <c r="FY431" s="54"/>
      <c r="FZ431" s="54"/>
      <c r="GA431" s="54"/>
      <c r="GB431" s="54"/>
      <c r="GC431" s="54"/>
      <c r="GD431" s="54"/>
    </row>
    <row r="432" spans="1:186">
      <c r="A432" s="180"/>
      <c r="B432" s="180"/>
      <c r="C432" s="55"/>
      <c r="D432" s="56"/>
      <c r="E432" s="50"/>
      <c r="F432" s="50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  <c r="ES432" s="54"/>
      <c r="ET432" s="54"/>
      <c r="EU432" s="54"/>
      <c r="EV432" s="54"/>
      <c r="EW432" s="54"/>
      <c r="EX432" s="54"/>
      <c r="EY432" s="54"/>
      <c r="EZ432" s="54"/>
      <c r="FA432" s="54"/>
      <c r="FB432" s="54"/>
      <c r="FC432" s="54"/>
      <c r="FD432" s="54"/>
      <c r="FE432" s="54"/>
      <c r="FF432" s="54"/>
      <c r="FG432" s="54"/>
      <c r="FH432" s="54"/>
      <c r="FI432" s="54"/>
      <c r="FJ432" s="54"/>
      <c r="FK432" s="54"/>
      <c r="FL432" s="54"/>
      <c r="FM432" s="54"/>
      <c r="FN432" s="54"/>
      <c r="FO432" s="54"/>
      <c r="FP432" s="54"/>
      <c r="FQ432" s="54"/>
      <c r="FR432" s="54"/>
      <c r="FS432" s="54"/>
      <c r="FT432" s="54"/>
      <c r="FU432" s="54"/>
      <c r="FV432" s="54"/>
      <c r="FW432" s="54"/>
      <c r="FX432" s="54"/>
      <c r="FY432" s="54"/>
      <c r="FZ432" s="54"/>
      <c r="GA432" s="54"/>
      <c r="GB432" s="54"/>
      <c r="GC432" s="54"/>
      <c r="GD432" s="54"/>
    </row>
    <row r="433" spans="1:186">
      <c r="A433" s="180"/>
      <c r="B433" s="180"/>
      <c r="C433" s="55"/>
      <c r="D433" s="56"/>
      <c r="E433" s="50"/>
      <c r="F433" s="50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  <c r="ES433" s="54"/>
      <c r="ET433" s="54"/>
      <c r="EU433" s="54"/>
      <c r="EV433" s="54"/>
      <c r="EW433" s="54"/>
      <c r="EX433" s="54"/>
      <c r="EY433" s="54"/>
      <c r="EZ433" s="54"/>
      <c r="FA433" s="54"/>
      <c r="FB433" s="54"/>
      <c r="FC433" s="54"/>
      <c r="FD433" s="54"/>
      <c r="FE433" s="54"/>
      <c r="FF433" s="54"/>
      <c r="FG433" s="54"/>
      <c r="FH433" s="54"/>
      <c r="FI433" s="54"/>
      <c r="FJ433" s="54"/>
      <c r="FK433" s="54"/>
      <c r="FL433" s="54"/>
      <c r="FM433" s="54"/>
      <c r="FN433" s="54"/>
      <c r="FO433" s="54"/>
      <c r="FP433" s="54"/>
      <c r="FQ433" s="54"/>
      <c r="FR433" s="54"/>
      <c r="FS433" s="54"/>
      <c r="FT433" s="54"/>
      <c r="FU433" s="54"/>
      <c r="FV433" s="54"/>
      <c r="FW433" s="54"/>
      <c r="FX433" s="54"/>
      <c r="FY433" s="54"/>
      <c r="FZ433" s="54"/>
      <c r="GA433" s="54"/>
      <c r="GB433" s="54"/>
      <c r="GC433" s="54"/>
      <c r="GD433" s="54"/>
    </row>
    <row r="434" spans="1:186">
      <c r="A434" s="180"/>
      <c r="B434" s="180"/>
      <c r="C434" s="55"/>
      <c r="D434" s="56"/>
      <c r="E434" s="50"/>
      <c r="F434" s="50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  <c r="ES434" s="54"/>
      <c r="ET434" s="54"/>
      <c r="EU434" s="54"/>
      <c r="EV434" s="54"/>
      <c r="EW434" s="54"/>
      <c r="EX434" s="54"/>
      <c r="EY434" s="54"/>
      <c r="EZ434" s="54"/>
      <c r="FA434" s="54"/>
      <c r="FB434" s="54"/>
      <c r="FC434" s="54"/>
      <c r="FD434" s="54"/>
      <c r="FE434" s="54"/>
      <c r="FF434" s="54"/>
      <c r="FG434" s="54"/>
      <c r="FH434" s="54"/>
      <c r="FI434" s="54"/>
      <c r="FJ434" s="54"/>
      <c r="FK434" s="54"/>
      <c r="FL434" s="54"/>
      <c r="FM434" s="54"/>
      <c r="FN434" s="54"/>
      <c r="FO434" s="54"/>
      <c r="FP434" s="54"/>
      <c r="FQ434" s="54"/>
      <c r="FR434" s="54"/>
      <c r="FS434" s="54"/>
      <c r="FT434" s="54"/>
      <c r="FU434" s="54"/>
      <c r="FV434" s="54"/>
      <c r="FW434" s="54"/>
      <c r="FX434" s="54"/>
      <c r="FY434" s="54"/>
      <c r="FZ434" s="54"/>
      <c r="GA434" s="54"/>
      <c r="GB434" s="54"/>
      <c r="GC434" s="54"/>
      <c r="GD434" s="54"/>
    </row>
    <row r="435" spans="1:186">
      <c r="A435" s="180"/>
      <c r="B435" s="180"/>
      <c r="C435" s="55"/>
      <c r="D435" s="56"/>
      <c r="E435" s="50"/>
      <c r="F435" s="50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  <c r="ES435" s="54"/>
      <c r="ET435" s="54"/>
      <c r="EU435" s="54"/>
      <c r="EV435" s="54"/>
      <c r="EW435" s="54"/>
      <c r="EX435" s="54"/>
      <c r="EY435" s="54"/>
      <c r="EZ435" s="54"/>
      <c r="FA435" s="54"/>
      <c r="FB435" s="54"/>
      <c r="FC435" s="54"/>
      <c r="FD435" s="54"/>
      <c r="FE435" s="54"/>
      <c r="FF435" s="54"/>
      <c r="FG435" s="54"/>
      <c r="FH435" s="54"/>
      <c r="FI435" s="54"/>
      <c r="FJ435" s="54"/>
      <c r="FK435" s="54"/>
      <c r="FL435" s="54"/>
      <c r="FM435" s="54"/>
      <c r="FN435" s="54"/>
      <c r="FO435" s="54"/>
      <c r="FP435" s="54"/>
      <c r="FQ435" s="54"/>
      <c r="FR435" s="54"/>
      <c r="FS435" s="54"/>
      <c r="FT435" s="54"/>
      <c r="FU435" s="54"/>
      <c r="FV435" s="54"/>
      <c r="FW435" s="54"/>
      <c r="FX435" s="54"/>
      <c r="FY435" s="54"/>
      <c r="FZ435" s="54"/>
      <c r="GA435" s="54"/>
      <c r="GB435" s="54"/>
      <c r="GC435" s="54"/>
      <c r="GD435" s="54"/>
    </row>
    <row r="436" spans="1:186">
      <c r="A436" s="180"/>
      <c r="B436" s="180"/>
      <c r="C436" s="55"/>
      <c r="D436" s="56"/>
      <c r="E436" s="50"/>
      <c r="F436" s="50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  <c r="ES436" s="54"/>
      <c r="ET436" s="54"/>
      <c r="EU436" s="54"/>
      <c r="EV436" s="54"/>
      <c r="EW436" s="54"/>
      <c r="EX436" s="54"/>
      <c r="EY436" s="54"/>
      <c r="EZ436" s="54"/>
      <c r="FA436" s="54"/>
      <c r="FB436" s="54"/>
      <c r="FC436" s="54"/>
      <c r="FD436" s="54"/>
      <c r="FE436" s="54"/>
      <c r="FF436" s="54"/>
      <c r="FG436" s="54"/>
      <c r="FH436" s="54"/>
      <c r="FI436" s="54"/>
      <c r="FJ436" s="54"/>
      <c r="FK436" s="54"/>
      <c r="FL436" s="54"/>
      <c r="FM436" s="54"/>
      <c r="FN436" s="54"/>
      <c r="FO436" s="54"/>
      <c r="FP436" s="54"/>
      <c r="FQ436" s="54"/>
      <c r="FR436" s="54"/>
      <c r="FS436" s="54"/>
      <c r="FT436" s="54"/>
      <c r="FU436" s="54"/>
      <c r="FV436" s="54"/>
      <c r="FW436" s="54"/>
      <c r="FX436" s="54"/>
      <c r="FY436" s="54"/>
      <c r="FZ436" s="54"/>
      <c r="GA436" s="54"/>
      <c r="GB436" s="54"/>
      <c r="GC436" s="54"/>
      <c r="GD436" s="54"/>
    </row>
    <row r="437" spans="1:186">
      <c r="A437" s="180"/>
      <c r="B437" s="180"/>
      <c r="C437" s="55"/>
      <c r="D437" s="56"/>
      <c r="E437" s="50"/>
      <c r="F437" s="50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  <c r="ES437" s="54"/>
      <c r="ET437" s="54"/>
      <c r="EU437" s="54"/>
      <c r="EV437" s="54"/>
      <c r="EW437" s="54"/>
      <c r="EX437" s="54"/>
      <c r="EY437" s="54"/>
      <c r="EZ437" s="54"/>
      <c r="FA437" s="54"/>
      <c r="FB437" s="54"/>
      <c r="FC437" s="54"/>
      <c r="FD437" s="54"/>
      <c r="FE437" s="54"/>
      <c r="FF437" s="54"/>
      <c r="FG437" s="54"/>
      <c r="FH437" s="54"/>
      <c r="FI437" s="54"/>
      <c r="FJ437" s="54"/>
      <c r="FK437" s="54"/>
      <c r="FL437" s="54"/>
      <c r="FM437" s="54"/>
      <c r="FN437" s="54"/>
      <c r="FO437" s="54"/>
      <c r="FP437" s="54"/>
      <c r="FQ437" s="54"/>
      <c r="FR437" s="54"/>
      <c r="FS437" s="54"/>
      <c r="FT437" s="54"/>
      <c r="FU437" s="54"/>
      <c r="FV437" s="54"/>
      <c r="FW437" s="54"/>
      <c r="FX437" s="54"/>
      <c r="FY437" s="54"/>
      <c r="FZ437" s="54"/>
      <c r="GA437" s="54"/>
      <c r="GB437" s="54"/>
      <c r="GC437" s="54"/>
      <c r="GD437" s="54"/>
    </row>
    <row r="438" spans="1:186">
      <c r="A438" s="180"/>
      <c r="B438" s="180"/>
      <c r="C438" s="55"/>
      <c r="D438" s="56"/>
      <c r="E438" s="50"/>
      <c r="F438" s="50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  <c r="ES438" s="54"/>
      <c r="ET438" s="54"/>
      <c r="EU438" s="54"/>
      <c r="EV438" s="54"/>
      <c r="EW438" s="54"/>
      <c r="EX438" s="54"/>
      <c r="EY438" s="54"/>
      <c r="EZ438" s="54"/>
      <c r="FA438" s="54"/>
      <c r="FB438" s="54"/>
      <c r="FC438" s="54"/>
      <c r="FD438" s="54"/>
      <c r="FE438" s="54"/>
      <c r="FF438" s="54"/>
      <c r="FG438" s="54"/>
      <c r="FH438" s="54"/>
      <c r="FI438" s="54"/>
      <c r="FJ438" s="54"/>
      <c r="FK438" s="54"/>
      <c r="FL438" s="54"/>
      <c r="FM438" s="54"/>
      <c r="FN438" s="54"/>
      <c r="FO438" s="54"/>
      <c r="FP438" s="54"/>
      <c r="FQ438" s="54"/>
      <c r="FR438" s="54"/>
      <c r="FS438" s="54"/>
      <c r="FT438" s="54"/>
      <c r="FU438" s="54"/>
      <c r="FV438" s="54"/>
      <c r="FW438" s="54"/>
      <c r="FX438" s="54"/>
      <c r="FY438" s="54"/>
      <c r="FZ438" s="54"/>
      <c r="GA438" s="54"/>
      <c r="GB438" s="54"/>
      <c r="GC438" s="54"/>
      <c r="GD438" s="54"/>
    </row>
    <row r="439" spans="1:186">
      <c r="A439" s="180"/>
      <c r="B439" s="180"/>
      <c r="C439" s="55"/>
      <c r="D439" s="56"/>
      <c r="E439" s="50"/>
      <c r="F439" s="50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  <c r="ES439" s="54"/>
      <c r="ET439" s="54"/>
      <c r="EU439" s="54"/>
      <c r="EV439" s="54"/>
      <c r="EW439" s="54"/>
      <c r="EX439" s="54"/>
      <c r="EY439" s="54"/>
      <c r="EZ439" s="54"/>
      <c r="FA439" s="54"/>
      <c r="FB439" s="54"/>
      <c r="FC439" s="54"/>
      <c r="FD439" s="54"/>
      <c r="FE439" s="54"/>
      <c r="FF439" s="54"/>
      <c r="FG439" s="54"/>
      <c r="FH439" s="54"/>
      <c r="FI439" s="54"/>
      <c r="FJ439" s="54"/>
      <c r="FK439" s="54"/>
      <c r="FL439" s="54"/>
      <c r="FM439" s="54"/>
      <c r="FN439" s="54"/>
      <c r="FO439" s="54"/>
      <c r="FP439" s="54"/>
      <c r="FQ439" s="54"/>
      <c r="FR439" s="54"/>
      <c r="FS439" s="54"/>
      <c r="FT439" s="54"/>
      <c r="FU439" s="54"/>
      <c r="FV439" s="54"/>
      <c r="FW439" s="54"/>
      <c r="FX439" s="54"/>
      <c r="FY439" s="54"/>
      <c r="FZ439" s="54"/>
      <c r="GA439" s="54"/>
      <c r="GB439" s="54"/>
      <c r="GC439" s="54"/>
      <c r="GD439" s="54"/>
    </row>
    <row r="440" spans="1:186">
      <c r="A440" s="180"/>
      <c r="B440" s="180"/>
      <c r="C440" s="55"/>
      <c r="D440" s="56"/>
      <c r="E440" s="50"/>
      <c r="F440" s="50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  <c r="ES440" s="54"/>
      <c r="ET440" s="54"/>
      <c r="EU440" s="54"/>
      <c r="EV440" s="54"/>
      <c r="EW440" s="54"/>
      <c r="EX440" s="54"/>
      <c r="EY440" s="54"/>
      <c r="EZ440" s="54"/>
      <c r="FA440" s="54"/>
      <c r="FB440" s="54"/>
      <c r="FC440" s="54"/>
      <c r="FD440" s="54"/>
      <c r="FE440" s="54"/>
      <c r="FF440" s="54"/>
      <c r="FG440" s="54"/>
      <c r="FH440" s="54"/>
      <c r="FI440" s="54"/>
      <c r="FJ440" s="54"/>
      <c r="FK440" s="54"/>
      <c r="FL440" s="54"/>
      <c r="FM440" s="54"/>
      <c r="FN440" s="54"/>
      <c r="FO440" s="54"/>
      <c r="FP440" s="54"/>
      <c r="FQ440" s="54"/>
      <c r="FR440" s="54"/>
      <c r="FS440" s="54"/>
      <c r="FT440" s="54"/>
      <c r="FU440" s="54"/>
      <c r="FV440" s="54"/>
      <c r="FW440" s="54"/>
      <c r="FX440" s="54"/>
      <c r="FY440" s="54"/>
      <c r="FZ440" s="54"/>
      <c r="GA440" s="54"/>
      <c r="GB440" s="54"/>
      <c r="GC440" s="54"/>
      <c r="GD440" s="54"/>
    </row>
    <row r="441" spans="1:186">
      <c r="A441" s="180"/>
      <c r="B441" s="180"/>
      <c r="C441" s="55"/>
      <c r="D441" s="56"/>
      <c r="E441" s="50"/>
      <c r="F441" s="50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  <c r="ES441" s="54"/>
      <c r="ET441" s="54"/>
      <c r="EU441" s="54"/>
      <c r="EV441" s="54"/>
      <c r="EW441" s="54"/>
      <c r="EX441" s="54"/>
      <c r="EY441" s="54"/>
      <c r="EZ441" s="54"/>
      <c r="FA441" s="54"/>
      <c r="FB441" s="54"/>
      <c r="FC441" s="54"/>
      <c r="FD441" s="54"/>
      <c r="FE441" s="54"/>
      <c r="FF441" s="54"/>
      <c r="FG441" s="54"/>
      <c r="FH441" s="54"/>
      <c r="FI441" s="54"/>
      <c r="FJ441" s="54"/>
      <c r="FK441" s="54"/>
      <c r="FL441" s="54"/>
      <c r="FM441" s="54"/>
      <c r="FN441" s="54"/>
      <c r="FO441" s="54"/>
      <c r="FP441" s="54"/>
      <c r="FQ441" s="54"/>
      <c r="FR441" s="54"/>
      <c r="FS441" s="54"/>
      <c r="FT441" s="54"/>
      <c r="FU441" s="54"/>
      <c r="FV441" s="54"/>
      <c r="FW441" s="54"/>
      <c r="FX441" s="54"/>
      <c r="FY441" s="54"/>
      <c r="FZ441" s="54"/>
      <c r="GA441" s="54"/>
      <c r="GB441" s="54"/>
      <c r="GC441" s="54"/>
      <c r="GD441" s="54"/>
    </row>
    <row r="442" spans="1:186">
      <c r="A442" s="180"/>
      <c r="B442" s="180"/>
      <c r="C442" s="55"/>
      <c r="D442" s="56"/>
      <c r="E442" s="50"/>
      <c r="F442" s="50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  <c r="ES442" s="54"/>
      <c r="ET442" s="54"/>
      <c r="EU442" s="54"/>
      <c r="EV442" s="54"/>
      <c r="EW442" s="54"/>
      <c r="EX442" s="54"/>
      <c r="EY442" s="54"/>
      <c r="EZ442" s="54"/>
      <c r="FA442" s="54"/>
      <c r="FB442" s="54"/>
      <c r="FC442" s="54"/>
      <c r="FD442" s="54"/>
      <c r="FE442" s="54"/>
      <c r="FF442" s="54"/>
      <c r="FG442" s="54"/>
      <c r="FH442" s="54"/>
      <c r="FI442" s="54"/>
      <c r="FJ442" s="54"/>
      <c r="FK442" s="54"/>
      <c r="FL442" s="54"/>
      <c r="FM442" s="54"/>
      <c r="FN442" s="54"/>
      <c r="FO442" s="54"/>
      <c r="FP442" s="54"/>
      <c r="FQ442" s="54"/>
      <c r="FR442" s="54"/>
      <c r="FS442" s="54"/>
      <c r="FT442" s="54"/>
      <c r="FU442" s="54"/>
      <c r="FV442" s="54"/>
      <c r="FW442" s="54"/>
      <c r="FX442" s="54"/>
      <c r="FY442" s="54"/>
      <c r="FZ442" s="54"/>
      <c r="GA442" s="54"/>
      <c r="GB442" s="54"/>
      <c r="GC442" s="54"/>
      <c r="GD442" s="54"/>
    </row>
    <row r="443" spans="1:186">
      <c r="A443" s="180"/>
      <c r="B443" s="180"/>
      <c r="C443" s="55"/>
      <c r="D443" s="56"/>
      <c r="E443" s="50"/>
      <c r="F443" s="50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  <c r="ES443" s="54"/>
      <c r="ET443" s="54"/>
      <c r="EU443" s="54"/>
      <c r="EV443" s="54"/>
      <c r="EW443" s="54"/>
      <c r="EX443" s="54"/>
      <c r="EY443" s="54"/>
      <c r="EZ443" s="54"/>
      <c r="FA443" s="54"/>
      <c r="FB443" s="54"/>
      <c r="FC443" s="54"/>
      <c r="FD443" s="54"/>
      <c r="FE443" s="54"/>
      <c r="FF443" s="54"/>
      <c r="FG443" s="54"/>
      <c r="FH443" s="54"/>
      <c r="FI443" s="54"/>
      <c r="FJ443" s="54"/>
      <c r="FK443" s="54"/>
      <c r="FL443" s="54"/>
      <c r="FM443" s="54"/>
      <c r="FN443" s="54"/>
      <c r="FO443" s="54"/>
      <c r="FP443" s="54"/>
      <c r="FQ443" s="54"/>
      <c r="FR443" s="54"/>
      <c r="FS443" s="54"/>
      <c r="FT443" s="54"/>
      <c r="FU443" s="54"/>
      <c r="FV443" s="54"/>
      <c r="FW443" s="54"/>
      <c r="FX443" s="54"/>
      <c r="FY443" s="54"/>
      <c r="FZ443" s="54"/>
      <c r="GA443" s="54"/>
      <c r="GB443" s="54"/>
      <c r="GC443" s="54"/>
      <c r="GD443" s="54"/>
    </row>
    <row r="444" spans="1:186">
      <c r="A444" s="180"/>
      <c r="B444" s="180"/>
      <c r="C444" s="55"/>
      <c r="D444" s="56"/>
      <c r="E444" s="50"/>
      <c r="F444" s="50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  <c r="ES444" s="54"/>
      <c r="ET444" s="54"/>
      <c r="EU444" s="54"/>
      <c r="EV444" s="54"/>
      <c r="EW444" s="54"/>
      <c r="EX444" s="54"/>
      <c r="EY444" s="54"/>
      <c r="EZ444" s="54"/>
      <c r="FA444" s="54"/>
      <c r="FB444" s="54"/>
      <c r="FC444" s="54"/>
      <c r="FD444" s="54"/>
      <c r="FE444" s="54"/>
      <c r="FF444" s="54"/>
      <c r="FG444" s="54"/>
      <c r="FH444" s="54"/>
      <c r="FI444" s="54"/>
      <c r="FJ444" s="54"/>
      <c r="FK444" s="54"/>
      <c r="FL444" s="54"/>
      <c r="FM444" s="54"/>
      <c r="FN444" s="54"/>
      <c r="FO444" s="54"/>
      <c r="FP444" s="54"/>
      <c r="FQ444" s="54"/>
      <c r="FR444" s="54"/>
      <c r="FS444" s="54"/>
      <c r="FT444" s="54"/>
      <c r="FU444" s="54"/>
      <c r="FV444" s="54"/>
      <c r="FW444" s="54"/>
      <c r="FX444" s="54"/>
      <c r="FY444" s="54"/>
      <c r="FZ444" s="54"/>
      <c r="GA444" s="54"/>
      <c r="GB444" s="54"/>
      <c r="GC444" s="54"/>
      <c r="GD444" s="54"/>
    </row>
    <row r="445" spans="1:186">
      <c r="A445" s="180"/>
      <c r="B445" s="180"/>
      <c r="C445" s="55"/>
      <c r="D445" s="56"/>
      <c r="E445" s="50"/>
      <c r="F445" s="50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  <c r="ES445" s="54"/>
      <c r="ET445" s="54"/>
      <c r="EU445" s="54"/>
      <c r="EV445" s="54"/>
      <c r="EW445" s="54"/>
      <c r="EX445" s="54"/>
      <c r="EY445" s="54"/>
      <c r="EZ445" s="54"/>
      <c r="FA445" s="54"/>
      <c r="FB445" s="54"/>
      <c r="FC445" s="54"/>
      <c r="FD445" s="54"/>
      <c r="FE445" s="54"/>
      <c r="FF445" s="54"/>
      <c r="FG445" s="54"/>
      <c r="FH445" s="54"/>
      <c r="FI445" s="54"/>
      <c r="FJ445" s="54"/>
      <c r="FK445" s="54"/>
      <c r="FL445" s="54"/>
      <c r="FM445" s="54"/>
      <c r="FN445" s="54"/>
      <c r="FO445" s="54"/>
      <c r="FP445" s="54"/>
      <c r="FQ445" s="54"/>
      <c r="FR445" s="54"/>
      <c r="FS445" s="54"/>
      <c r="FT445" s="54"/>
      <c r="FU445" s="54"/>
      <c r="FV445" s="54"/>
      <c r="FW445" s="54"/>
      <c r="FX445" s="54"/>
      <c r="FY445" s="54"/>
      <c r="FZ445" s="54"/>
      <c r="GA445" s="54"/>
      <c r="GB445" s="54"/>
      <c r="GC445" s="54"/>
      <c r="GD445" s="54"/>
    </row>
    <row r="446" spans="1:186">
      <c r="A446" s="180"/>
      <c r="B446" s="180"/>
      <c r="C446" s="55"/>
      <c r="D446" s="56"/>
      <c r="E446" s="50"/>
      <c r="F446" s="50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  <c r="ES446" s="54"/>
      <c r="ET446" s="54"/>
      <c r="EU446" s="54"/>
      <c r="EV446" s="54"/>
      <c r="EW446" s="54"/>
      <c r="EX446" s="54"/>
      <c r="EY446" s="54"/>
      <c r="EZ446" s="54"/>
      <c r="FA446" s="54"/>
      <c r="FB446" s="54"/>
      <c r="FC446" s="54"/>
      <c r="FD446" s="54"/>
      <c r="FE446" s="54"/>
      <c r="FF446" s="54"/>
      <c r="FG446" s="54"/>
      <c r="FH446" s="54"/>
      <c r="FI446" s="54"/>
      <c r="FJ446" s="54"/>
      <c r="FK446" s="54"/>
      <c r="FL446" s="54"/>
      <c r="FM446" s="54"/>
      <c r="FN446" s="54"/>
      <c r="FO446" s="54"/>
      <c r="FP446" s="54"/>
      <c r="FQ446" s="54"/>
      <c r="FR446" s="54"/>
      <c r="FS446" s="54"/>
      <c r="FT446" s="54"/>
      <c r="FU446" s="54"/>
      <c r="FV446" s="54"/>
      <c r="FW446" s="54"/>
      <c r="FX446" s="54"/>
      <c r="FY446" s="54"/>
      <c r="FZ446" s="54"/>
      <c r="GA446" s="54"/>
      <c r="GB446" s="54"/>
      <c r="GC446" s="54"/>
      <c r="GD446" s="54"/>
    </row>
    <row r="447" spans="1:186">
      <c r="A447" s="180"/>
      <c r="B447" s="180"/>
      <c r="C447" s="55"/>
      <c r="D447" s="56"/>
      <c r="E447" s="50"/>
      <c r="F447" s="50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  <c r="ES447" s="54"/>
      <c r="ET447" s="54"/>
      <c r="EU447" s="54"/>
      <c r="EV447" s="54"/>
      <c r="EW447" s="54"/>
      <c r="EX447" s="54"/>
      <c r="EY447" s="54"/>
      <c r="EZ447" s="54"/>
      <c r="FA447" s="54"/>
      <c r="FB447" s="54"/>
      <c r="FC447" s="54"/>
      <c r="FD447" s="54"/>
      <c r="FE447" s="54"/>
      <c r="FF447" s="54"/>
      <c r="FG447" s="54"/>
      <c r="FH447" s="54"/>
      <c r="FI447" s="54"/>
      <c r="FJ447" s="54"/>
      <c r="FK447" s="54"/>
      <c r="FL447" s="54"/>
      <c r="FM447" s="54"/>
      <c r="FN447" s="54"/>
      <c r="FO447" s="54"/>
      <c r="FP447" s="54"/>
      <c r="FQ447" s="54"/>
      <c r="FR447" s="54"/>
      <c r="FS447" s="54"/>
      <c r="FT447" s="54"/>
      <c r="FU447" s="54"/>
      <c r="FV447" s="54"/>
      <c r="FW447" s="54"/>
      <c r="FX447" s="54"/>
      <c r="FY447" s="54"/>
      <c r="FZ447" s="54"/>
      <c r="GA447" s="54"/>
      <c r="GB447" s="54"/>
      <c r="GC447" s="54"/>
      <c r="GD447" s="54"/>
    </row>
    <row r="448" spans="1:186">
      <c r="A448" s="180"/>
      <c r="B448" s="180"/>
      <c r="C448" s="55"/>
      <c r="D448" s="56"/>
      <c r="E448" s="50"/>
      <c r="F448" s="50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  <c r="ES448" s="54"/>
      <c r="ET448" s="54"/>
      <c r="EU448" s="54"/>
      <c r="EV448" s="54"/>
      <c r="EW448" s="54"/>
      <c r="EX448" s="54"/>
      <c r="EY448" s="54"/>
      <c r="EZ448" s="54"/>
      <c r="FA448" s="54"/>
      <c r="FB448" s="54"/>
      <c r="FC448" s="54"/>
      <c r="FD448" s="54"/>
      <c r="FE448" s="54"/>
      <c r="FF448" s="54"/>
      <c r="FG448" s="54"/>
      <c r="FH448" s="54"/>
      <c r="FI448" s="54"/>
      <c r="FJ448" s="54"/>
      <c r="FK448" s="54"/>
      <c r="FL448" s="54"/>
      <c r="FM448" s="54"/>
      <c r="FN448" s="54"/>
      <c r="FO448" s="54"/>
      <c r="FP448" s="54"/>
      <c r="FQ448" s="54"/>
      <c r="FR448" s="54"/>
      <c r="FS448" s="54"/>
      <c r="FT448" s="54"/>
      <c r="FU448" s="54"/>
      <c r="FV448" s="54"/>
      <c r="FW448" s="54"/>
      <c r="FX448" s="54"/>
      <c r="FY448" s="54"/>
      <c r="FZ448" s="54"/>
      <c r="GA448" s="54"/>
      <c r="GB448" s="54"/>
      <c r="GC448" s="54"/>
      <c r="GD448" s="54"/>
    </row>
    <row r="449" spans="1:186">
      <c r="A449" s="180"/>
      <c r="B449" s="180"/>
      <c r="C449" s="55"/>
      <c r="D449" s="56"/>
      <c r="E449" s="50"/>
      <c r="F449" s="50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  <c r="ES449" s="54"/>
      <c r="ET449" s="54"/>
      <c r="EU449" s="54"/>
      <c r="EV449" s="54"/>
      <c r="EW449" s="54"/>
      <c r="EX449" s="54"/>
      <c r="EY449" s="54"/>
      <c r="EZ449" s="54"/>
      <c r="FA449" s="54"/>
      <c r="FB449" s="54"/>
      <c r="FC449" s="54"/>
      <c r="FD449" s="54"/>
      <c r="FE449" s="54"/>
      <c r="FF449" s="54"/>
      <c r="FG449" s="54"/>
      <c r="FH449" s="54"/>
      <c r="FI449" s="54"/>
      <c r="FJ449" s="54"/>
      <c r="FK449" s="54"/>
      <c r="FL449" s="54"/>
      <c r="FM449" s="54"/>
      <c r="FN449" s="54"/>
      <c r="FO449" s="54"/>
      <c r="FP449" s="54"/>
      <c r="FQ449" s="54"/>
      <c r="FR449" s="54"/>
      <c r="FS449" s="54"/>
      <c r="FT449" s="54"/>
      <c r="FU449" s="54"/>
      <c r="FV449" s="54"/>
      <c r="FW449" s="54"/>
      <c r="FX449" s="54"/>
      <c r="FY449" s="54"/>
      <c r="FZ449" s="54"/>
      <c r="GA449" s="54"/>
      <c r="GB449" s="54"/>
      <c r="GC449" s="54"/>
      <c r="GD449" s="54"/>
    </row>
    <row r="450" spans="1:186">
      <c r="A450" s="180"/>
      <c r="B450" s="180"/>
      <c r="C450" s="55"/>
      <c r="D450" s="56"/>
      <c r="E450" s="50"/>
      <c r="F450" s="50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  <c r="ES450" s="54"/>
      <c r="ET450" s="54"/>
      <c r="EU450" s="54"/>
      <c r="EV450" s="54"/>
      <c r="EW450" s="54"/>
      <c r="EX450" s="54"/>
      <c r="EY450" s="54"/>
      <c r="EZ450" s="54"/>
      <c r="FA450" s="54"/>
      <c r="FB450" s="54"/>
      <c r="FC450" s="54"/>
      <c r="FD450" s="54"/>
      <c r="FE450" s="54"/>
      <c r="FF450" s="54"/>
      <c r="FG450" s="54"/>
      <c r="FH450" s="54"/>
      <c r="FI450" s="54"/>
      <c r="FJ450" s="54"/>
      <c r="FK450" s="54"/>
      <c r="FL450" s="54"/>
      <c r="FM450" s="54"/>
      <c r="FN450" s="54"/>
      <c r="FO450" s="54"/>
      <c r="FP450" s="54"/>
      <c r="FQ450" s="54"/>
      <c r="FR450" s="54"/>
      <c r="FS450" s="54"/>
      <c r="FT450" s="54"/>
      <c r="FU450" s="54"/>
      <c r="FV450" s="54"/>
      <c r="FW450" s="54"/>
      <c r="FX450" s="54"/>
      <c r="FY450" s="54"/>
      <c r="FZ450" s="54"/>
      <c r="GA450" s="54"/>
      <c r="GB450" s="54"/>
      <c r="GC450" s="54"/>
      <c r="GD450" s="54"/>
    </row>
    <row r="451" spans="1:186">
      <c r="A451" s="180"/>
      <c r="B451" s="180"/>
      <c r="C451" s="55"/>
      <c r="D451" s="56"/>
      <c r="E451" s="50"/>
      <c r="F451" s="50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54"/>
      <c r="FE451" s="54"/>
      <c r="FF451" s="54"/>
      <c r="FG451" s="54"/>
      <c r="FH451" s="54"/>
      <c r="FI451" s="54"/>
      <c r="FJ451" s="54"/>
      <c r="FK451" s="54"/>
      <c r="FL451" s="54"/>
      <c r="FM451" s="54"/>
      <c r="FN451" s="54"/>
      <c r="FO451" s="54"/>
      <c r="FP451" s="54"/>
      <c r="FQ451" s="54"/>
      <c r="FR451" s="54"/>
      <c r="FS451" s="54"/>
      <c r="FT451" s="54"/>
      <c r="FU451" s="54"/>
      <c r="FV451" s="54"/>
      <c r="FW451" s="54"/>
      <c r="FX451" s="54"/>
      <c r="FY451" s="54"/>
      <c r="FZ451" s="54"/>
      <c r="GA451" s="54"/>
      <c r="GB451" s="54"/>
      <c r="GC451" s="54"/>
      <c r="GD451" s="54"/>
    </row>
    <row r="452" spans="1:186">
      <c r="A452" s="180"/>
      <c r="B452" s="180"/>
      <c r="C452" s="55"/>
      <c r="D452" s="56"/>
      <c r="E452" s="50"/>
      <c r="F452" s="50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54"/>
      <c r="FE452" s="54"/>
      <c r="FF452" s="54"/>
      <c r="FG452" s="54"/>
      <c r="FH452" s="54"/>
      <c r="FI452" s="54"/>
      <c r="FJ452" s="54"/>
      <c r="FK452" s="54"/>
      <c r="FL452" s="54"/>
      <c r="FM452" s="54"/>
      <c r="FN452" s="54"/>
      <c r="FO452" s="54"/>
      <c r="FP452" s="54"/>
      <c r="FQ452" s="54"/>
      <c r="FR452" s="54"/>
      <c r="FS452" s="54"/>
      <c r="FT452" s="54"/>
      <c r="FU452" s="54"/>
      <c r="FV452" s="54"/>
      <c r="FW452" s="54"/>
      <c r="FX452" s="54"/>
      <c r="FY452" s="54"/>
      <c r="FZ452" s="54"/>
      <c r="GA452" s="54"/>
      <c r="GB452" s="54"/>
      <c r="GC452" s="54"/>
      <c r="GD452" s="54"/>
    </row>
    <row r="453" spans="1:186">
      <c r="A453" s="180"/>
      <c r="B453" s="180"/>
      <c r="C453" s="55"/>
      <c r="D453" s="56"/>
      <c r="E453" s="50"/>
      <c r="F453" s="50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  <c r="ES453" s="54"/>
      <c r="ET453" s="54"/>
      <c r="EU453" s="54"/>
      <c r="EV453" s="54"/>
      <c r="EW453" s="54"/>
      <c r="EX453" s="54"/>
      <c r="EY453" s="54"/>
      <c r="EZ453" s="54"/>
      <c r="FA453" s="54"/>
      <c r="FB453" s="54"/>
      <c r="FC453" s="54"/>
      <c r="FD453" s="54"/>
      <c r="FE453" s="54"/>
      <c r="FF453" s="54"/>
      <c r="FG453" s="54"/>
      <c r="FH453" s="54"/>
      <c r="FI453" s="54"/>
      <c r="FJ453" s="54"/>
      <c r="FK453" s="54"/>
      <c r="FL453" s="54"/>
      <c r="FM453" s="54"/>
      <c r="FN453" s="54"/>
      <c r="FO453" s="54"/>
      <c r="FP453" s="54"/>
      <c r="FQ453" s="54"/>
      <c r="FR453" s="54"/>
      <c r="FS453" s="54"/>
      <c r="FT453" s="54"/>
      <c r="FU453" s="54"/>
      <c r="FV453" s="54"/>
      <c r="FW453" s="54"/>
      <c r="FX453" s="54"/>
      <c r="FY453" s="54"/>
      <c r="FZ453" s="54"/>
      <c r="GA453" s="54"/>
      <c r="GB453" s="54"/>
      <c r="GC453" s="54"/>
      <c r="GD453" s="54"/>
    </row>
    <row r="454" spans="1:186">
      <c r="A454" s="180"/>
      <c r="B454" s="180"/>
      <c r="C454" s="55"/>
      <c r="D454" s="56"/>
      <c r="E454" s="50"/>
      <c r="F454" s="50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  <c r="ES454" s="54"/>
      <c r="ET454" s="54"/>
      <c r="EU454" s="54"/>
      <c r="EV454" s="54"/>
      <c r="EW454" s="54"/>
      <c r="EX454" s="54"/>
      <c r="EY454" s="54"/>
      <c r="EZ454" s="54"/>
      <c r="FA454" s="54"/>
      <c r="FB454" s="54"/>
      <c r="FC454" s="54"/>
      <c r="FD454" s="54"/>
      <c r="FE454" s="54"/>
      <c r="FF454" s="54"/>
      <c r="FG454" s="54"/>
      <c r="FH454" s="54"/>
      <c r="FI454" s="54"/>
      <c r="FJ454" s="54"/>
      <c r="FK454" s="54"/>
      <c r="FL454" s="54"/>
      <c r="FM454" s="54"/>
      <c r="FN454" s="54"/>
      <c r="FO454" s="54"/>
      <c r="FP454" s="54"/>
      <c r="FQ454" s="54"/>
      <c r="FR454" s="54"/>
      <c r="FS454" s="54"/>
      <c r="FT454" s="54"/>
      <c r="FU454" s="54"/>
      <c r="FV454" s="54"/>
      <c r="FW454" s="54"/>
      <c r="FX454" s="54"/>
      <c r="FY454" s="54"/>
      <c r="FZ454" s="54"/>
      <c r="GA454" s="54"/>
      <c r="GB454" s="54"/>
      <c r="GC454" s="54"/>
      <c r="GD454" s="54"/>
    </row>
    <row r="455" spans="1:186">
      <c r="A455" s="180"/>
      <c r="B455" s="180"/>
      <c r="C455" s="55"/>
      <c r="D455" s="56"/>
      <c r="E455" s="50"/>
      <c r="F455" s="50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  <c r="ES455" s="54"/>
      <c r="ET455" s="54"/>
      <c r="EU455" s="54"/>
      <c r="EV455" s="54"/>
      <c r="EW455" s="54"/>
      <c r="EX455" s="54"/>
      <c r="EY455" s="54"/>
      <c r="EZ455" s="54"/>
      <c r="FA455" s="54"/>
      <c r="FB455" s="54"/>
      <c r="FC455" s="54"/>
      <c r="FD455" s="54"/>
      <c r="FE455" s="54"/>
      <c r="FF455" s="54"/>
      <c r="FG455" s="54"/>
      <c r="FH455" s="54"/>
      <c r="FI455" s="54"/>
      <c r="FJ455" s="54"/>
      <c r="FK455" s="54"/>
      <c r="FL455" s="54"/>
      <c r="FM455" s="54"/>
      <c r="FN455" s="54"/>
      <c r="FO455" s="54"/>
      <c r="FP455" s="54"/>
      <c r="FQ455" s="54"/>
      <c r="FR455" s="54"/>
      <c r="FS455" s="54"/>
      <c r="FT455" s="54"/>
      <c r="FU455" s="54"/>
      <c r="FV455" s="54"/>
      <c r="FW455" s="54"/>
      <c r="FX455" s="54"/>
      <c r="FY455" s="54"/>
      <c r="FZ455" s="54"/>
      <c r="GA455" s="54"/>
      <c r="GB455" s="54"/>
      <c r="GC455" s="54"/>
      <c r="GD455" s="54"/>
    </row>
    <row r="456" spans="1:186">
      <c r="A456" s="180"/>
      <c r="B456" s="180"/>
      <c r="C456" s="55"/>
      <c r="D456" s="56"/>
      <c r="E456" s="50"/>
      <c r="F456" s="50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  <c r="ES456" s="54"/>
      <c r="ET456" s="54"/>
      <c r="EU456" s="54"/>
      <c r="EV456" s="54"/>
      <c r="EW456" s="54"/>
      <c r="EX456" s="54"/>
      <c r="EY456" s="54"/>
      <c r="EZ456" s="54"/>
      <c r="FA456" s="54"/>
      <c r="FB456" s="54"/>
      <c r="FC456" s="54"/>
      <c r="FD456" s="54"/>
      <c r="FE456" s="54"/>
      <c r="FF456" s="54"/>
      <c r="FG456" s="54"/>
      <c r="FH456" s="54"/>
      <c r="FI456" s="54"/>
      <c r="FJ456" s="54"/>
      <c r="FK456" s="54"/>
      <c r="FL456" s="54"/>
      <c r="FM456" s="54"/>
      <c r="FN456" s="54"/>
      <c r="FO456" s="54"/>
      <c r="FP456" s="54"/>
      <c r="FQ456" s="54"/>
      <c r="FR456" s="54"/>
      <c r="FS456" s="54"/>
      <c r="FT456" s="54"/>
      <c r="FU456" s="54"/>
      <c r="FV456" s="54"/>
      <c r="FW456" s="54"/>
      <c r="FX456" s="54"/>
      <c r="FY456" s="54"/>
      <c r="FZ456" s="54"/>
      <c r="GA456" s="54"/>
      <c r="GB456" s="54"/>
      <c r="GC456" s="54"/>
      <c r="GD456" s="54"/>
    </row>
    <row r="457" spans="1:186">
      <c r="A457" s="180"/>
      <c r="B457" s="180"/>
      <c r="C457" s="55"/>
      <c r="D457" s="56"/>
      <c r="E457" s="50"/>
      <c r="F457" s="50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  <c r="ES457" s="54"/>
      <c r="ET457" s="54"/>
      <c r="EU457" s="54"/>
      <c r="EV457" s="54"/>
      <c r="EW457" s="54"/>
      <c r="EX457" s="54"/>
      <c r="EY457" s="54"/>
      <c r="EZ457" s="54"/>
      <c r="FA457" s="54"/>
      <c r="FB457" s="54"/>
      <c r="FC457" s="54"/>
      <c r="FD457" s="54"/>
      <c r="FE457" s="54"/>
      <c r="FF457" s="54"/>
      <c r="FG457" s="54"/>
      <c r="FH457" s="54"/>
      <c r="FI457" s="54"/>
      <c r="FJ457" s="54"/>
      <c r="FK457" s="54"/>
      <c r="FL457" s="54"/>
      <c r="FM457" s="54"/>
      <c r="FN457" s="54"/>
      <c r="FO457" s="54"/>
      <c r="FP457" s="54"/>
      <c r="FQ457" s="54"/>
      <c r="FR457" s="54"/>
      <c r="FS457" s="54"/>
      <c r="FT457" s="54"/>
      <c r="FU457" s="54"/>
      <c r="FV457" s="54"/>
      <c r="FW457" s="54"/>
      <c r="FX457" s="54"/>
      <c r="FY457" s="54"/>
      <c r="FZ457" s="54"/>
      <c r="GA457" s="54"/>
      <c r="GB457" s="54"/>
      <c r="GC457" s="54"/>
      <c r="GD457" s="54"/>
    </row>
    <row r="458" spans="1:186">
      <c r="A458" s="180"/>
      <c r="B458" s="180"/>
      <c r="C458" s="55"/>
      <c r="D458" s="56"/>
      <c r="E458" s="50"/>
      <c r="F458" s="50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  <c r="ES458" s="54"/>
      <c r="ET458" s="54"/>
      <c r="EU458" s="54"/>
      <c r="EV458" s="54"/>
      <c r="EW458" s="54"/>
      <c r="EX458" s="54"/>
      <c r="EY458" s="54"/>
      <c r="EZ458" s="54"/>
      <c r="FA458" s="54"/>
      <c r="FB458" s="54"/>
      <c r="FC458" s="54"/>
      <c r="FD458" s="54"/>
      <c r="FE458" s="54"/>
      <c r="FF458" s="54"/>
      <c r="FG458" s="54"/>
      <c r="FH458" s="54"/>
      <c r="FI458" s="54"/>
      <c r="FJ458" s="54"/>
      <c r="FK458" s="54"/>
      <c r="FL458" s="54"/>
      <c r="FM458" s="54"/>
      <c r="FN458" s="54"/>
      <c r="FO458" s="54"/>
      <c r="FP458" s="54"/>
      <c r="FQ458" s="54"/>
      <c r="FR458" s="54"/>
      <c r="FS458" s="54"/>
      <c r="FT458" s="54"/>
      <c r="FU458" s="54"/>
      <c r="FV458" s="54"/>
      <c r="FW458" s="54"/>
      <c r="FX458" s="54"/>
      <c r="FY458" s="54"/>
      <c r="FZ458" s="54"/>
      <c r="GA458" s="54"/>
      <c r="GB458" s="54"/>
      <c r="GC458" s="54"/>
      <c r="GD458" s="54"/>
    </row>
    <row r="459" spans="1:186">
      <c r="A459" s="180"/>
      <c r="B459" s="180"/>
      <c r="C459" s="55"/>
      <c r="D459" s="56"/>
      <c r="E459" s="50"/>
      <c r="F459" s="50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  <c r="ES459" s="54"/>
      <c r="ET459" s="54"/>
      <c r="EU459" s="54"/>
      <c r="EV459" s="54"/>
      <c r="EW459" s="54"/>
      <c r="EX459" s="54"/>
      <c r="EY459" s="54"/>
      <c r="EZ459" s="54"/>
      <c r="FA459" s="54"/>
      <c r="FB459" s="54"/>
      <c r="FC459" s="54"/>
      <c r="FD459" s="54"/>
      <c r="FE459" s="54"/>
      <c r="FF459" s="54"/>
      <c r="FG459" s="54"/>
      <c r="FH459" s="54"/>
      <c r="FI459" s="54"/>
      <c r="FJ459" s="54"/>
      <c r="FK459" s="54"/>
      <c r="FL459" s="54"/>
      <c r="FM459" s="54"/>
      <c r="FN459" s="54"/>
      <c r="FO459" s="54"/>
      <c r="FP459" s="54"/>
      <c r="FQ459" s="54"/>
      <c r="FR459" s="54"/>
      <c r="FS459" s="54"/>
      <c r="FT459" s="54"/>
      <c r="FU459" s="54"/>
      <c r="FV459" s="54"/>
      <c r="FW459" s="54"/>
      <c r="FX459" s="54"/>
      <c r="FY459" s="54"/>
      <c r="FZ459" s="54"/>
      <c r="GA459" s="54"/>
      <c r="GB459" s="54"/>
      <c r="GC459" s="54"/>
      <c r="GD459" s="54"/>
    </row>
    <row r="460" spans="1:186">
      <c r="A460" s="180"/>
      <c r="B460" s="180"/>
      <c r="C460" s="55"/>
      <c r="D460" s="56"/>
      <c r="E460" s="50"/>
      <c r="F460" s="50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  <c r="ES460" s="54"/>
      <c r="ET460" s="54"/>
      <c r="EU460" s="54"/>
      <c r="EV460" s="54"/>
      <c r="EW460" s="54"/>
      <c r="EX460" s="54"/>
      <c r="EY460" s="54"/>
      <c r="EZ460" s="54"/>
      <c r="FA460" s="54"/>
      <c r="FB460" s="54"/>
      <c r="FC460" s="54"/>
      <c r="FD460" s="54"/>
      <c r="FE460" s="54"/>
      <c r="FF460" s="54"/>
      <c r="FG460" s="54"/>
      <c r="FH460" s="54"/>
      <c r="FI460" s="54"/>
      <c r="FJ460" s="54"/>
      <c r="FK460" s="54"/>
      <c r="FL460" s="54"/>
      <c r="FM460" s="54"/>
      <c r="FN460" s="54"/>
      <c r="FO460" s="54"/>
      <c r="FP460" s="54"/>
      <c r="FQ460" s="54"/>
      <c r="FR460" s="54"/>
      <c r="FS460" s="54"/>
      <c r="FT460" s="54"/>
      <c r="FU460" s="54"/>
      <c r="FV460" s="54"/>
      <c r="FW460" s="54"/>
      <c r="FX460" s="54"/>
      <c r="FY460" s="54"/>
      <c r="FZ460" s="54"/>
      <c r="GA460" s="54"/>
      <c r="GB460" s="54"/>
      <c r="GC460" s="54"/>
      <c r="GD460" s="54"/>
    </row>
    <row r="461" spans="1:186">
      <c r="A461" s="180"/>
      <c r="B461" s="180"/>
      <c r="C461" s="55"/>
      <c r="D461" s="56"/>
      <c r="E461" s="50"/>
      <c r="F461" s="50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  <c r="ES461" s="54"/>
      <c r="ET461" s="54"/>
      <c r="EU461" s="54"/>
      <c r="EV461" s="54"/>
      <c r="EW461" s="54"/>
      <c r="EX461" s="54"/>
      <c r="EY461" s="54"/>
      <c r="EZ461" s="54"/>
      <c r="FA461" s="54"/>
      <c r="FB461" s="54"/>
      <c r="FC461" s="54"/>
      <c r="FD461" s="54"/>
      <c r="FE461" s="54"/>
      <c r="FF461" s="54"/>
      <c r="FG461" s="54"/>
      <c r="FH461" s="54"/>
      <c r="FI461" s="54"/>
      <c r="FJ461" s="54"/>
      <c r="FK461" s="54"/>
      <c r="FL461" s="54"/>
      <c r="FM461" s="54"/>
      <c r="FN461" s="54"/>
      <c r="FO461" s="54"/>
      <c r="FP461" s="54"/>
      <c r="FQ461" s="54"/>
      <c r="FR461" s="54"/>
      <c r="FS461" s="54"/>
      <c r="FT461" s="54"/>
      <c r="FU461" s="54"/>
      <c r="FV461" s="54"/>
      <c r="FW461" s="54"/>
      <c r="FX461" s="54"/>
      <c r="FY461" s="54"/>
      <c r="FZ461" s="54"/>
      <c r="GA461" s="54"/>
      <c r="GB461" s="54"/>
      <c r="GC461" s="54"/>
      <c r="GD461" s="54"/>
    </row>
    <row r="462" spans="1:186">
      <c r="A462" s="180"/>
      <c r="B462" s="180"/>
      <c r="C462" s="55"/>
      <c r="D462" s="56"/>
      <c r="E462" s="50"/>
      <c r="F462" s="50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  <c r="ES462" s="54"/>
      <c r="ET462" s="54"/>
      <c r="EU462" s="54"/>
      <c r="EV462" s="54"/>
      <c r="EW462" s="54"/>
      <c r="EX462" s="54"/>
      <c r="EY462" s="54"/>
      <c r="EZ462" s="54"/>
      <c r="FA462" s="54"/>
      <c r="FB462" s="54"/>
      <c r="FC462" s="54"/>
      <c r="FD462" s="54"/>
      <c r="FE462" s="54"/>
      <c r="FF462" s="54"/>
      <c r="FG462" s="54"/>
      <c r="FH462" s="54"/>
      <c r="FI462" s="54"/>
      <c r="FJ462" s="54"/>
      <c r="FK462" s="54"/>
      <c r="FL462" s="54"/>
      <c r="FM462" s="54"/>
      <c r="FN462" s="54"/>
      <c r="FO462" s="54"/>
      <c r="FP462" s="54"/>
      <c r="FQ462" s="54"/>
      <c r="FR462" s="54"/>
      <c r="FS462" s="54"/>
      <c r="FT462" s="54"/>
      <c r="FU462" s="54"/>
      <c r="FV462" s="54"/>
      <c r="FW462" s="54"/>
      <c r="FX462" s="54"/>
      <c r="FY462" s="54"/>
      <c r="FZ462" s="54"/>
      <c r="GA462" s="54"/>
      <c r="GB462" s="54"/>
      <c r="GC462" s="54"/>
      <c r="GD462" s="54"/>
    </row>
    <row r="463" spans="1:186">
      <c r="A463" s="180"/>
      <c r="B463" s="180"/>
      <c r="C463" s="55"/>
      <c r="D463" s="56"/>
      <c r="E463" s="50"/>
      <c r="F463" s="50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  <c r="ES463" s="54"/>
      <c r="ET463" s="54"/>
      <c r="EU463" s="54"/>
      <c r="EV463" s="54"/>
      <c r="EW463" s="54"/>
      <c r="EX463" s="54"/>
      <c r="EY463" s="54"/>
      <c r="EZ463" s="54"/>
      <c r="FA463" s="54"/>
      <c r="FB463" s="54"/>
      <c r="FC463" s="54"/>
      <c r="FD463" s="54"/>
      <c r="FE463" s="54"/>
      <c r="FF463" s="54"/>
      <c r="FG463" s="54"/>
      <c r="FH463" s="54"/>
      <c r="FI463" s="54"/>
      <c r="FJ463" s="54"/>
      <c r="FK463" s="54"/>
      <c r="FL463" s="54"/>
      <c r="FM463" s="54"/>
      <c r="FN463" s="54"/>
      <c r="FO463" s="54"/>
      <c r="FP463" s="54"/>
      <c r="FQ463" s="54"/>
      <c r="FR463" s="54"/>
      <c r="FS463" s="54"/>
      <c r="FT463" s="54"/>
      <c r="FU463" s="54"/>
      <c r="FV463" s="54"/>
      <c r="FW463" s="54"/>
      <c r="FX463" s="54"/>
      <c r="FY463" s="54"/>
      <c r="FZ463" s="54"/>
      <c r="GA463" s="54"/>
      <c r="GB463" s="54"/>
      <c r="GC463" s="54"/>
      <c r="GD463" s="54"/>
    </row>
    <row r="464" spans="1:186">
      <c r="A464" s="180"/>
      <c r="B464" s="180"/>
      <c r="C464" s="55"/>
      <c r="D464" s="56"/>
      <c r="E464" s="50"/>
      <c r="F464" s="50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  <c r="ES464" s="54"/>
      <c r="ET464" s="54"/>
      <c r="EU464" s="54"/>
      <c r="EV464" s="54"/>
      <c r="EW464" s="54"/>
      <c r="EX464" s="54"/>
      <c r="EY464" s="54"/>
      <c r="EZ464" s="54"/>
      <c r="FA464" s="54"/>
      <c r="FB464" s="54"/>
      <c r="FC464" s="54"/>
      <c r="FD464" s="54"/>
      <c r="FE464" s="54"/>
      <c r="FF464" s="54"/>
      <c r="FG464" s="54"/>
      <c r="FH464" s="54"/>
      <c r="FI464" s="54"/>
      <c r="FJ464" s="54"/>
      <c r="FK464" s="54"/>
      <c r="FL464" s="54"/>
      <c r="FM464" s="54"/>
      <c r="FN464" s="54"/>
      <c r="FO464" s="54"/>
      <c r="FP464" s="54"/>
      <c r="FQ464" s="54"/>
      <c r="FR464" s="54"/>
      <c r="FS464" s="54"/>
      <c r="FT464" s="54"/>
      <c r="FU464" s="54"/>
      <c r="FV464" s="54"/>
      <c r="FW464" s="54"/>
      <c r="FX464" s="54"/>
      <c r="FY464" s="54"/>
      <c r="FZ464" s="54"/>
      <c r="GA464" s="54"/>
      <c r="GB464" s="54"/>
      <c r="GC464" s="54"/>
      <c r="GD464" s="54"/>
    </row>
    <row r="465" spans="1:186">
      <c r="A465" s="180"/>
      <c r="B465" s="180"/>
      <c r="C465" s="55"/>
      <c r="D465" s="56"/>
      <c r="E465" s="50"/>
      <c r="F465" s="50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  <c r="ES465" s="54"/>
      <c r="ET465" s="54"/>
      <c r="EU465" s="54"/>
      <c r="EV465" s="54"/>
      <c r="EW465" s="54"/>
      <c r="EX465" s="54"/>
      <c r="EY465" s="54"/>
      <c r="EZ465" s="54"/>
      <c r="FA465" s="54"/>
      <c r="FB465" s="54"/>
      <c r="FC465" s="54"/>
      <c r="FD465" s="54"/>
      <c r="FE465" s="54"/>
      <c r="FF465" s="54"/>
      <c r="FG465" s="54"/>
      <c r="FH465" s="54"/>
      <c r="FI465" s="54"/>
      <c r="FJ465" s="54"/>
      <c r="FK465" s="54"/>
      <c r="FL465" s="54"/>
      <c r="FM465" s="54"/>
      <c r="FN465" s="54"/>
      <c r="FO465" s="54"/>
      <c r="FP465" s="54"/>
      <c r="FQ465" s="54"/>
      <c r="FR465" s="54"/>
      <c r="FS465" s="54"/>
      <c r="FT465" s="54"/>
      <c r="FU465" s="54"/>
      <c r="FV465" s="54"/>
      <c r="FW465" s="54"/>
      <c r="FX465" s="54"/>
      <c r="FY465" s="54"/>
      <c r="FZ465" s="54"/>
      <c r="GA465" s="54"/>
      <c r="GB465" s="54"/>
      <c r="GC465" s="54"/>
      <c r="GD465" s="54"/>
    </row>
    <row r="466" spans="1:186">
      <c r="A466" s="180"/>
      <c r="B466" s="180"/>
      <c r="C466" s="55"/>
      <c r="D466" s="56"/>
      <c r="E466" s="50"/>
      <c r="F466" s="50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  <c r="ES466" s="54"/>
      <c r="ET466" s="54"/>
      <c r="EU466" s="54"/>
      <c r="EV466" s="54"/>
      <c r="EW466" s="54"/>
      <c r="EX466" s="54"/>
      <c r="EY466" s="54"/>
      <c r="EZ466" s="54"/>
      <c r="FA466" s="54"/>
      <c r="FB466" s="54"/>
      <c r="FC466" s="54"/>
      <c r="FD466" s="54"/>
      <c r="FE466" s="54"/>
      <c r="FF466" s="54"/>
      <c r="FG466" s="54"/>
      <c r="FH466" s="54"/>
      <c r="FI466" s="54"/>
      <c r="FJ466" s="54"/>
      <c r="FK466" s="54"/>
      <c r="FL466" s="54"/>
      <c r="FM466" s="54"/>
      <c r="FN466" s="54"/>
      <c r="FO466" s="54"/>
      <c r="FP466" s="54"/>
      <c r="FQ466" s="54"/>
      <c r="FR466" s="54"/>
      <c r="FS466" s="54"/>
      <c r="FT466" s="54"/>
      <c r="FU466" s="54"/>
      <c r="FV466" s="54"/>
      <c r="FW466" s="54"/>
      <c r="FX466" s="54"/>
      <c r="FY466" s="54"/>
      <c r="FZ466" s="54"/>
      <c r="GA466" s="54"/>
      <c r="GB466" s="54"/>
      <c r="GC466" s="54"/>
      <c r="GD466" s="54"/>
    </row>
    <row r="467" spans="1:186">
      <c r="A467" s="180"/>
      <c r="B467" s="180"/>
      <c r="C467" s="55"/>
      <c r="D467" s="56"/>
      <c r="E467" s="50"/>
      <c r="F467" s="50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  <c r="ES467" s="54"/>
      <c r="ET467" s="54"/>
      <c r="EU467" s="54"/>
      <c r="EV467" s="54"/>
      <c r="EW467" s="54"/>
      <c r="EX467" s="54"/>
      <c r="EY467" s="54"/>
      <c r="EZ467" s="54"/>
      <c r="FA467" s="54"/>
      <c r="FB467" s="54"/>
      <c r="FC467" s="54"/>
      <c r="FD467" s="54"/>
      <c r="FE467" s="54"/>
      <c r="FF467" s="54"/>
      <c r="FG467" s="54"/>
      <c r="FH467" s="54"/>
      <c r="FI467" s="54"/>
      <c r="FJ467" s="54"/>
      <c r="FK467" s="54"/>
      <c r="FL467" s="54"/>
      <c r="FM467" s="54"/>
      <c r="FN467" s="54"/>
      <c r="FO467" s="54"/>
      <c r="FP467" s="54"/>
      <c r="FQ467" s="54"/>
      <c r="FR467" s="54"/>
      <c r="FS467" s="54"/>
      <c r="FT467" s="54"/>
      <c r="FU467" s="54"/>
      <c r="FV467" s="54"/>
      <c r="FW467" s="54"/>
      <c r="FX467" s="54"/>
      <c r="FY467" s="54"/>
      <c r="FZ467" s="54"/>
      <c r="GA467" s="54"/>
      <c r="GB467" s="54"/>
      <c r="GC467" s="54"/>
      <c r="GD467" s="54"/>
    </row>
    <row r="468" spans="1:186">
      <c r="A468" s="180"/>
      <c r="B468" s="180"/>
      <c r="C468" s="55"/>
      <c r="D468" s="56"/>
      <c r="E468" s="50"/>
      <c r="F468" s="50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  <c r="ES468" s="54"/>
      <c r="ET468" s="54"/>
      <c r="EU468" s="54"/>
      <c r="EV468" s="54"/>
      <c r="EW468" s="54"/>
      <c r="EX468" s="54"/>
      <c r="EY468" s="54"/>
      <c r="EZ468" s="54"/>
      <c r="FA468" s="54"/>
      <c r="FB468" s="54"/>
      <c r="FC468" s="54"/>
      <c r="FD468" s="54"/>
      <c r="FE468" s="54"/>
      <c r="FF468" s="54"/>
      <c r="FG468" s="54"/>
      <c r="FH468" s="54"/>
      <c r="FI468" s="54"/>
      <c r="FJ468" s="54"/>
      <c r="FK468" s="54"/>
      <c r="FL468" s="54"/>
      <c r="FM468" s="54"/>
      <c r="FN468" s="54"/>
      <c r="FO468" s="54"/>
      <c r="FP468" s="54"/>
      <c r="FQ468" s="54"/>
      <c r="FR468" s="54"/>
      <c r="FS468" s="54"/>
      <c r="FT468" s="54"/>
      <c r="FU468" s="54"/>
      <c r="FV468" s="54"/>
      <c r="FW468" s="54"/>
      <c r="FX468" s="54"/>
      <c r="FY468" s="54"/>
      <c r="FZ468" s="54"/>
      <c r="GA468" s="54"/>
      <c r="GB468" s="54"/>
      <c r="GC468" s="54"/>
      <c r="GD468" s="54"/>
    </row>
    <row r="469" spans="1:186">
      <c r="A469" s="180"/>
      <c r="B469" s="180"/>
      <c r="C469" s="55"/>
      <c r="D469" s="56"/>
      <c r="E469" s="50"/>
      <c r="F469" s="50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  <c r="ES469" s="54"/>
      <c r="ET469" s="54"/>
      <c r="EU469" s="54"/>
      <c r="EV469" s="54"/>
      <c r="EW469" s="54"/>
      <c r="EX469" s="54"/>
      <c r="EY469" s="54"/>
      <c r="EZ469" s="54"/>
      <c r="FA469" s="54"/>
      <c r="FB469" s="54"/>
      <c r="FC469" s="54"/>
      <c r="FD469" s="54"/>
      <c r="FE469" s="54"/>
      <c r="FF469" s="54"/>
      <c r="FG469" s="54"/>
      <c r="FH469" s="54"/>
      <c r="FI469" s="54"/>
      <c r="FJ469" s="54"/>
      <c r="FK469" s="54"/>
      <c r="FL469" s="54"/>
      <c r="FM469" s="54"/>
      <c r="FN469" s="54"/>
      <c r="FO469" s="54"/>
      <c r="FP469" s="54"/>
      <c r="FQ469" s="54"/>
      <c r="FR469" s="54"/>
      <c r="FS469" s="54"/>
      <c r="FT469" s="54"/>
      <c r="FU469" s="54"/>
      <c r="FV469" s="54"/>
      <c r="FW469" s="54"/>
      <c r="FX469" s="54"/>
      <c r="FY469" s="54"/>
      <c r="FZ469" s="54"/>
      <c r="GA469" s="54"/>
      <c r="GB469" s="54"/>
      <c r="GC469" s="54"/>
      <c r="GD469" s="54"/>
    </row>
    <row r="470" spans="1:186">
      <c r="A470" s="180"/>
      <c r="B470" s="180"/>
      <c r="C470" s="55"/>
      <c r="D470" s="56"/>
      <c r="E470" s="50"/>
      <c r="F470" s="50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  <c r="ES470" s="54"/>
      <c r="ET470" s="54"/>
      <c r="EU470" s="54"/>
      <c r="EV470" s="54"/>
      <c r="EW470" s="54"/>
      <c r="EX470" s="54"/>
      <c r="EY470" s="54"/>
      <c r="EZ470" s="54"/>
      <c r="FA470" s="54"/>
      <c r="FB470" s="54"/>
      <c r="FC470" s="54"/>
      <c r="FD470" s="54"/>
      <c r="FE470" s="54"/>
      <c r="FF470" s="54"/>
      <c r="FG470" s="54"/>
      <c r="FH470" s="54"/>
      <c r="FI470" s="54"/>
      <c r="FJ470" s="54"/>
      <c r="FK470" s="54"/>
      <c r="FL470" s="54"/>
      <c r="FM470" s="54"/>
      <c r="FN470" s="54"/>
      <c r="FO470" s="54"/>
      <c r="FP470" s="54"/>
      <c r="FQ470" s="54"/>
      <c r="FR470" s="54"/>
      <c r="FS470" s="54"/>
      <c r="FT470" s="54"/>
      <c r="FU470" s="54"/>
      <c r="FV470" s="54"/>
      <c r="FW470" s="54"/>
      <c r="FX470" s="54"/>
      <c r="FY470" s="54"/>
      <c r="FZ470" s="54"/>
      <c r="GA470" s="54"/>
      <c r="GB470" s="54"/>
      <c r="GC470" s="54"/>
      <c r="GD470" s="54"/>
    </row>
    <row r="471" spans="1:186">
      <c r="A471" s="180"/>
      <c r="B471" s="180"/>
      <c r="C471" s="55"/>
      <c r="D471" s="56"/>
      <c r="E471" s="50"/>
      <c r="F471" s="50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  <c r="ES471" s="54"/>
      <c r="ET471" s="54"/>
      <c r="EU471" s="54"/>
      <c r="EV471" s="54"/>
      <c r="EW471" s="54"/>
      <c r="EX471" s="54"/>
      <c r="EY471" s="54"/>
      <c r="EZ471" s="54"/>
      <c r="FA471" s="54"/>
      <c r="FB471" s="54"/>
      <c r="FC471" s="54"/>
      <c r="FD471" s="54"/>
      <c r="FE471" s="54"/>
      <c r="FF471" s="54"/>
      <c r="FG471" s="54"/>
      <c r="FH471" s="54"/>
      <c r="FI471" s="54"/>
      <c r="FJ471" s="54"/>
      <c r="FK471" s="54"/>
      <c r="FL471" s="54"/>
      <c r="FM471" s="54"/>
      <c r="FN471" s="54"/>
      <c r="FO471" s="54"/>
      <c r="FP471" s="54"/>
      <c r="FQ471" s="54"/>
      <c r="FR471" s="54"/>
      <c r="FS471" s="54"/>
      <c r="FT471" s="54"/>
      <c r="FU471" s="54"/>
      <c r="FV471" s="54"/>
      <c r="FW471" s="54"/>
      <c r="FX471" s="54"/>
      <c r="FY471" s="54"/>
      <c r="FZ471" s="54"/>
      <c r="GA471" s="54"/>
      <c r="GB471" s="54"/>
      <c r="GC471" s="54"/>
      <c r="GD471" s="54"/>
    </row>
    <row r="472" spans="1:186">
      <c r="A472" s="180"/>
      <c r="B472" s="180"/>
      <c r="C472" s="55"/>
      <c r="D472" s="56"/>
      <c r="E472" s="50"/>
      <c r="F472" s="50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  <c r="ES472" s="54"/>
      <c r="ET472" s="54"/>
      <c r="EU472" s="54"/>
      <c r="EV472" s="54"/>
      <c r="EW472" s="54"/>
      <c r="EX472" s="54"/>
      <c r="EY472" s="54"/>
      <c r="EZ472" s="54"/>
      <c r="FA472" s="54"/>
      <c r="FB472" s="54"/>
      <c r="FC472" s="54"/>
      <c r="FD472" s="54"/>
      <c r="FE472" s="54"/>
      <c r="FF472" s="54"/>
      <c r="FG472" s="54"/>
      <c r="FH472" s="54"/>
      <c r="FI472" s="54"/>
      <c r="FJ472" s="54"/>
      <c r="FK472" s="54"/>
      <c r="FL472" s="54"/>
      <c r="FM472" s="54"/>
      <c r="FN472" s="54"/>
      <c r="FO472" s="54"/>
      <c r="FP472" s="54"/>
      <c r="FQ472" s="54"/>
      <c r="FR472" s="54"/>
      <c r="FS472" s="54"/>
      <c r="FT472" s="54"/>
      <c r="FU472" s="54"/>
      <c r="FV472" s="54"/>
      <c r="FW472" s="54"/>
      <c r="FX472" s="54"/>
      <c r="FY472" s="54"/>
      <c r="FZ472" s="54"/>
      <c r="GA472" s="54"/>
      <c r="GB472" s="54"/>
      <c r="GC472" s="54"/>
      <c r="GD472" s="54"/>
    </row>
    <row r="473" spans="1:186">
      <c r="A473" s="180"/>
      <c r="B473" s="180"/>
      <c r="C473" s="55"/>
      <c r="D473" s="56"/>
      <c r="E473" s="50"/>
      <c r="F473" s="50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  <c r="ES473" s="54"/>
      <c r="ET473" s="54"/>
      <c r="EU473" s="54"/>
      <c r="EV473" s="54"/>
      <c r="EW473" s="54"/>
      <c r="EX473" s="54"/>
      <c r="EY473" s="54"/>
      <c r="EZ473" s="54"/>
      <c r="FA473" s="54"/>
      <c r="FB473" s="54"/>
      <c r="FC473" s="54"/>
      <c r="FD473" s="54"/>
      <c r="FE473" s="54"/>
      <c r="FF473" s="54"/>
      <c r="FG473" s="54"/>
      <c r="FH473" s="54"/>
      <c r="FI473" s="54"/>
      <c r="FJ473" s="54"/>
      <c r="FK473" s="54"/>
      <c r="FL473" s="54"/>
      <c r="FM473" s="54"/>
      <c r="FN473" s="54"/>
      <c r="FO473" s="54"/>
      <c r="FP473" s="54"/>
      <c r="FQ473" s="54"/>
      <c r="FR473" s="54"/>
      <c r="FS473" s="54"/>
      <c r="FT473" s="54"/>
      <c r="FU473" s="54"/>
      <c r="FV473" s="54"/>
      <c r="FW473" s="54"/>
      <c r="FX473" s="54"/>
      <c r="FY473" s="54"/>
      <c r="FZ473" s="54"/>
      <c r="GA473" s="54"/>
      <c r="GB473" s="54"/>
      <c r="GC473" s="54"/>
      <c r="GD473" s="54"/>
    </row>
    <row r="474" spans="1:186">
      <c r="A474" s="180"/>
      <c r="B474" s="180"/>
      <c r="C474" s="55"/>
      <c r="D474" s="56"/>
      <c r="E474" s="50"/>
      <c r="F474" s="50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  <c r="ES474" s="54"/>
      <c r="ET474" s="54"/>
      <c r="EU474" s="54"/>
      <c r="EV474" s="54"/>
      <c r="EW474" s="54"/>
      <c r="EX474" s="54"/>
      <c r="EY474" s="54"/>
      <c r="EZ474" s="54"/>
      <c r="FA474" s="54"/>
      <c r="FB474" s="54"/>
      <c r="FC474" s="54"/>
      <c r="FD474" s="54"/>
      <c r="FE474" s="54"/>
      <c r="FF474" s="54"/>
      <c r="FG474" s="54"/>
      <c r="FH474" s="54"/>
      <c r="FI474" s="54"/>
      <c r="FJ474" s="54"/>
      <c r="FK474" s="54"/>
      <c r="FL474" s="54"/>
      <c r="FM474" s="54"/>
      <c r="FN474" s="54"/>
      <c r="FO474" s="54"/>
      <c r="FP474" s="54"/>
      <c r="FQ474" s="54"/>
      <c r="FR474" s="54"/>
      <c r="FS474" s="54"/>
      <c r="FT474" s="54"/>
      <c r="FU474" s="54"/>
      <c r="FV474" s="54"/>
      <c r="FW474" s="54"/>
      <c r="FX474" s="54"/>
      <c r="FY474" s="54"/>
      <c r="FZ474" s="54"/>
      <c r="GA474" s="54"/>
      <c r="GB474" s="54"/>
      <c r="GC474" s="54"/>
      <c r="GD474" s="54"/>
    </row>
    <row r="475" spans="1:186">
      <c r="A475" s="180"/>
      <c r="B475" s="180"/>
      <c r="C475" s="55"/>
      <c r="D475" s="56"/>
      <c r="E475" s="50"/>
      <c r="F475" s="50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  <c r="ES475" s="54"/>
      <c r="ET475" s="54"/>
      <c r="EU475" s="54"/>
      <c r="EV475" s="54"/>
      <c r="EW475" s="54"/>
      <c r="EX475" s="54"/>
      <c r="EY475" s="54"/>
      <c r="EZ475" s="54"/>
      <c r="FA475" s="54"/>
      <c r="FB475" s="54"/>
      <c r="FC475" s="54"/>
      <c r="FD475" s="54"/>
      <c r="FE475" s="54"/>
      <c r="FF475" s="54"/>
      <c r="FG475" s="54"/>
      <c r="FH475" s="54"/>
      <c r="FI475" s="54"/>
      <c r="FJ475" s="54"/>
      <c r="FK475" s="54"/>
      <c r="FL475" s="54"/>
      <c r="FM475" s="54"/>
      <c r="FN475" s="54"/>
      <c r="FO475" s="54"/>
      <c r="FP475" s="54"/>
      <c r="FQ475" s="54"/>
      <c r="FR475" s="54"/>
      <c r="FS475" s="54"/>
      <c r="FT475" s="54"/>
      <c r="FU475" s="54"/>
      <c r="FV475" s="54"/>
      <c r="FW475" s="54"/>
      <c r="FX475" s="54"/>
      <c r="FY475" s="54"/>
      <c r="FZ475" s="54"/>
      <c r="GA475" s="54"/>
      <c r="GB475" s="54"/>
      <c r="GC475" s="54"/>
      <c r="GD475" s="54"/>
    </row>
    <row r="476" spans="1:186">
      <c r="A476" s="180"/>
      <c r="B476" s="180"/>
      <c r="C476" s="55"/>
      <c r="D476" s="56"/>
      <c r="E476" s="50"/>
      <c r="F476" s="50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  <c r="ES476" s="54"/>
      <c r="ET476" s="54"/>
      <c r="EU476" s="54"/>
      <c r="EV476" s="54"/>
      <c r="EW476" s="54"/>
      <c r="EX476" s="54"/>
      <c r="EY476" s="54"/>
      <c r="EZ476" s="54"/>
      <c r="FA476" s="54"/>
      <c r="FB476" s="54"/>
      <c r="FC476" s="54"/>
      <c r="FD476" s="54"/>
      <c r="FE476" s="54"/>
      <c r="FF476" s="54"/>
      <c r="FG476" s="54"/>
      <c r="FH476" s="54"/>
      <c r="FI476" s="54"/>
      <c r="FJ476" s="54"/>
      <c r="FK476" s="54"/>
      <c r="FL476" s="54"/>
      <c r="FM476" s="54"/>
      <c r="FN476" s="54"/>
      <c r="FO476" s="54"/>
      <c r="FP476" s="54"/>
      <c r="FQ476" s="54"/>
      <c r="FR476" s="54"/>
      <c r="FS476" s="54"/>
      <c r="FT476" s="54"/>
      <c r="FU476" s="54"/>
      <c r="FV476" s="54"/>
      <c r="FW476" s="54"/>
      <c r="FX476" s="54"/>
      <c r="FY476" s="54"/>
      <c r="FZ476" s="54"/>
      <c r="GA476" s="54"/>
      <c r="GB476" s="54"/>
      <c r="GC476" s="54"/>
      <c r="GD476" s="54"/>
    </row>
    <row r="477" spans="1:186">
      <c r="A477" s="180"/>
      <c r="B477" s="180"/>
      <c r="C477" s="55"/>
      <c r="D477" s="56"/>
      <c r="E477" s="50"/>
      <c r="F477" s="50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  <c r="ES477" s="54"/>
      <c r="ET477" s="54"/>
      <c r="EU477" s="54"/>
      <c r="EV477" s="54"/>
      <c r="EW477" s="54"/>
      <c r="EX477" s="54"/>
      <c r="EY477" s="54"/>
      <c r="EZ477" s="54"/>
      <c r="FA477" s="54"/>
      <c r="FB477" s="54"/>
      <c r="FC477" s="54"/>
      <c r="FD477" s="54"/>
      <c r="FE477" s="54"/>
      <c r="FF477" s="54"/>
      <c r="FG477" s="54"/>
      <c r="FH477" s="54"/>
      <c r="FI477" s="54"/>
      <c r="FJ477" s="54"/>
      <c r="FK477" s="54"/>
      <c r="FL477" s="54"/>
      <c r="FM477" s="54"/>
      <c r="FN477" s="54"/>
      <c r="FO477" s="54"/>
      <c r="FP477" s="54"/>
      <c r="FQ477" s="54"/>
      <c r="FR477" s="54"/>
      <c r="FS477" s="54"/>
      <c r="FT477" s="54"/>
      <c r="FU477" s="54"/>
      <c r="FV477" s="54"/>
      <c r="FW477" s="54"/>
      <c r="FX477" s="54"/>
      <c r="FY477" s="54"/>
      <c r="FZ477" s="54"/>
      <c r="GA477" s="54"/>
      <c r="GB477" s="54"/>
      <c r="GC477" s="54"/>
      <c r="GD477" s="54"/>
    </row>
    <row r="478" spans="1:186">
      <c r="A478" s="180"/>
      <c r="B478" s="180"/>
      <c r="C478" s="55"/>
      <c r="D478" s="56"/>
      <c r="E478" s="50"/>
      <c r="F478" s="50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  <c r="ES478" s="54"/>
      <c r="ET478" s="54"/>
      <c r="EU478" s="54"/>
      <c r="EV478" s="54"/>
      <c r="EW478" s="54"/>
      <c r="EX478" s="54"/>
      <c r="EY478" s="54"/>
      <c r="EZ478" s="54"/>
      <c r="FA478" s="54"/>
      <c r="FB478" s="54"/>
      <c r="FC478" s="54"/>
      <c r="FD478" s="54"/>
      <c r="FE478" s="54"/>
      <c r="FF478" s="54"/>
      <c r="FG478" s="54"/>
      <c r="FH478" s="54"/>
      <c r="FI478" s="54"/>
      <c r="FJ478" s="54"/>
      <c r="FK478" s="54"/>
      <c r="FL478" s="54"/>
      <c r="FM478" s="54"/>
      <c r="FN478" s="54"/>
      <c r="FO478" s="54"/>
      <c r="FP478" s="54"/>
      <c r="FQ478" s="54"/>
      <c r="FR478" s="54"/>
      <c r="FS478" s="54"/>
      <c r="FT478" s="54"/>
      <c r="FU478" s="54"/>
      <c r="FV478" s="54"/>
      <c r="FW478" s="54"/>
      <c r="FX478" s="54"/>
      <c r="FY478" s="54"/>
      <c r="FZ478" s="54"/>
      <c r="GA478" s="54"/>
      <c r="GB478" s="54"/>
      <c r="GC478" s="54"/>
      <c r="GD478" s="54"/>
    </row>
    <row r="479" spans="1:186">
      <c r="A479" s="180"/>
      <c r="B479" s="180"/>
      <c r="C479" s="55"/>
      <c r="D479" s="56"/>
      <c r="E479" s="50"/>
      <c r="F479" s="50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  <c r="ES479" s="54"/>
      <c r="ET479" s="54"/>
      <c r="EU479" s="54"/>
      <c r="EV479" s="54"/>
      <c r="EW479" s="54"/>
      <c r="EX479" s="54"/>
      <c r="EY479" s="54"/>
      <c r="EZ479" s="54"/>
      <c r="FA479" s="54"/>
      <c r="FB479" s="54"/>
      <c r="FC479" s="54"/>
      <c r="FD479" s="54"/>
      <c r="FE479" s="54"/>
      <c r="FF479" s="54"/>
      <c r="FG479" s="54"/>
      <c r="FH479" s="54"/>
      <c r="FI479" s="54"/>
      <c r="FJ479" s="54"/>
      <c r="FK479" s="54"/>
      <c r="FL479" s="54"/>
      <c r="FM479" s="54"/>
      <c r="FN479" s="54"/>
      <c r="FO479" s="54"/>
      <c r="FP479" s="54"/>
      <c r="FQ479" s="54"/>
      <c r="FR479" s="54"/>
      <c r="FS479" s="54"/>
      <c r="FT479" s="54"/>
      <c r="FU479" s="54"/>
      <c r="FV479" s="54"/>
      <c r="FW479" s="54"/>
      <c r="FX479" s="54"/>
      <c r="FY479" s="54"/>
      <c r="FZ479" s="54"/>
      <c r="GA479" s="54"/>
      <c r="GB479" s="54"/>
      <c r="GC479" s="54"/>
      <c r="GD479" s="54"/>
    </row>
    <row r="480" spans="1:186">
      <c r="A480" s="180"/>
      <c r="B480" s="180"/>
      <c r="C480" s="55"/>
      <c r="D480" s="56"/>
      <c r="E480" s="50"/>
      <c r="F480" s="50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  <c r="ES480" s="54"/>
      <c r="ET480" s="54"/>
      <c r="EU480" s="54"/>
      <c r="EV480" s="54"/>
      <c r="EW480" s="54"/>
      <c r="EX480" s="54"/>
      <c r="EY480" s="54"/>
      <c r="EZ480" s="54"/>
      <c r="FA480" s="54"/>
      <c r="FB480" s="54"/>
      <c r="FC480" s="54"/>
      <c r="FD480" s="54"/>
      <c r="FE480" s="54"/>
      <c r="FF480" s="54"/>
      <c r="FG480" s="54"/>
      <c r="FH480" s="54"/>
      <c r="FI480" s="54"/>
      <c r="FJ480" s="54"/>
      <c r="FK480" s="54"/>
      <c r="FL480" s="54"/>
      <c r="FM480" s="54"/>
      <c r="FN480" s="54"/>
      <c r="FO480" s="54"/>
      <c r="FP480" s="54"/>
      <c r="FQ480" s="54"/>
      <c r="FR480" s="54"/>
      <c r="FS480" s="54"/>
      <c r="FT480" s="54"/>
      <c r="FU480" s="54"/>
      <c r="FV480" s="54"/>
      <c r="FW480" s="54"/>
      <c r="FX480" s="54"/>
      <c r="FY480" s="54"/>
      <c r="FZ480" s="54"/>
      <c r="GA480" s="54"/>
      <c r="GB480" s="54"/>
      <c r="GC480" s="54"/>
      <c r="GD480" s="54"/>
    </row>
    <row r="481" spans="1:186">
      <c r="A481" s="180"/>
      <c r="B481" s="180"/>
      <c r="C481" s="55"/>
      <c r="D481" s="56"/>
      <c r="E481" s="50"/>
      <c r="F481" s="50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  <c r="ES481" s="54"/>
      <c r="ET481" s="54"/>
      <c r="EU481" s="54"/>
      <c r="EV481" s="54"/>
      <c r="EW481" s="54"/>
      <c r="EX481" s="54"/>
      <c r="EY481" s="54"/>
      <c r="EZ481" s="54"/>
      <c r="FA481" s="54"/>
      <c r="FB481" s="54"/>
      <c r="FC481" s="54"/>
      <c r="FD481" s="54"/>
      <c r="FE481" s="54"/>
      <c r="FF481" s="54"/>
      <c r="FG481" s="54"/>
      <c r="FH481" s="54"/>
      <c r="FI481" s="54"/>
      <c r="FJ481" s="54"/>
      <c r="FK481" s="54"/>
      <c r="FL481" s="54"/>
      <c r="FM481" s="54"/>
      <c r="FN481" s="54"/>
      <c r="FO481" s="54"/>
      <c r="FP481" s="54"/>
      <c r="FQ481" s="54"/>
      <c r="FR481" s="54"/>
      <c r="FS481" s="54"/>
      <c r="FT481" s="54"/>
      <c r="FU481" s="54"/>
      <c r="FV481" s="54"/>
      <c r="FW481" s="54"/>
      <c r="FX481" s="54"/>
      <c r="FY481" s="54"/>
      <c r="FZ481" s="54"/>
      <c r="GA481" s="54"/>
      <c r="GB481" s="54"/>
      <c r="GC481" s="54"/>
      <c r="GD481" s="54"/>
    </row>
    <row r="482" spans="1:186">
      <c r="A482" s="180"/>
      <c r="B482" s="180"/>
      <c r="C482" s="55"/>
      <c r="D482" s="56"/>
      <c r="E482" s="50"/>
      <c r="F482" s="50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  <c r="ES482" s="54"/>
      <c r="ET482" s="54"/>
      <c r="EU482" s="54"/>
      <c r="EV482" s="54"/>
      <c r="EW482" s="54"/>
      <c r="EX482" s="54"/>
      <c r="EY482" s="54"/>
      <c r="EZ482" s="54"/>
      <c r="FA482" s="54"/>
      <c r="FB482" s="54"/>
      <c r="FC482" s="54"/>
      <c r="FD482" s="54"/>
      <c r="FE482" s="54"/>
      <c r="FF482" s="54"/>
      <c r="FG482" s="54"/>
      <c r="FH482" s="54"/>
      <c r="FI482" s="54"/>
      <c r="FJ482" s="54"/>
      <c r="FK482" s="54"/>
      <c r="FL482" s="54"/>
      <c r="FM482" s="54"/>
      <c r="FN482" s="54"/>
      <c r="FO482" s="54"/>
      <c r="FP482" s="54"/>
      <c r="FQ482" s="54"/>
      <c r="FR482" s="54"/>
      <c r="FS482" s="54"/>
      <c r="FT482" s="54"/>
      <c r="FU482" s="54"/>
      <c r="FV482" s="54"/>
      <c r="FW482" s="54"/>
      <c r="FX482" s="54"/>
      <c r="FY482" s="54"/>
      <c r="FZ482" s="54"/>
      <c r="GA482" s="54"/>
      <c r="GB482" s="54"/>
      <c r="GC482" s="54"/>
      <c r="GD482" s="54"/>
    </row>
    <row r="483" spans="1:186">
      <c r="A483" s="180"/>
      <c r="B483" s="180"/>
      <c r="C483" s="55"/>
      <c r="D483" s="56"/>
      <c r="E483" s="50"/>
      <c r="F483" s="50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  <c r="ES483" s="54"/>
      <c r="ET483" s="54"/>
      <c r="EU483" s="54"/>
      <c r="EV483" s="54"/>
      <c r="EW483" s="54"/>
      <c r="EX483" s="54"/>
      <c r="EY483" s="54"/>
      <c r="EZ483" s="54"/>
      <c r="FA483" s="54"/>
      <c r="FB483" s="54"/>
      <c r="FC483" s="54"/>
      <c r="FD483" s="54"/>
      <c r="FE483" s="54"/>
      <c r="FF483" s="54"/>
      <c r="FG483" s="54"/>
      <c r="FH483" s="54"/>
      <c r="FI483" s="54"/>
      <c r="FJ483" s="54"/>
      <c r="FK483" s="54"/>
      <c r="FL483" s="54"/>
      <c r="FM483" s="54"/>
      <c r="FN483" s="54"/>
      <c r="FO483" s="54"/>
      <c r="FP483" s="54"/>
      <c r="FQ483" s="54"/>
      <c r="FR483" s="54"/>
      <c r="FS483" s="54"/>
      <c r="FT483" s="54"/>
      <c r="FU483" s="54"/>
      <c r="FV483" s="54"/>
      <c r="FW483" s="54"/>
      <c r="FX483" s="54"/>
      <c r="FY483" s="54"/>
      <c r="FZ483" s="54"/>
      <c r="GA483" s="54"/>
      <c r="GB483" s="54"/>
      <c r="GC483" s="54"/>
      <c r="GD483" s="54"/>
    </row>
    <row r="484" spans="1:186">
      <c r="A484" s="180"/>
      <c r="B484" s="180"/>
      <c r="C484" s="55"/>
      <c r="D484" s="56"/>
      <c r="E484" s="50"/>
      <c r="F484" s="50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  <c r="ES484" s="54"/>
      <c r="ET484" s="54"/>
      <c r="EU484" s="54"/>
      <c r="EV484" s="54"/>
      <c r="EW484" s="54"/>
      <c r="EX484" s="54"/>
      <c r="EY484" s="54"/>
      <c r="EZ484" s="54"/>
      <c r="FA484" s="54"/>
      <c r="FB484" s="54"/>
      <c r="FC484" s="54"/>
      <c r="FD484" s="54"/>
      <c r="FE484" s="54"/>
      <c r="FF484" s="54"/>
      <c r="FG484" s="54"/>
      <c r="FH484" s="54"/>
      <c r="FI484" s="54"/>
      <c r="FJ484" s="54"/>
      <c r="FK484" s="54"/>
      <c r="FL484" s="54"/>
      <c r="FM484" s="54"/>
      <c r="FN484" s="54"/>
      <c r="FO484" s="54"/>
      <c r="FP484" s="54"/>
      <c r="FQ484" s="54"/>
      <c r="FR484" s="54"/>
      <c r="FS484" s="54"/>
      <c r="FT484" s="54"/>
      <c r="FU484" s="54"/>
      <c r="FV484" s="54"/>
      <c r="FW484" s="54"/>
      <c r="FX484" s="54"/>
      <c r="FY484" s="54"/>
      <c r="FZ484" s="54"/>
      <c r="GA484" s="54"/>
      <c r="GB484" s="54"/>
      <c r="GC484" s="54"/>
      <c r="GD484" s="54"/>
    </row>
    <row r="485" spans="1:186">
      <c r="A485" s="180"/>
      <c r="B485" s="180"/>
      <c r="C485" s="55"/>
      <c r="D485" s="56"/>
      <c r="E485" s="50"/>
      <c r="F485" s="50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  <c r="ES485" s="54"/>
      <c r="ET485" s="54"/>
      <c r="EU485" s="54"/>
      <c r="EV485" s="54"/>
      <c r="EW485" s="54"/>
      <c r="EX485" s="54"/>
      <c r="EY485" s="54"/>
      <c r="EZ485" s="54"/>
      <c r="FA485" s="54"/>
      <c r="FB485" s="54"/>
      <c r="FC485" s="54"/>
      <c r="FD485" s="54"/>
      <c r="FE485" s="54"/>
      <c r="FF485" s="54"/>
      <c r="FG485" s="54"/>
      <c r="FH485" s="54"/>
      <c r="FI485" s="54"/>
      <c r="FJ485" s="54"/>
      <c r="FK485" s="54"/>
      <c r="FL485" s="54"/>
      <c r="FM485" s="54"/>
      <c r="FN485" s="54"/>
      <c r="FO485" s="54"/>
      <c r="FP485" s="54"/>
      <c r="FQ485" s="54"/>
      <c r="FR485" s="54"/>
      <c r="FS485" s="54"/>
      <c r="FT485" s="54"/>
      <c r="FU485" s="54"/>
      <c r="FV485" s="54"/>
      <c r="FW485" s="54"/>
      <c r="FX485" s="54"/>
      <c r="FY485" s="54"/>
      <c r="FZ485" s="54"/>
      <c r="GA485" s="54"/>
      <c r="GB485" s="54"/>
      <c r="GC485" s="54"/>
      <c r="GD485" s="54"/>
    </row>
    <row r="486" spans="1:186">
      <c r="A486" s="180"/>
      <c r="B486" s="180"/>
      <c r="C486" s="55"/>
      <c r="D486" s="56"/>
      <c r="E486" s="50"/>
      <c r="F486" s="50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  <c r="ES486" s="54"/>
      <c r="ET486" s="54"/>
      <c r="EU486" s="54"/>
      <c r="EV486" s="54"/>
      <c r="EW486" s="54"/>
      <c r="EX486" s="54"/>
      <c r="EY486" s="54"/>
      <c r="EZ486" s="54"/>
      <c r="FA486" s="54"/>
      <c r="FB486" s="54"/>
      <c r="FC486" s="54"/>
      <c r="FD486" s="54"/>
      <c r="FE486" s="54"/>
      <c r="FF486" s="54"/>
      <c r="FG486" s="54"/>
      <c r="FH486" s="54"/>
      <c r="FI486" s="54"/>
      <c r="FJ486" s="54"/>
      <c r="FK486" s="54"/>
      <c r="FL486" s="54"/>
      <c r="FM486" s="54"/>
      <c r="FN486" s="54"/>
      <c r="FO486" s="54"/>
      <c r="FP486" s="54"/>
      <c r="FQ486" s="54"/>
      <c r="FR486" s="54"/>
      <c r="FS486" s="54"/>
      <c r="FT486" s="54"/>
      <c r="FU486" s="54"/>
      <c r="FV486" s="54"/>
      <c r="FW486" s="54"/>
      <c r="FX486" s="54"/>
      <c r="FY486" s="54"/>
      <c r="FZ486" s="54"/>
      <c r="GA486" s="54"/>
      <c r="GB486" s="54"/>
      <c r="GC486" s="54"/>
      <c r="GD486" s="54"/>
    </row>
    <row r="487" spans="1:186">
      <c r="A487" s="180"/>
      <c r="B487" s="180"/>
      <c r="C487" s="55"/>
      <c r="D487" s="56"/>
      <c r="E487" s="50"/>
      <c r="F487" s="50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  <c r="ES487" s="54"/>
      <c r="ET487" s="54"/>
      <c r="EU487" s="54"/>
      <c r="EV487" s="54"/>
      <c r="EW487" s="54"/>
      <c r="EX487" s="54"/>
      <c r="EY487" s="54"/>
      <c r="EZ487" s="54"/>
      <c r="FA487" s="54"/>
      <c r="FB487" s="54"/>
      <c r="FC487" s="54"/>
      <c r="FD487" s="54"/>
      <c r="FE487" s="54"/>
      <c r="FF487" s="54"/>
      <c r="FG487" s="54"/>
      <c r="FH487" s="54"/>
      <c r="FI487" s="54"/>
      <c r="FJ487" s="54"/>
      <c r="FK487" s="54"/>
      <c r="FL487" s="54"/>
      <c r="FM487" s="54"/>
      <c r="FN487" s="54"/>
      <c r="FO487" s="54"/>
      <c r="FP487" s="54"/>
      <c r="FQ487" s="54"/>
      <c r="FR487" s="54"/>
      <c r="FS487" s="54"/>
      <c r="FT487" s="54"/>
      <c r="FU487" s="54"/>
      <c r="FV487" s="54"/>
      <c r="FW487" s="54"/>
      <c r="FX487" s="54"/>
      <c r="FY487" s="54"/>
      <c r="FZ487" s="54"/>
      <c r="GA487" s="54"/>
      <c r="GB487" s="54"/>
      <c r="GC487" s="54"/>
      <c r="GD487" s="54"/>
    </row>
    <row r="488" spans="1:186">
      <c r="A488" s="180"/>
      <c r="B488" s="180"/>
      <c r="C488" s="55"/>
      <c r="D488" s="56"/>
      <c r="E488" s="50"/>
      <c r="F488" s="50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  <c r="ES488" s="54"/>
      <c r="ET488" s="54"/>
      <c r="EU488" s="54"/>
      <c r="EV488" s="54"/>
      <c r="EW488" s="54"/>
      <c r="EX488" s="54"/>
      <c r="EY488" s="54"/>
      <c r="EZ488" s="54"/>
      <c r="FA488" s="54"/>
      <c r="FB488" s="54"/>
      <c r="FC488" s="54"/>
      <c r="FD488" s="54"/>
      <c r="FE488" s="54"/>
      <c r="FF488" s="54"/>
      <c r="FG488" s="54"/>
      <c r="FH488" s="54"/>
      <c r="FI488" s="54"/>
      <c r="FJ488" s="54"/>
      <c r="FK488" s="54"/>
      <c r="FL488" s="54"/>
      <c r="FM488" s="54"/>
      <c r="FN488" s="54"/>
      <c r="FO488" s="54"/>
      <c r="FP488" s="54"/>
      <c r="FQ488" s="54"/>
      <c r="FR488" s="54"/>
      <c r="FS488" s="54"/>
      <c r="FT488" s="54"/>
      <c r="FU488" s="54"/>
      <c r="FV488" s="54"/>
      <c r="FW488" s="54"/>
      <c r="FX488" s="54"/>
      <c r="FY488" s="54"/>
      <c r="FZ488" s="54"/>
      <c r="GA488" s="54"/>
      <c r="GB488" s="54"/>
      <c r="GC488" s="54"/>
      <c r="GD488" s="54"/>
    </row>
    <row r="489" spans="1:186">
      <c r="A489" s="180"/>
      <c r="B489" s="180"/>
      <c r="C489" s="55"/>
      <c r="D489" s="56"/>
      <c r="E489" s="50"/>
      <c r="F489" s="50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  <c r="ES489" s="54"/>
      <c r="ET489" s="54"/>
      <c r="EU489" s="54"/>
      <c r="EV489" s="54"/>
      <c r="EW489" s="54"/>
      <c r="EX489" s="54"/>
      <c r="EY489" s="54"/>
      <c r="EZ489" s="54"/>
      <c r="FA489" s="54"/>
      <c r="FB489" s="54"/>
      <c r="FC489" s="54"/>
      <c r="FD489" s="54"/>
      <c r="FE489" s="54"/>
      <c r="FF489" s="54"/>
      <c r="FG489" s="54"/>
      <c r="FH489" s="54"/>
      <c r="FI489" s="54"/>
      <c r="FJ489" s="54"/>
      <c r="FK489" s="54"/>
      <c r="FL489" s="54"/>
      <c r="FM489" s="54"/>
      <c r="FN489" s="54"/>
      <c r="FO489" s="54"/>
      <c r="FP489" s="54"/>
      <c r="FQ489" s="54"/>
      <c r="FR489" s="54"/>
      <c r="FS489" s="54"/>
      <c r="FT489" s="54"/>
      <c r="FU489" s="54"/>
      <c r="FV489" s="54"/>
      <c r="FW489" s="54"/>
      <c r="FX489" s="54"/>
      <c r="FY489" s="54"/>
      <c r="FZ489" s="54"/>
      <c r="GA489" s="54"/>
      <c r="GB489" s="54"/>
      <c r="GC489" s="54"/>
      <c r="GD489" s="54"/>
    </row>
    <row r="490" spans="1:186">
      <c r="A490" s="180"/>
      <c r="B490" s="180"/>
      <c r="C490" s="55"/>
      <c r="D490" s="56"/>
      <c r="E490" s="50"/>
      <c r="F490" s="50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  <c r="ES490" s="54"/>
      <c r="ET490" s="54"/>
      <c r="EU490" s="54"/>
      <c r="EV490" s="54"/>
      <c r="EW490" s="54"/>
      <c r="EX490" s="54"/>
      <c r="EY490" s="54"/>
      <c r="EZ490" s="54"/>
      <c r="FA490" s="54"/>
      <c r="FB490" s="54"/>
      <c r="FC490" s="54"/>
      <c r="FD490" s="54"/>
      <c r="FE490" s="54"/>
      <c r="FF490" s="54"/>
      <c r="FG490" s="54"/>
      <c r="FH490" s="54"/>
      <c r="FI490" s="54"/>
      <c r="FJ490" s="54"/>
      <c r="FK490" s="54"/>
      <c r="FL490" s="54"/>
      <c r="FM490" s="54"/>
      <c r="FN490" s="54"/>
      <c r="FO490" s="54"/>
      <c r="FP490" s="54"/>
      <c r="FQ490" s="54"/>
      <c r="FR490" s="54"/>
      <c r="FS490" s="54"/>
      <c r="FT490" s="54"/>
      <c r="FU490" s="54"/>
      <c r="FV490" s="54"/>
      <c r="FW490" s="54"/>
      <c r="FX490" s="54"/>
      <c r="FY490" s="54"/>
      <c r="FZ490" s="54"/>
      <c r="GA490" s="54"/>
      <c r="GB490" s="54"/>
      <c r="GC490" s="54"/>
      <c r="GD490" s="54"/>
    </row>
    <row r="491" spans="1:186">
      <c r="A491" s="180"/>
      <c r="B491" s="180"/>
      <c r="C491" s="55"/>
      <c r="D491" s="56"/>
      <c r="E491" s="50"/>
      <c r="F491" s="50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  <c r="ES491" s="54"/>
      <c r="ET491" s="54"/>
      <c r="EU491" s="54"/>
      <c r="EV491" s="54"/>
      <c r="EW491" s="54"/>
      <c r="EX491" s="54"/>
      <c r="EY491" s="54"/>
      <c r="EZ491" s="54"/>
      <c r="FA491" s="54"/>
      <c r="FB491" s="54"/>
      <c r="FC491" s="54"/>
      <c r="FD491" s="54"/>
      <c r="FE491" s="54"/>
      <c r="FF491" s="54"/>
      <c r="FG491" s="54"/>
      <c r="FH491" s="54"/>
      <c r="FI491" s="54"/>
      <c r="FJ491" s="54"/>
      <c r="FK491" s="54"/>
      <c r="FL491" s="54"/>
      <c r="FM491" s="54"/>
      <c r="FN491" s="54"/>
      <c r="FO491" s="54"/>
      <c r="FP491" s="54"/>
      <c r="FQ491" s="54"/>
      <c r="FR491" s="54"/>
      <c r="FS491" s="54"/>
      <c r="FT491" s="54"/>
      <c r="FU491" s="54"/>
      <c r="FV491" s="54"/>
      <c r="FW491" s="54"/>
      <c r="FX491" s="54"/>
      <c r="FY491" s="54"/>
      <c r="FZ491" s="54"/>
      <c r="GA491" s="54"/>
      <c r="GB491" s="54"/>
      <c r="GC491" s="54"/>
      <c r="GD491" s="54"/>
    </row>
    <row r="492" spans="1:186">
      <c r="A492" s="180"/>
      <c r="B492" s="180"/>
      <c r="C492" s="55"/>
      <c r="D492" s="56"/>
      <c r="E492" s="50"/>
      <c r="F492" s="50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  <c r="ES492" s="54"/>
      <c r="ET492" s="54"/>
      <c r="EU492" s="54"/>
      <c r="EV492" s="54"/>
      <c r="EW492" s="54"/>
      <c r="EX492" s="54"/>
      <c r="EY492" s="54"/>
      <c r="EZ492" s="54"/>
      <c r="FA492" s="54"/>
      <c r="FB492" s="54"/>
      <c r="FC492" s="54"/>
      <c r="FD492" s="54"/>
      <c r="FE492" s="54"/>
      <c r="FF492" s="54"/>
      <c r="FG492" s="54"/>
      <c r="FH492" s="54"/>
      <c r="FI492" s="54"/>
      <c r="FJ492" s="54"/>
      <c r="FK492" s="54"/>
      <c r="FL492" s="54"/>
      <c r="FM492" s="54"/>
      <c r="FN492" s="54"/>
      <c r="FO492" s="54"/>
      <c r="FP492" s="54"/>
      <c r="FQ492" s="54"/>
      <c r="FR492" s="54"/>
      <c r="FS492" s="54"/>
      <c r="FT492" s="54"/>
      <c r="FU492" s="54"/>
      <c r="FV492" s="54"/>
      <c r="FW492" s="54"/>
      <c r="FX492" s="54"/>
      <c r="FY492" s="54"/>
      <c r="FZ492" s="54"/>
      <c r="GA492" s="54"/>
      <c r="GB492" s="54"/>
      <c r="GC492" s="54"/>
      <c r="GD492" s="54"/>
    </row>
    <row r="493" spans="1:186">
      <c r="A493" s="180"/>
      <c r="B493" s="180"/>
      <c r="C493" s="55"/>
      <c r="D493" s="56"/>
      <c r="E493" s="50"/>
      <c r="F493" s="50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  <c r="ES493" s="54"/>
      <c r="ET493" s="54"/>
      <c r="EU493" s="54"/>
      <c r="EV493" s="54"/>
      <c r="EW493" s="54"/>
      <c r="EX493" s="54"/>
      <c r="EY493" s="54"/>
      <c r="EZ493" s="54"/>
      <c r="FA493" s="54"/>
      <c r="FB493" s="54"/>
      <c r="FC493" s="54"/>
      <c r="FD493" s="54"/>
      <c r="FE493" s="54"/>
      <c r="FF493" s="54"/>
      <c r="FG493" s="54"/>
      <c r="FH493" s="54"/>
      <c r="FI493" s="54"/>
      <c r="FJ493" s="54"/>
      <c r="FK493" s="54"/>
      <c r="FL493" s="54"/>
      <c r="FM493" s="54"/>
      <c r="FN493" s="54"/>
      <c r="FO493" s="54"/>
      <c r="FP493" s="54"/>
      <c r="FQ493" s="54"/>
      <c r="FR493" s="54"/>
      <c r="FS493" s="54"/>
      <c r="FT493" s="54"/>
      <c r="FU493" s="54"/>
      <c r="FV493" s="54"/>
      <c r="FW493" s="54"/>
      <c r="FX493" s="54"/>
      <c r="FY493" s="54"/>
      <c r="FZ493" s="54"/>
      <c r="GA493" s="54"/>
      <c r="GB493" s="54"/>
      <c r="GC493" s="54"/>
      <c r="GD493" s="54"/>
    </row>
    <row r="494" spans="1:186">
      <c r="A494" s="180"/>
      <c r="B494" s="180"/>
      <c r="C494" s="55"/>
      <c r="D494" s="56"/>
      <c r="E494" s="50"/>
      <c r="F494" s="50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  <c r="ES494" s="54"/>
      <c r="ET494" s="54"/>
      <c r="EU494" s="54"/>
      <c r="EV494" s="54"/>
      <c r="EW494" s="54"/>
      <c r="EX494" s="54"/>
      <c r="EY494" s="54"/>
      <c r="EZ494" s="54"/>
      <c r="FA494" s="54"/>
      <c r="FB494" s="54"/>
      <c r="FC494" s="54"/>
      <c r="FD494" s="54"/>
      <c r="FE494" s="54"/>
      <c r="FF494" s="54"/>
      <c r="FG494" s="54"/>
      <c r="FH494" s="54"/>
      <c r="FI494" s="54"/>
      <c r="FJ494" s="54"/>
      <c r="FK494" s="54"/>
      <c r="FL494" s="54"/>
      <c r="FM494" s="54"/>
      <c r="FN494" s="54"/>
      <c r="FO494" s="54"/>
      <c r="FP494" s="54"/>
      <c r="FQ494" s="54"/>
      <c r="FR494" s="54"/>
      <c r="FS494" s="54"/>
      <c r="FT494" s="54"/>
      <c r="FU494" s="54"/>
      <c r="FV494" s="54"/>
      <c r="FW494" s="54"/>
      <c r="FX494" s="54"/>
      <c r="FY494" s="54"/>
      <c r="FZ494" s="54"/>
      <c r="GA494" s="54"/>
      <c r="GB494" s="54"/>
      <c r="GC494" s="54"/>
      <c r="GD494" s="54"/>
    </row>
    <row r="495" spans="1:186">
      <c r="A495" s="180"/>
      <c r="B495" s="180"/>
      <c r="C495" s="55"/>
      <c r="D495" s="56"/>
      <c r="E495" s="50"/>
      <c r="F495" s="50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  <c r="ES495" s="54"/>
      <c r="ET495" s="54"/>
      <c r="EU495" s="54"/>
      <c r="EV495" s="54"/>
      <c r="EW495" s="54"/>
      <c r="EX495" s="54"/>
      <c r="EY495" s="54"/>
      <c r="EZ495" s="54"/>
      <c r="FA495" s="54"/>
      <c r="FB495" s="54"/>
      <c r="FC495" s="54"/>
      <c r="FD495" s="54"/>
      <c r="FE495" s="54"/>
      <c r="FF495" s="54"/>
      <c r="FG495" s="54"/>
      <c r="FH495" s="54"/>
      <c r="FI495" s="54"/>
      <c r="FJ495" s="54"/>
      <c r="FK495" s="54"/>
      <c r="FL495" s="54"/>
      <c r="FM495" s="54"/>
      <c r="FN495" s="54"/>
      <c r="FO495" s="54"/>
      <c r="FP495" s="54"/>
      <c r="FQ495" s="54"/>
      <c r="FR495" s="54"/>
      <c r="FS495" s="54"/>
      <c r="FT495" s="54"/>
      <c r="FU495" s="54"/>
      <c r="FV495" s="54"/>
      <c r="FW495" s="54"/>
      <c r="FX495" s="54"/>
      <c r="FY495" s="54"/>
      <c r="FZ495" s="54"/>
      <c r="GA495" s="54"/>
      <c r="GB495" s="54"/>
      <c r="GC495" s="54"/>
      <c r="GD495" s="54"/>
    </row>
    <row r="496" spans="1:186">
      <c r="A496" s="180"/>
      <c r="B496" s="180"/>
      <c r="C496" s="55"/>
      <c r="D496" s="56"/>
      <c r="E496" s="50"/>
      <c r="F496" s="50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  <c r="ES496" s="54"/>
      <c r="ET496" s="54"/>
      <c r="EU496" s="54"/>
      <c r="EV496" s="54"/>
      <c r="EW496" s="54"/>
      <c r="EX496" s="54"/>
      <c r="EY496" s="54"/>
      <c r="EZ496" s="54"/>
      <c r="FA496" s="54"/>
      <c r="FB496" s="54"/>
      <c r="FC496" s="54"/>
      <c r="FD496" s="54"/>
      <c r="FE496" s="54"/>
      <c r="FF496" s="54"/>
      <c r="FG496" s="54"/>
      <c r="FH496" s="54"/>
      <c r="FI496" s="54"/>
      <c r="FJ496" s="54"/>
      <c r="FK496" s="54"/>
      <c r="FL496" s="54"/>
      <c r="FM496" s="54"/>
      <c r="FN496" s="54"/>
      <c r="FO496" s="54"/>
      <c r="FP496" s="54"/>
      <c r="FQ496" s="54"/>
      <c r="FR496" s="54"/>
      <c r="FS496" s="54"/>
      <c r="FT496" s="54"/>
      <c r="FU496" s="54"/>
      <c r="FV496" s="54"/>
      <c r="FW496" s="54"/>
      <c r="FX496" s="54"/>
      <c r="FY496" s="54"/>
      <c r="FZ496" s="54"/>
      <c r="GA496" s="54"/>
      <c r="GB496" s="54"/>
      <c r="GC496" s="54"/>
      <c r="GD496" s="54"/>
    </row>
    <row r="497" spans="1:186">
      <c r="A497" s="180"/>
      <c r="B497" s="180"/>
      <c r="C497" s="55"/>
      <c r="D497" s="56"/>
      <c r="E497" s="50"/>
      <c r="F497" s="50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  <c r="ES497" s="54"/>
      <c r="ET497" s="54"/>
      <c r="EU497" s="54"/>
      <c r="EV497" s="54"/>
      <c r="EW497" s="54"/>
      <c r="EX497" s="54"/>
      <c r="EY497" s="54"/>
      <c r="EZ497" s="54"/>
      <c r="FA497" s="54"/>
      <c r="FB497" s="54"/>
      <c r="FC497" s="54"/>
      <c r="FD497" s="54"/>
      <c r="FE497" s="54"/>
      <c r="FF497" s="54"/>
      <c r="FG497" s="54"/>
      <c r="FH497" s="54"/>
      <c r="FI497" s="54"/>
      <c r="FJ497" s="54"/>
      <c r="FK497" s="54"/>
      <c r="FL497" s="54"/>
      <c r="FM497" s="54"/>
      <c r="FN497" s="54"/>
      <c r="FO497" s="54"/>
      <c r="FP497" s="54"/>
      <c r="FQ497" s="54"/>
      <c r="FR497" s="54"/>
      <c r="FS497" s="54"/>
      <c r="FT497" s="54"/>
      <c r="FU497" s="54"/>
      <c r="FV497" s="54"/>
      <c r="FW497" s="54"/>
      <c r="FX497" s="54"/>
      <c r="FY497" s="54"/>
      <c r="FZ497" s="54"/>
      <c r="GA497" s="54"/>
      <c r="GB497" s="54"/>
      <c r="GC497" s="54"/>
      <c r="GD497" s="54"/>
    </row>
    <row r="498" spans="1:186">
      <c r="A498" s="180"/>
      <c r="B498" s="180"/>
      <c r="C498" s="55"/>
      <c r="D498" s="56"/>
      <c r="E498" s="50"/>
      <c r="F498" s="50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  <c r="ES498" s="54"/>
      <c r="ET498" s="54"/>
      <c r="EU498" s="54"/>
      <c r="EV498" s="54"/>
      <c r="EW498" s="54"/>
      <c r="EX498" s="54"/>
      <c r="EY498" s="54"/>
      <c r="EZ498" s="54"/>
      <c r="FA498" s="54"/>
      <c r="FB498" s="54"/>
      <c r="FC498" s="54"/>
      <c r="FD498" s="54"/>
      <c r="FE498" s="54"/>
      <c r="FF498" s="54"/>
      <c r="FG498" s="54"/>
      <c r="FH498" s="54"/>
      <c r="FI498" s="54"/>
      <c r="FJ498" s="54"/>
      <c r="FK498" s="54"/>
      <c r="FL498" s="54"/>
      <c r="FM498" s="54"/>
      <c r="FN498" s="54"/>
      <c r="FO498" s="54"/>
      <c r="FP498" s="54"/>
      <c r="FQ498" s="54"/>
      <c r="FR498" s="54"/>
      <c r="FS498" s="54"/>
      <c r="FT498" s="54"/>
      <c r="FU498" s="54"/>
      <c r="FV498" s="54"/>
      <c r="FW498" s="54"/>
      <c r="FX498" s="54"/>
      <c r="FY498" s="54"/>
      <c r="FZ498" s="54"/>
      <c r="GA498" s="54"/>
      <c r="GB498" s="54"/>
      <c r="GC498" s="54"/>
      <c r="GD498" s="54"/>
    </row>
    <row r="499" spans="1:186">
      <c r="A499" s="180"/>
      <c r="B499" s="180"/>
      <c r="C499" s="55"/>
      <c r="D499" s="56"/>
      <c r="E499" s="50"/>
      <c r="F499" s="50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  <c r="ES499" s="54"/>
      <c r="ET499" s="54"/>
      <c r="EU499" s="54"/>
      <c r="EV499" s="54"/>
      <c r="EW499" s="54"/>
      <c r="EX499" s="54"/>
      <c r="EY499" s="54"/>
      <c r="EZ499" s="54"/>
      <c r="FA499" s="54"/>
      <c r="FB499" s="54"/>
      <c r="FC499" s="54"/>
      <c r="FD499" s="54"/>
      <c r="FE499" s="54"/>
      <c r="FF499" s="54"/>
      <c r="FG499" s="54"/>
      <c r="FH499" s="54"/>
      <c r="FI499" s="54"/>
      <c r="FJ499" s="54"/>
      <c r="FK499" s="54"/>
      <c r="FL499" s="54"/>
      <c r="FM499" s="54"/>
      <c r="FN499" s="54"/>
      <c r="FO499" s="54"/>
      <c r="FP499" s="54"/>
      <c r="FQ499" s="54"/>
      <c r="FR499" s="54"/>
      <c r="FS499" s="54"/>
      <c r="FT499" s="54"/>
      <c r="FU499" s="54"/>
      <c r="FV499" s="54"/>
      <c r="FW499" s="54"/>
      <c r="FX499" s="54"/>
      <c r="FY499" s="54"/>
      <c r="FZ499" s="54"/>
      <c r="GA499" s="54"/>
      <c r="GB499" s="54"/>
      <c r="GC499" s="54"/>
      <c r="GD499" s="54"/>
    </row>
    <row r="500" spans="1:186">
      <c r="A500" s="180"/>
      <c r="B500" s="180"/>
      <c r="C500" s="55"/>
      <c r="D500" s="56"/>
      <c r="E500" s="50"/>
      <c r="F500" s="50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  <c r="ES500" s="54"/>
      <c r="ET500" s="54"/>
      <c r="EU500" s="54"/>
      <c r="EV500" s="54"/>
      <c r="EW500" s="54"/>
      <c r="EX500" s="54"/>
      <c r="EY500" s="54"/>
      <c r="EZ500" s="54"/>
      <c r="FA500" s="54"/>
      <c r="FB500" s="54"/>
      <c r="FC500" s="54"/>
      <c r="FD500" s="54"/>
      <c r="FE500" s="54"/>
      <c r="FF500" s="54"/>
      <c r="FG500" s="54"/>
      <c r="FH500" s="54"/>
      <c r="FI500" s="54"/>
      <c r="FJ500" s="54"/>
      <c r="FK500" s="54"/>
      <c r="FL500" s="54"/>
      <c r="FM500" s="54"/>
      <c r="FN500" s="54"/>
      <c r="FO500" s="54"/>
      <c r="FP500" s="54"/>
      <c r="FQ500" s="54"/>
      <c r="FR500" s="54"/>
      <c r="FS500" s="54"/>
      <c r="FT500" s="54"/>
      <c r="FU500" s="54"/>
      <c r="FV500" s="54"/>
      <c r="FW500" s="54"/>
      <c r="FX500" s="54"/>
      <c r="FY500" s="54"/>
      <c r="FZ500" s="54"/>
      <c r="GA500" s="54"/>
      <c r="GB500" s="54"/>
      <c r="GC500" s="54"/>
      <c r="GD500" s="54"/>
    </row>
    <row r="501" spans="1:186">
      <c r="A501" s="180"/>
      <c r="B501" s="180"/>
      <c r="C501" s="55"/>
      <c r="D501" s="56"/>
      <c r="E501" s="50"/>
      <c r="F501" s="50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  <c r="ES501" s="54"/>
      <c r="ET501" s="54"/>
      <c r="EU501" s="54"/>
      <c r="EV501" s="54"/>
      <c r="EW501" s="54"/>
      <c r="EX501" s="54"/>
      <c r="EY501" s="54"/>
      <c r="EZ501" s="54"/>
      <c r="FA501" s="54"/>
      <c r="FB501" s="54"/>
      <c r="FC501" s="54"/>
      <c r="FD501" s="54"/>
      <c r="FE501" s="54"/>
      <c r="FF501" s="54"/>
      <c r="FG501" s="54"/>
      <c r="FH501" s="54"/>
      <c r="FI501" s="54"/>
      <c r="FJ501" s="54"/>
      <c r="FK501" s="54"/>
      <c r="FL501" s="54"/>
      <c r="FM501" s="54"/>
      <c r="FN501" s="54"/>
      <c r="FO501" s="54"/>
      <c r="FP501" s="54"/>
      <c r="FQ501" s="54"/>
      <c r="FR501" s="54"/>
      <c r="FS501" s="54"/>
      <c r="FT501" s="54"/>
      <c r="FU501" s="54"/>
      <c r="FV501" s="54"/>
      <c r="FW501" s="54"/>
      <c r="FX501" s="54"/>
      <c r="FY501" s="54"/>
      <c r="FZ501" s="54"/>
      <c r="GA501" s="54"/>
      <c r="GB501" s="54"/>
      <c r="GC501" s="54"/>
      <c r="GD501" s="54"/>
    </row>
    <row r="502" spans="1:186">
      <c r="A502" s="180"/>
      <c r="B502" s="180"/>
      <c r="C502" s="55"/>
      <c r="D502" s="56"/>
      <c r="E502" s="50"/>
      <c r="F502" s="50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  <c r="ES502" s="54"/>
      <c r="ET502" s="54"/>
      <c r="EU502" s="54"/>
      <c r="EV502" s="54"/>
      <c r="EW502" s="54"/>
      <c r="EX502" s="54"/>
      <c r="EY502" s="54"/>
      <c r="EZ502" s="54"/>
      <c r="FA502" s="54"/>
      <c r="FB502" s="54"/>
      <c r="FC502" s="54"/>
      <c r="FD502" s="54"/>
      <c r="FE502" s="54"/>
      <c r="FF502" s="54"/>
      <c r="FG502" s="54"/>
      <c r="FH502" s="54"/>
      <c r="FI502" s="54"/>
      <c r="FJ502" s="54"/>
      <c r="FK502" s="54"/>
      <c r="FL502" s="54"/>
      <c r="FM502" s="54"/>
      <c r="FN502" s="54"/>
      <c r="FO502" s="54"/>
      <c r="FP502" s="54"/>
      <c r="FQ502" s="54"/>
      <c r="FR502" s="54"/>
      <c r="FS502" s="54"/>
      <c r="FT502" s="54"/>
      <c r="FU502" s="54"/>
      <c r="FV502" s="54"/>
      <c r="FW502" s="54"/>
      <c r="FX502" s="54"/>
      <c r="FY502" s="54"/>
      <c r="FZ502" s="54"/>
      <c r="GA502" s="54"/>
      <c r="GB502" s="54"/>
      <c r="GC502" s="54"/>
      <c r="GD502" s="54"/>
    </row>
    <row r="503" spans="1:186">
      <c r="A503" s="180"/>
      <c r="B503" s="180"/>
      <c r="C503" s="55"/>
      <c r="D503" s="56"/>
      <c r="E503" s="50"/>
      <c r="F503" s="50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  <c r="ES503" s="54"/>
      <c r="ET503" s="54"/>
      <c r="EU503" s="54"/>
      <c r="EV503" s="54"/>
      <c r="EW503" s="54"/>
      <c r="EX503" s="54"/>
      <c r="EY503" s="54"/>
      <c r="EZ503" s="54"/>
      <c r="FA503" s="54"/>
      <c r="FB503" s="54"/>
      <c r="FC503" s="54"/>
      <c r="FD503" s="54"/>
      <c r="FE503" s="54"/>
      <c r="FF503" s="54"/>
      <c r="FG503" s="54"/>
      <c r="FH503" s="54"/>
      <c r="FI503" s="54"/>
      <c r="FJ503" s="54"/>
      <c r="FK503" s="54"/>
      <c r="FL503" s="54"/>
      <c r="FM503" s="54"/>
      <c r="FN503" s="54"/>
      <c r="FO503" s="54"/>
      <c r="FP503" s="54"/>
      <c r="FQ503" s="54"/>
      <c r="FR503" s="54"/>
      <c r="FS503" s="54"/>
      <c r="FT503" s="54"/>
      <c r="FU503" s="54"/>
      <c r="FV503" s="54"/>
      <c r="FW503" s="54"/>
      <c r="FX503" s="54"/>
      <c r="FY503" s="54"/>
      <c r="FZ503" s="54"/>
      <c r="GA503" s="54"/>
      <c r="GB503" s="54"/>
      <c r="GC503" s="54"/>
      <c r="GD503" s="54"/>
    </row>
    <row r="504" spans="1:186">
      <c r="A504" s="180"/>
      <c r="B504" s="180"/>
      <c r="C504" s="55"/>
      <c r="D504" s="56"/>
      <c r="E504" s="50"/>
      <c r="F504" s="50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  <c r="ES504" s="54"/>
      <c r="ET504" s="54"/>
      <c r="EU504" s="54"/>
      <c r="EV504" s="54"/>
      <c r="EW504" s="54"/>
      <c r="EX504" s="54"/>
      <c r="EY504" s="54"/>
      <c r="EZ504" s="54"/>
      <c r="FA504" s="54"/>
      <c r="FB504" s="54"/>
      <c r="FC504" s="54"/>
      <c r="FD504" s="54"/>
      <c r="FE504" s="54"/>
      <c r="FF504" s="54"/>
      <c r="FG504" s="54"/>
      <c r="FH504" s="54"/>
      <c r="FI504" s="54"/>
      <c r="FJ504" s="54"/>
      <c r="FK504" s="54"/>
      <c r="FL504" s="54"/>
      <c r="FM504" s="54"/>
      <c r="FN504" s="54"/>
      <c r="FO504" s="54"/>
      <c r="FP504" s="54"/>
      <c r="FQ504" s="54"/>
      <c r="FR504" s="54"/>
      <c r="FS504" s="54"/>
      <c r="FT504" s="54"/>
      <c r="FU504" s="54"/>
      <c r="FV504" s="54"/>
      <c r="FW504" s="54"/>
      <c r="FX504" s="54"/>
      <c r="FY504" s="54"/>
      <c r="FZ504" s="54"/>
      <c r="GA504" s="54"/>
      <c r="GB504" s="54"/>
      <c r="GC504" s="54"/>
      <c r="GD504" s="54"/>
    </row>
    <row r="505" spans="1:186">
      <c r="A505" s="180"/>
      <c r="B505" s="180"/>
      <c r="C505" s="55"/>
      <c r="D505" s="56"/>
      <c r="E505" s="50"/>
      <c r="F505" s="50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  <c r="ES505" s="54"/>
      <c r="ET505" s="54"/>
      <c r="EU505" s="54"/>
      <c r="EV505" s="54"/>
      <c r="EW505" s="54"/>
      <c r="EX505" s="54"/>
      <c r="EY505" s="54"/>
      <c r="EZ505" s="54"/>
      <c r="FA505" s="54"/>
      <c r="FB505" s="54"/>
      <c r="FC505" s="54"/>
      <c r="FD505" s="54"/>
      <c r="FE505" s="54"/>
      <c r="FF505" s="54"/>
      <c r="FG505" s="54"/>
      <c r="FH505" s="54"/>
      <c r="FI505" s="54"/>
      <c r="FJ505" s="54"/>
      <c r="FK505" s="54"/>
      <c r="FL505" s="54"/>
      <c r="FM505" s="54"/>
      <c r="FN505" s="54"/>
      <c r="FO505" s="54"/>
      <c r="FP505" s="54"/>
      <c r="FQ505" s="54"/>
      <c r="FR505" s="54"/>
      <c r="FS505" s="54"/>
      <c r="FT505" s="54"/>
      <c r="FU505" s="54"/>
      <c r="FV505" s="54"/>
      <c r="FW505" s="54"/>
      <c r="FX505" s="54"/>
      <c r="FY505" s="54"/>
      <c r="FZ505" s="54"/>
      <c r="GA505" s="54"/>
      <c r="GB505" s="54"/>
      <c r="GC505" s="54"/>
      <c r="GD505" s="54"/>
    </row>
    <row r="506" spans="1:186">
      <c r="A506" s="180"/>
      <c r="B506" s="180"/>
      <c r="C506" s="55"/>
      <c r="D506" s="56"/>
      <c r="E506" s="50"/>
      <c r="F506" s="50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  <c r="DW506" s="54"/>
      <c r="DX506" s="54"/>
      <c r="DY506" s="54"/>
      <c r="DZ506" s="54"/>
      <c r="EA506" s="54"/>
      <c r="EB506" s="54"/>
      <c r="EC506" s="54"/>
      <c r="ED506" s="54"/>
      <c r="EE506" s="54"/>
      <c r="EF506" s="54"/>
      <c r="EG506" s="54"/>
      <c r="EH506" s="54"/>
      <c r="EI506" s="54"/>
      <c r="EJ506" s="54"/>
      <c r="EK506" s="54"/>
      <c r="EL506" s="54"/>
      <c r="EM506" s="54"/>
      <c r="EN506" s="54"/>
      <c r="EO506" s="54"/>
      <c r="EP506" s="54"/>
      <c r="EQ506" s="54"/>
      <c r="ER506" s="54"/>
      <c r="ES506" s="54"/>
      <c r="ET506" s="54"/>
      <c r="EU506" s="54"/>
      <c r="EV506" s="54"/>
      <c r="EW506" s="54"/>
      <c r="EX506" s="54"/>
      <c r="EY506" s="54"/>
      <c r="EZ506" s="54"/>
      <c r="FA506" s="54"/>
      <c r="FB506" s="54"/>
      <c r="FC506" s="54"/>
      <c r="FD506" s="54"/>
      <c r="FE506" s="54"/>
      <c r="FF506" s="54"/>
      <c r="FG506" s="54"/>
      <c r="FH506" s="54"/>
      <c r="FI506" s="54"/>
      <c r="FJ506" s="54"/>
      <c r="FK506" s="54"/>
      <c r="FL506" s="54"/>
      <c r="FM506" s="54"/>
      <c r="FN506" s="54"/>
      <c r="FO506" s="54"/>
      <c r="FP506" s="54"/>
      <c r="FQ506" s="54"/>
      <c r="FR506" s="54"/>
      <c r="FS506" s="54"/>
      <c r="FT506" s="54"/>
      <c r="FU506" s="54"/>
      <c r="FV506" s="54"/>
      <c r="FW506" s="54"/>
      <c r="FX506" s="54"/>
      <c r="FY506" s="54"/>
      <c r="FZ506" s="54"/>
      <c r="GA506" s="54"/>
      <c r="GB506" s="54"/>
      <c r="GC506" s="54"/>
      <c r="GD506" s="54"/>
    </row>
    <row r="507" spans="1:186">
      <c r="A507" s="180"/>
      <c r="B507" s="180"/>
      <c r="C507" s="55"/>
      <c r="D507" s="56"/>
      <c r="E507" s="50"/>
      <c r="F507" s="50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  <c r="DW507" s="54"/>
      <c r="DX507" s="54"/>
      <c r="DY507" s="54"/>
      <c r="DZ507" s="54"/>
      <c r="EA507" s="54"/>
      <c r="EB507" s="54"/>
      <c r="EC507" s="54"/>
      <c r="ED507" s="54"/>
      <c r="EE507" s="54"/>
      <c r="EF507" s="54"/>
      <c r="EG507" s="54"/>
      <c r="EH507" s="54"/>
      <c r="EI507" s="54"/>
      <c r="EJ507" s="54"/>
      <c r="EK507" s="54"/>
      <c r="EL507" s="54"/>
      <c r="EM507" s="54"/>
      <c r="EN507" s="54"/>
      <c r="EO507" s="54"/>
      <c r="EP507" s="54"/>
      <c r="EQ507" s="54"/>
      <c r="ER507" s="54"/>
      <c r="ES507" s="54"/>
      <c r="ET507" s="54"/>
      <c r="EU507" s="54"/>
      <c r="EV507" s="54"/>
      <c r="EW507" s="54"/>
      <c r="EX507" s="54"/>
      <c r="EY507" s="54"/>
      <c r="EZ507" s="54"/>
      <c r="FA507" s="54"/>
      <c r="FB507" s="54"/>
      <c r="FC507" s="54"/>
      <c r="FD507" s="54"/>
      <c r="FE507" s="54"/>
      <c r="FF507" s="54"/>
      <c r="FG507" s="54"/>
      <c r="FH507" s="54"/>
      <c r="FI507" s="54"/>
      <c r="FJ507" s="54"/>
      <c r="FK507" s="54"/>
      <c r="FL507" s="54"/>
      <c r="FM507" s="54"/>
      <c r="FN507" s="54"/>
      <c r="FO507" s="54"/>
      <c r="FP507" s="54"/>
      <c r="FQ507" s="54"/>
      <c r="FR507" s="54"/>
      <c r="FS507" s="54"/>
      <c r="FT507" s="54"/>
      <c r="FU507" s="54"/>
      <c r="FV507" s="54"/>
      <c r="FW507" s="54"/>
      <c r="FX507" s="54"/>
      <c r="FY507" s="54"/>
      <c r="FZ507" s="54"/>
      <c r="GA507" s="54"/>
      <c r="GB507" s="54"/>
      <c r="GC507" s="54"/>
      <c r="GD507" s="54"/>
    </row>
    <row r="508" spans="1:186">
      <c r="A508" s="180"/>
      <c r="B508" s="180"/>
      <c r="C508" s="55"/>
      <c r="D508" s="56"/>
      <c r="E508" s="50"/>
      <c r="F508" s="50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  <c r="DW508" s="54"/>
      <c r="DX508" s="54"/>
      <c r="DY508" s="54"/>
      <c r="DZ508" s="54"/>
      <c r="EA508" s="54"/>
      <c r="EB508" s="54"/>
      <c r="EC508" s="54"/>
      <c r="ED508" s="54"/>
      <c r="EE508" s="54"/>
      <c r="EF508" s="54"/>
      <c r="EG508" s="54"/>
      <c r="EH508" s="54"/>
      <c r="EI508" s="54"/>
      <c r="EJ508" s="54"/>
      <c r="EK508" s="54"/>
      <c r="EL508" s="54"/>
      <c r="EM508" s="54"/>
      <c r="EN508" s="54"/>
      <c r="EO508" s="54"/>
      <c r="EP508" s="54"/>
      <c r="EQ508" s="54"/>
      <c r="ER508" s="54"/>
      <c r="ES508" s="54"/>
      <c r="ET508" s="54"/>
      <c r="EU508" s="54"/>
      <c r="EV508" s="54"/>
      <c r="EW508" s="54"/>
      <c r="EX508" s="54"/>
      <c r="EY508" s="54"/>
      <c r="EZ508" s="54"/>
      <c r="FA508" s="54"/>
      <c r="FB508" s="54"/>
      <c r="FC508" s="54"/>
      <c r="FD508" s="54"/>
      <c r="FE508" s="54"/>
      <c r="FF508" s="54"/>
      <c r="FG508" s="54"/>
      <c r="FH508" s="54"/>
      <c r="FI508" s="54"/>
      <c r="FJ508" s="54"/>
      <c r="FK508" s="54"/>
      <c r="FL508" s="54"/>
      <c r="FM508" s="54"/>
      <c r="FN508" s="54"/>
      <c r="FO508" s="54"/>
      <c r="FP508" s="54"/>
      <c r="FQ508" s="54"/>
      <c r="FR508" s="54"/>
      <c r="FS508" s="54"/>
      <c r="FT508" s="54"/>
      <c r="FU508" s="54"/>
      <c r="FV508" s="54"/>
      <c r="FW508" s="54"/>
      <c r="FX508" s="54"/>
      <c r="FY508" s="54"/>
      <c r="FZ508" s="54"/>
      <c r="GA508" s="54"/>
      <c r="GB508" s="54"/>
      <c r="GC508" s="54"/>
      <c r="GD508" s="54"/>
    </row>
    <row r="509" spans="1:186">
      <c r="A509" s="180"/>
      <c r="B509" s="180"/>
      <c r="C509" s="55"/>
      <c r="D509" s="56"/>
      <c r="E509" s="50"/>
      <c r="F509" s="50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  <c r="ES509" s="54"/>
      <c r="ET509" s="54"/>
      <c r="EU509" s="54"/>
      <c r="EV509" s="54"/>
      <c r="EW509" s="54"/>
      <c r="EX509" s="54"/>
      <c r="EY509" s="54"/>
      <c r="EZ509" s="54"/>
      <c r="FA509" s="54"/>
      <c r="FB509" s="54"/>
      <c r="FC509" s="54"/>
      <c r="FD509" s="54"/>
      <c r="FE509" s="54"/>
      <c r="FF509" s="54"/>
      <c r="FG509" s="54"/>
      <c r="FH509" s="54"/>
      <c r="FI509" s="54"/>
      <c r="FJ509" s="54"/>
      <c r="FK509" s="54"/>
      <c r="FL509" s="54"/>
      <c r="FM509" s="54"/>
      <c r="FN509" s="54"/>
      <c r="FO509" s="54"/>
      <c r="FP509" s="54"/>
      <c r="FQ509" s="54"/>
      <c r="FR509" s="54"/>
      <c r="FS509" s="54"/>
      <c r="FT509" s="54"/>
      <c r="FU509" s="54"/>
      <c r="FV509" s="54"/>
      <c r="FW509" s="54"/>
      <c r="FX509" s="54"/>
      <c r="FY509" s="54"/>
      <c r="FZ509" s="54"/>
      <c r="GA509" s="54"/>
      <c r="GB509" s="54"/>
      <c r="GC509" s="54"/>
      <c r="GD509" s="54"/>
    </row>
    <row r="510" spans="1:186">
      <c r="A510" s="180"/>
      <c r="B510" s="180"/>
      <c r="C510" s="55"/>
      <c r="D510" s="56"/>
      <c r="E510" s="50"/>
      <c r="F510" s="50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  <c r="DW510" s="54"/>
      <c r="DX510" s="54"/>
      <c r="DY510" s="54"/>
      <c r="DZ510" s="54"/>
      <c r="EA510" s="54"/>
      <c r="EB510" s="54"/>
      <c r="EC510" s="54"/>
      <c r="ED510" s="54"/>
      <c r="EE510" s="54"/>
      <c r="EF510" s="54"/>
      <c r="EG510" s="54"/>
      <c r="EH510" s="54"/>
      <c r="EI510" s="54"/>
      <c r="EJ510" s="54"/>
      <c r="EK510" s="54"/>
      <c r="EL510" s="54"/>
      <c r="EM510" s="54"/>
      <c r="EN510" s="54"/>
      <c r="EO510" s="54"/>
      <c r="EP510" s="54"/>
      <c r="EQ510" s="54"/>
      <c r="ER510" s="54"/>
      <c r="ES510" s="54"/>
      <c r="ET510" s="54"/>
      <c r="EU510" s="54"/>
      <c r="EV510" s="54"/>
      <c r="EW510" s="54"/>
      <c r="EX510" s="54"/>
      <c r="EY510" s="54"/>
      <c r="EZ510" s="54"/>
      <c r="FA510" s="54"/>
      <c r="FB510" s="54"/>
      <c r="FC510" s="54"/>
      <c r="FD510" s="54"/>
      <c r="FE510" s="54"/>
      <c r="FF510" s="54"/>
      <c r="FG510" s="54"/>
      <c r="FH510" s="54"/>
      <c r="FI510" s="54"/>
      <c r="FJ510" s="54"/>
      <c r="FK510" s="54"/>
      <c r="FL510" s="54"/>
      <c r="FM510" s="54"/>
      <c r="FN510" s="54"/>
      <c r="FO510" s="54"/>
      <c r="FP510" s="54"/>
      <c r="FQ510" s="54"/>
      <c r="FR510" s="54"/>
      <c r="FS510" s="54"/>
      <c r="FT510" s="54"/>
      <c r="FU510" s="54"/>
      <c r="FV510" s="54"/>
      <c r="FW510" s="54"/>
      <c r="FX510" s="54"/>
      <c r="FY510" s="54"/>
      <c r="FZ510" s="54"/>
      <c r="GA510" s="54"/>
      <c r="GB510" s="54"/>
      <c r="GC510" s="54"/>
      <c r="GD510" s="54"/>
    </row>
    <row r="511" spans="1:186">
      <c r="A511" s="180"/>
      <c r="B511" s="180"/>
      <c r="C511" s="55"/>
      <c r="D511" s="56"/>
      <c r="E511" s="50"/>
      <c r="F511" s="50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  <c r="DW511" s="54"/>
      <c r="DX511" s="54"/>
      <c r="DY511" s="54"/>
      <c r="DZ511" s="54"/>
      <c r="EA511" s="54"/>
      <c r="EB511" s="54"/>
      <c r="EC511" s="54"/>
      <c r="ED511" s="54"/>
      <c r="EE511" s="54"/>
      <c r="EF511" s="54"/>
      <c r="EG511" s="54"/>
      <c r="EH511" s="54"/>
      <c r="EI511" s="54"/>
      <c r="EJ511" s="54"/>
      <c r="EK511" s="54"/>
      <c r="EL511" s="54"/>
      <c r="EM511" s="54"/>
      <c r="EN511" s="54"/>
      <c r="EO511" s="54"/>
      <c r="EP511" s="54"/>
      <c r="EQ511" s="54"/>
      <c r="ER511" s="54"/>
      <c r="ES511" s="54"/>
      <c r="ET511" s="54"/>
      <c r="EU511" s="54"/>
      <c r="EV511" s="54"/>
      <c r="EW511" s="54"/>
      <c r="EX511" s="54"/>
      <c r="EY511" s="54"/>
      <c r="EZ511" s="54"/>
      <c r="FA511" s="54"/>
      <c r="FB511" s="54"/>
      <c r="FC511" s="54"/>
      <c r="FD511" s="54"/>
      <c r="FE511" s="54"/>
      <c r="FF511" s="54"/>
      <c r="FG511" s="54"/>
      <c r="FH511" s="54"/>
      <c r="FI511" s="54"/>
      <c r="FJ511" s="54"/>
      <c r="FK511" s="54"/>
      <c r="FL511" s="54"/>
      <c r="FM511" s="54"/>
      <c r="FN511" s="54"/>
      <c r="FO511" s="54"/>
      <c r="FP511" s="54"/>
      <c r="FQ511" s="54"/>
      <c r="FR511" s="54"/>
      <c r="FS511" s="54"/>
      <c r="FT511" s="54"/>
      <c r="FU511" s="54"/>
      <c r="FV511" s="54"/>
      <c r="FW511" s="54"/>
      <c r="FX511" s="54"/>
      <c r="FY511" s="54"/>
      <c r="FZ511" s="54"/>
      <c r="GA511" s="54"/>
      <c r="GB511" s="54"/>
      <c r="GC511" s="54"/>
      <c r="GD511" s="54"/>
    </row>
    <row r="512" spans="1:186">
      <c r="A512" s="180"/>
      <c r="B512" s="180"/>
      <c r="C512" s="55"/>
      <c r="D512" s="56"/>
      <c r="E512" s="50"/>
      <c r="F512" s="50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  <c r="DW512" s="54"/>
      <c r="DX512" s="54"/>
      <c r="DY512" s="54"/>
      <c r="DZ512" s="54"/>
      <c r="EA512" s="54"/>
      <c r="EB512" s="54"/>
      <c r="EC512" s="54"/>
      <c r="ED512" s="54"/>
      <c r="EE512" s="54"/>
      <c r="EF512" s="54"/>
      <c r="EG512" s="54"/>
      <c r="EH512" s="54"/>
      <c r="EI512" s="54"/>
      <c r="EJ512" s="54"/>
      <c r="EK512" s="54"/>
      <c r="EL512" s="54"/>
      <c r="EM512" s="54"/>
      <c r="EN512" s="54"/>
      <c r="EO512" s="54"/>
      <c r="EP512" s="54"/>
      <c r="EQ512" s="54"/>
      <c r="ER512" s="54"/>
      <c r="ES512" s="54"/>
      <c r="ET512" s="54"/>
      <c r="EU512" s="54"/>
      <c r="EV512" s="54"/>
      <c r="EW512" s="54"/>
      <c r="EX512" s="54"/>
      <c r="EY512" s="54"/>
      <c r="EZ512" s="54"/>
      <c r="FA512" s="54"/>
      <c r="FB512" s="54"/>
      <c r="FC512" s="54"/>
      <c r="FD512" s="54"/>
      <c r="FE512" s="54"/>
      <c r="FF512" s="54"/>
      <c r="FG512" s="54"/>
      <c r="FH512" s="54"/>
      <c r="FI512" s="54"/>
      <c r="FJ512" s="54"/>
      <c r="FK512" s="54"/>
      <c r="FL512" s="54"/>
      <c r="FM512" s="54"/>
      <c r="FN512" s="54"/>
      <c r="FO512" s="54"/>
      <c r="FP512" s="54"/>
      <c r="FQ512" s="54"/>
      <c r="FR512" s="54"/>
      <c r="FS512" s="54"/>
      <c r="FT512" s="54"/>
      <c r="FU512" s="54"/>
      <c r="FV512" s="54"/>
      <c r="FW512" s="54"/>
      <c r="FX512" s="54"/>
      <c r="FY512" s="54"/>
      <c r="FZ512" s="54"/>
      <c r="GA512" s="54"/>
      <c r="GB512" s="54"/>
      <c r="GC512" s="54"/>
      <c r="GD512" s="54"/>
    </row>
    <row r="513" spans="1:186">
      <c r="A513" s="180"/>
      <c r="B513" s="180"/>
      <c r="C513" s="55"/>
      <c r="D513" s="56"/>
      <c r="E513" s="50"/>
      <c r="F513" s="50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  <c r="DW513" s="54"/>
      <c r="DX513" s="54"/>
      <c r="DY513" s="54"/>
      <c r="DZ513" s="54"/>
      <c r="EA513" s="54"/>
      <c r="EB513" s="54"/>
      <c r="EC513" s="54"/>
      <c r="ED513" s="54"/>
      <c r="EE513" s="54"/>
      <c r="EF513" s="54"/>
      <c r="EG513" s="54"/>
      <c r="EH513" s="54"/>
      <c r="EI513" s="54"/>
      <c r="EJ513" s="54"/>
      <c r="EK513" s="54"/>
      <c r="EL513" s="54"/>
      <c r="EM513" s="54"/>
      <c r="EN513" s="54"/>
      <c r="EO513" s="54"/>
      <c r="EP513" s="54"/>
      <c r="EQ513" s="54"/>
      <c r="ER513" s="54"/>
      <c r="ES513" s="54"/>
      <c r="ET513" s="54"/>
      <c r="EU513" s="54"/>
      <c r="EV513" s="54"/>
      <c r="EW513" s="54"/>
      <c r="EX513" s="54"/>
      <c r="EY513" s="54"/>
      <c r="EZ513" s="54"/>
      <c r="FA513" s="54"/>
      <c r="FB513" s="54"/>
      <c r="FC513" s="54"/>
      <c r="FD513" s="54"/>
      <c r="FE513" s="54"/>
      <c r="FF513" s="54"/>
      <c r="FG513" s="54"/>
      <c r="FH513" s="54"/>
      <c r="FI513" s="54"/>
      <c r="FJ513" s="54"/>
      <c r="FK513" s="54"/>
      <c r="FL513" s="54"/>
      <c r="FM513" s="54"/>
      <c r="FN513" s="54"/>
      <c r="FO513" s="54"/>
      <c r="FP513" s="54"/>
      <c r="FQ513" s="54"/>
      <c r="FR513" s="54"/>
      <c r="FS513" s="54"/>
      <c r="FT513" s="54"/>
      <c r="FU513" s="54"/>
      <c r="FV513" s="54"/>
      <c r="FW513" s="54"/>
      <c r="FX513" s="54"/>
      <c r="FY513" s="54"/>
      <c r="FZ513" s="54"/>
      <c r="GA513" s="54"/>
      <c r="GB513" s="54"/>
      <c r="GC513" s="54"/>
      <c r="GD513" s="54"/>
    </row>
    <row r="514" spans="1:186">
      <c r="A514" s="180"/>
      <c r="B514" s="180"/>
      <c r="C514" s="55"/>
      <c r="D514" s="56"/>
      <c r="E514" s="50"/>
      <c r="F514" s="50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  <c r="DW514" s="54"/>
      <c r="DX514" s="54"/>
      <c r="DY514" s="54"/>
      <c r="DZ514" s="54"/>
      <c r="EA514" s="54"/>
      <c r="EB514" s="54"/>
      <c r="EC514" s="54"/>
      <c r="ED514" s="54"/>
      <c r="EE514" s="54"/>
      <c r="EF514" s="54"/>
      <c r="EG514" s="54"/>
      <c r="EH514" s="54"/>
      <c r="EI514" s="54"/>
      <c r="EJ514" s="54"/>
      <c r="EK514" s="54"/>
      <c r="EL514" s="54"/>
      <c r="EM514" s="54"/>
      <c r="EN514" s="54"/>
      <c r="EO514" s="54"/>
      <c r="EP514" s="54"/>
      <c r="EQ514" s="54"/>
      <c r="ER514" s="54"/>
      <c r="ES514" s="54"/>
      <c r="ET514" s="54"/>
      <c r="EU514" s="54"/>
      <c r="EV514" s="54"/>
      <c r="EW514" s="54"/>
      <c r="EX514" s="54"/>
      <c r="EY514" s="54"/>
      <c r="EZ514" s="54"/>
      <c r="FA514" s="54"/>
      <c r="FB514" s="54"/>
      <c r="FC514" s="54"/>
      <c r="FD514" s="54"/>
      <c r="FE514" s="54"/>
      <c r="FF514" s="54"/>
      <c r="FG514" s="54"/>
      <c r="FH514" s="54"/>
      <c r="FI514" s="54"/>
      <c r="FJ514" s="54"/>
      <c r="FK514" s="54"/>
      <c r="FL514" s="54"/>
      <c r="FM514" s="54"/>
      <c r="FN514" s="54"/>
      <c r="FO514" s="54"/>
      <c r="FP514" s="54"/>
      <c r="FQ514" s="54"/>
      <c r="FR514" s="54"/>
      <c r="FS514" s="54"/>
      <c r="FT514" s="54"/>
      <c r="FU514" s="54"/>
      <c r="FV514" s="54"/>
      <c r="FW514" s="54"/>
      <c r="FX514" s="54"/>
      <c r="FY514" s="54"/>
      <c r="FZ514" s="54"/>
      <c r="GA514" s="54"/>
      <c r="GB514" s="54"/>
      <c r="GC514" s="54"/>
      <c r="GD514" s="54"/>
    </row>
    <row r="515" spans="1:186">
      <c r="A515" s="180"/>
      <c r="B515" s="180"/>
      <c r="C515" s="55"/>
      <c r="D515" s="56"/>
      <c r="E515" s="50"/>
      <c r="F515" s="50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  <c r="ES515" s="54"/>
      <c r="ET515" s="54"/>
      <c r="EU515" s="54"/>
      <c r="EV515" s="54"/>
      <c r="EW515" s="54"/>
      <c r="EX515" s="54"/>
      <c r="EY515" s="54"/>
      <c r="EZ515" s="54"/>
      <c r="FA515" s="54"/>
      <c r="FB515" s="54"/>
      <c r="FC515" s="54"/>
      <c r="FD515" s="54"/>
      <c r="FE515" s="54"/>
      <c r="FF515" s="54"/>
      <c r="FG515" s="54"/>
      <c r="FH515" s="54"/>
      <c r="FI515" s="54"/>
      <c r="FJ515" s="54"/>
      <c r="FK515" s="54"/>
      <c r="FL515" s="54"/>
      <c r="FM515" s="54"/>
      <c r="FN515" s="54"/>
      <c r="FO515" s="54"/>
      <c r="FP515" s="54"/>
      <c r="FQ515" s="54"/>
      <c r="FR515" s="54"/>
      <c r="FS515" s="54"/>
      <c r="FT515" s="54"/>
      <c r="FU515" s="54"/>
      <c r="FV515" s="54"/>
      <c r="FW515" s="54"/>
      <c r="FX515" s="54"/>
      <c r="FY515" s="54"/>
      <c r="FZ515" s="54"/>
      <c r="GA515" s="54"/>
      <c r="GB515" s="54"/>
      <c r="GC515" s="54"/>
      <c r="GD515" s="54"/>
    </row>
    <row r="516" spans="1:186">
      <c r="A516" s="180"/>
      <c r="B516" s="180"/>
      <c r="C516" s="55"/>
      <c r="D516" s="56"/>
      <c r="E516" s="50"/>
      <c r="F516" s="50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  <c r="ES516" s="54"/>
      <c r="ET516" s="54"/>
      <c r="EU516" s="54"/>
      <c r="EV516" s="54"/>
      <c r="EW516" s="54"/>
      <c r="EX516" s="54"/>
      <c r="EY516" s="54"/>
      <c r="EZ516" s="54"/>
      <c r="FA516" s="54"/>
      <c r="FB516" s="54"/>
      <c r="FC516" s="54"/>
      <c r="FD516" s="54"/>
      <c r="FE516" s="54"/>
      <c r="FF516" s="54"/>
      <c r="FG516" s="54"/>
      <c r="FH516" s="54"/>
      <c r="FI516" s="54"/>
      <c r="FJ516" s="54"/>
      <c r="FK516" s="54"/>
      <c r="FL516" s="54"/>
      <c r="FM516" s="54"/>
      <c r="FN516" s="54"/>
      <c r="FO516" s="54"/>
      <c r="FP516" s="54"/>
      <c r="FQ516" s="54"/>
      <c r="FR516" s="54"/>
      <c r="FS516" s="54"/>
      <c r="FT516" s="54"/>
      <c r="FU516" s="54"/>
      <c r="FV516" s="54"/>
      <c r="FW516" s="54"/>
      <c r="FX516" s="54"/>
      <c r="FY516" s="54"/>
      <c r="FZ516" s="54"/>
      <c r="GA516" s="54"/>
      <c r="GB516" s="54"/>
      <c r="GC516" s="54"/>
      <c r="GD516" s="54"/>
    </row>
    <row r="517" spans="1:186">
      <c r="A517" s="180"/>
      <c r="B517" s="180"/>
      <c r="C517" s="55"/>
      <c r="D517" s="56"/>
      <c r="E517" s="50"/>
      <c r="F517" s="50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  <c r="ES517" s="54"/>
      <c r="ET517" s="54"/>
      <c r="EU517" s="54"/>
      <c r="EV517" s="54"/>
      <c r="EW517" s="54"/>
      <c r="EX517" s="54"/>
      <c r="EY517" s="54"/>
      <c r="EZ517" s="54"/>
      <c r="FA517" s="54"/>
      <c r="FB517" s="54"/>
      <c r="FC517" s="54"/>
      <c r="FD517" s="54"/>
      <c r="FE517" s="54"/>
      <c r="FF517" s="54"/>
      <c r="FG517" s="54"/>
      <c r="FH517" s="54"/>
      <c r="FI517" s="54"/>
      <c r="FJ517" s="54"/>
      <c r="FK517" s="54"/>
      <c r="FL517" s="54"/>
      <c r="FM517" s="54"/>
      <c r="FN517" s="54"/>
      <c r="FO517" s="54"/>
      <c r="FP517" s="54"/>
      <c r="FQ517" s="54"/>
      <c r="FR517" s="54"/>
      <c r="FS517" s="54"/>
      <c r="FT517" s="54"/>
      <c r="FU517" s="54"/>
      <c r="FV517" s="54"/>
      <c r="FW517" s="54"/>
      <c r="FX517" s="54"/>
      <c r="FY517" s="54"/>
      <c r="FZ517" s="54"/>
      <c r="GA517" s="54"/>
      <c r="GB517" s="54"/>
      <c r="GC517" s="54"/>
      <c r="GD517" s="54"/>
    </row>
    <row r="518" spans="1:186">
      <c r="A518" s="180"/>
      <c r="B518" s="180"/>
      <c r="C518" s="55"/>
      <c r="D518" s="56"/>
      <c r="E518" s="50"/>
      <c r="F518" s="50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  <c r="ES518" s="54"/>
      <c r="ET518" s="54"/>
      <c r="EU518" s="54"/>
      <c r="EV518" s="54"/>
      <c r="EW518" s="54"/>
      <c r="EX518" s="54"/>
      <c r="EY518" s="54"/>
      <c r="EZ518" s="54"/>
      <c r="FA518" s="54"/>
      <c r="FB518" s="54"/>
      <c r="FC518" s="54"/>
      <c r="FD518" s="54"/>
      <c r="FE518" s="54"/>
      <c r="FF518" s="54"/>
      <c r="FG518" s="54"/>
      <c r="FH518" s="54"/>
      <c r="FI518" s="54"/>
      <c r="FJ518" s="54"/>
      <c r="FK518" s="54"/>
      <c r="FL518" s="54"/>
      <c r="FM518" s="54"/>
      <c r="FN518" s="54"/>
      <c r="FO518" s="54"/>
      <c r="FP518" s="54"/>
      <c r="FQ518" s="54"/>
      <c r="FR518" s="54"/>
      <c r="FS518" s="54"/>
      <c r="FT518" s="54"/>
      <c r="FU518" s="54"/>
      <c r="FV518" s="54"/>
      <c r="FW518" s="54"/>
      <c r="FX518" s="54"/>
      <c r="FY518" s="54"/>
      <c r="FZ518" s="54"/>
      <c r="GA518" s="54"/>
      <c r="GB518" s="54"/>
      <c r="GC518" s="54"/>
      <c r="GD518" s="54"/>
    </row>
    <row r="519" spans="1:186">
      <c r="A519" s="180"/>
      <c r="B519" s="180"/>
      <c r="C519" s="55"/>
      <c r="D519" s="56"/>
      <c r="E519" s="50"/>
      <c r="F519" s="50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  <c r="ES519" s="54"/>
      <c r="ET519" s="54"/>
      <c r="EU519" s="54"/>
      <c r="EV519" s="54"/>
      <c r="EW519" s="54"/>
      <c r="EX519" s="54"/>
      <c r="EY519" s="54"/>
      <c r="EZ519" s="54"/>
      <c r="FA519" s="54"/>
      <c r="FB519" s="54"/>
      <c r="FC519" s="54"/>
      <c r="FD519" s="54"/>
      <c r="FE519" s="54"/>
      <c r="FF519" s="54"/>
      <c r="FG519" s="54"/>
      <c r="FH519" s="54"/>
      <c r="FI519" s="54"/>
      <c r="FJ519" s="54"/>
      <c r="FK519" s="54"/>
      <c r="FL519" s="54"/>
      <c r="FM519" s="54"/>
      <c r="FN519" s="54"/>
      <c r="FO519" s="54"/>
      <c r="FP519" s="54"/>
      <c r="FQ519" s="54"/>
      <c r="FR519" s="54"/>
      <c r="FS519" s="54"/>
      <c r="FT519" s="54"/>
      <c r="FU519" s="54"/>
      <c r="FV519" s="54"/>
      <c r="FW519" s="54"/>
      <c r="FX519" s="54"/>
      <c r="FY519" s="54"/>
      <c r="FZ519" s="54"/>
      <c r="GA519" s="54"/>
      <c r="GB519" s="54"/>
      <c r="GC519" s="54"/>
      <c r="GD519" s="54"/>
    </row>
    <row r="520" spans="1:186">
      <c r="A520" s="180"/>
      <c r="B520" s="180"/>
      <c r="C520" s="55"/>
      <c r="D520" s="56"/>
      <c r="E520" s="50"/>
      <c r="F520" s="50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  <c r="DW520" s="54"/>
      <c r="DX520" s="54"/>
      <c r="DY520" s="54"/>
      <c r="DZ520" s="54"/>
      <c r="EA520" s="54"/>
      <c r="EB520" s="54"/>
      <c r="EC520" s="54"/>
      <c r="ED520" s="54"/>
      <c r="EE520" s="54"/>
      <c r="EF520" s="54"/>
      <c r="EG520" s="54"/>
      <c r="EH520" s="54"/>
      <c r="EI520" s="54"/>
      <c r="EJ520" s="54"/>
      <c r="EK520" s="54"/>
      <c r="EL520" s="54"/>
      <c r="EM520" s="54"/>
      <c r="EN520" s="54"/>
      <c r="EO520" s="54"/>
      <c r="EP520" s="54"/>
      <c r="EQ520" s="54"/>
      <c r="ER520" s="54"/>
      <c r="ES520" s="54"/>
      <c r="ET520" s="54"/>
      <c r="EU520" s="54"/>
      <c r="EV520" s="54"/>
      <c r="EW520" s="54"/>
      <c r="EX520" s="54"/>
      <c r="EY520" s="54"/>
      <c r="EZ520" s="54"/>
      <c r="FA520" s="54"/>
      <c r="FB520" s="54"/>
      <c r="FC520" s="54"/>
      <c r="FD520" s="54"/>
      <c r="FE520" s="54"/>
      <c r="FF520" s="54"/>
      <c r="FG520" s="54"/>
      <c r="FH520" s="54"/>
      <c r="FI520" s="54"/>
      <c r="FJ520" s="54"/>
      <c r="FK520" s="54"/>
      <c r="FL520" s="54"/>
      <c r="FM520" s="54"/>
      <c r="FN520" s="54"/>
      <c r="FO520" s="54"/>
      <c r="FP520" s="54"/>
      <c r="FQ520" s="54"/>
      <c r="FR520" s="54"/>
      <c r="FS520" s="54"/>
      <c r="FT520" s="54"/>
      <c r="FU520" s="54"/>
      <c r="FV520" s="54"/>
      <c r="FW520" s="54"/>
      <c r="FX520" s="54"/>
      <c r="FY520" s="54"/>
      <c r="FZ520" s="54"/>
      <c r="GA520" s="54"/>
      <c r="GB520" s="54"/>
      <c r="GC520" s="54"/>
      <c r="GD520" s="54"/>
    </row>
    <row r="521" spans="1:186">
      <c r="A521" s="180"/>
      <c r="B521" s="180"/>
      <c r="C521" s="55"/>
      <c r="D521" s="56"/>
      <c r="E521" s="50"/>
      <c r="F521" s="50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  <c r="DW521" s="54"/>
      <c r="DX521" s="54"/>
      <c r="DY521" s="54"/>
      <c r="DZ521" s="54"/>
      <c r="EA521" s="54"/>
      <c r="EB521" s="54"/>
      <c r="EC521" s="54"/>
      <c r="ED521" s="54"/>
      <c r="EE521" s="54"/>
      <c r="EF521" s="54"/>
      <c r="EG521" s="54"/>
      <c r="EH521" s="54"/>
      <c r="EI521" s="54"/>
      <c r="EJ521" s="54"/>
      <c r="EK521" s="54"/>
      <c r="EL521" s="54"/>
      <c r="EM521" s="54"/>
      <c r="EN521" s="54"/>
      <c r="EO521" s="54"/>
      <c r="EP521" s="54"/>
      <c r="EQ521" s="54"/>
      <c r="ER521" s="54"/>
      <c r="ES521" s="54"/>
      <c r="ET521" s="54"/>
      <c r="EU521" s="54"/>
      <c r="EV521" s="54"/>
      <c r="EW521" s="54"/>
      <c r="EX521" s="54"/>
      <c r="EY521" s="54"/>
      <c r="EZ521" s="54"/>
      <c r="FA521" s="54"/>
      <c r="FB521" s="54"/>
      <c r="FC521" s="54"/>
      <c r="FD521" s="54"/>
      <c r="FE521" s="54"/>
      <c r="FF521" s="54"/>
      <c r="FG521" s="54"/>
      <c r="FH521" s="54"/>
      <c r="FI521" s="54"/>
      <c r="FJ521" s="54"/>
      <c r="FK521" s="54"/>
      <c r="FL521" s="54"/>
      <c r="FM521" s="54"/>
      <c r="FN521" s="54"/>
      <c r="FO521" s="54"/>
      <c r="FP521" s="54"/>
      <c r="FQ521" s="54"/>
      <c r="FR521" s="54"/>
      <c r="FS521" s="54"/>
      <c r="FT521" s="54"/>
      <c r="FU521" s="54"/>
      <c r="FV521" s="54"/>
      <c r="FW521" s="54"/>
      <c r="FX521" s="54"/>
      <c r="FY521" s="54"/>
      <c r="FZ521" s="54"/>
      <c r="GA521" s="54"/>
      <c r="GB521" s="54"/>
      <c r="GC521" s="54"/>
      <c r="GD521" s="54"/>
    </row>
    <row r="522" spans="1:186">
      <c r="A522" s="180"/>
      <c r="B522" s="180"/>
      <c r="C522" s="55"/>
      <c r="D522" s="56"/>
      <c r="E522" s="50"/>
      <c r="F522" s="50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  <c r="ES522" s="54"/>
      <c r="ET522" s="54"/>
      <c r="EU522" s="54"/>
      <c r="EV522" s="54"/>
      <c r="EW522" s="54"/>
      <c r="EX522" s="54"/>
      <c r="EY522" s="54"/>
      <c r="EZ522" s="54"/>
      <c r="FA522" s="54"/>
      <c r="FB522" s="54"/>
      <c r="FC522" s="54"/>
      <c r="FD522" s="54"/>
      <c r="FE522" s="54"/>
      <c r="FF522" s="54"/>
      <c r="FG522" s="54"/>
      <c r="FH522" s="54"/>
      <c r="FI522" s="54"/>
      <c r="FJ522" s="54"/>
      <c r="FK522" s="54"/>
      <c r="FL522" s="54"/>
      <c r="FM522" s="54"/>
      <c r="FN522" s="54"/>
      <c r="FO522" s="54"/>
      <c r="FP522" s="54"/>
      <c r="FQ522" s="54"/>
      <c r="FR522" s="54"/>
      <c r="FS522" s="54"/>
      <c r="FT522" s="54"/>
      <c r="FU522" s="54"/>
      <c r="FV522" s="54"/>
      <c r="FW522" s="54"/>
      <c r="FX522" s="54"/>
      <c r="FY522" s="54"/>
      <c r="FZ522" s="54"/>
      <c r="GA522" s="54"/>
      <c r="GB522" s="54"/>
      <c r="GC522" s="54"/>
      <c r="GD522" s="54"/>
    </row>
    <row r="523" spans="1:186">
      <c r="A523" s="180"/>
      <c r="B523" s="180"/>
      <c r="C523" s="55"/>
      <c r="D523" s="56"/>
      <c r="E523" s="50"/>
      <c r="F523" s="50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  <c r="DW523" s="54"/>
      <c r="DX523" s="54"/>
      <c r="DY523" s="54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  <c r="ES523" s="54"/>
      <c r="ET523" s="54"/>
      <c r="EU523" s="54"/>
      <c r="EV523" s="54"/>
      <c r="EW523" s="54"/>
      <c r="EX523" s="54"/>
      <c r="EY523" s="54"/>
      <c r="EZ523" s="54"/>
      <c r="FA523" s="54"/>
      <c r="FB523" s="54"/>
      <c r="FC523" s="54"/>
      <c r="FD523" s="54"/>
      <c r="FE523" s="54"/>
      <c r="FF523" s="54"/>
      <c r="FG523" s="54"/>
      <c r="FH523" s="54"/>
      <c r="FI523" s="54"/>
      <c r="FJ523" s="54"/>
      <c r="FK523" s="54"/>
      <c r="FL523" s="54"/>
      <c r="FM523" s="54"/>
      <c r="FN523" s="54"/>
      <c r="FO523" s="54"/>
      <c r="FP523" s="54"/>
      <c r="FQ523" s="54"/>
      <c r="FR523" s="54"/>
      <c r="FS523" s="54"/>
      <c r="FT523" s="54"/>
      <c r="FU523" s="54"/>
      <c r="FV523" s="54"/>
      <c r="FW523" s="54"/>
      <c r="FX523" s="54"/>
      <c r="FY523" s="54"/>
      <c r="FZ523" s="54"/>
      <c r="GA523" s="54"/>
      <c r="GB523" s="54"/>
      <c r="GC523" s="54"/>
      <c r="GD523" s="54"/>
    </row>
    <row r="524" spans="1:186">
      <c r="A524" s="180"/>
      <c r="B524" s="180"/>
      <c r="C524" s="55"/>
      <c r="D524" s="56"/>
      <c r="E524" s="50"/>
      <c r="F524" s="50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  <c r="DW524" s="54"/>
      <c r="DX524" s="54"/>
      <c r="DY524" s="54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  <c r="ES524" s="54"/>
      <c r="ET524" s="54"/>
      <c r="EU524" s="54"/>
      <c r="EV524" s="54"/>
      <c r="EW524" s="54"/>
      <c r="EX524" s="54"/>
      <c r="EY524" s="54"/>
      <c r="EZ524" s="54"/>
      <c r="FA524" s="54"/>
      <c r="FB524" s="54"/>
      <c r="FC524" s="54"/>
      <c r="FD524" s="54"/>
      <c r="FE524" s="54"/>
      <c r="FF524" s="54"/>
      <c r="FG524" s="54"/>
      <c r="FH524" s="54"/>
      <c r="FI524" s="54"/>
      <c r="FJ524" s="54"/>
      <c r="FK524" s="54"/>
      <c r="FL524" s="54"/>
      <c r="FM524" s="54"/>
      <c r="FN524" s="54"/>
      <c r="FO524" s="54"/>
      <c r="FP524" s="54"/>
      <c r="FQ524" s="54"/>
      <c r="FR524" s="54"/>
      <c r="FS524" s="54"/>
      <c r="FT524" s="54"/>
      <c r="FU524" s="54"/>
      <c r="FV524" s="54"/>
      <c r="FW524" s="54"/>
      <c r="FX524" s="54"/>
      <c r="FY524" s="54"/>
      <c r="FZ524" s="54"/>
      <c r="GA524" s="54"/>
      <c r="GB524" s="54"/>
      <c r="GC524" s="54"/>
      <c r="GD524" s="54"/>
    </row>
    <row r="525" spans="1:186">
      <c r="A525" s="180"/>
      <c r="B525" s="180"/>
      <c r="C525" s="55"/>
      <c r="D525" s="56"/>
      <c r="E525" s="50"/>
      <c r="F525" s="50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  <c r="DW525" s="54"/>
      <c r="DX525" s="54"/>
      <c r="DY525" s="54"/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  <c r="ES525" s="54"/>
      <c r="ET525" s="54"/>
      <c r="EU525" s="54"/>
      <c r="EV525" s="54"/>
      <c r="EW525" s="54"/>
      <c r="EX525" s="54"/>
      <c r="EY525" s="54"/>
      <c r="EZ525" s="54"/>
      <c r="FA525" s="54"/>
      <c r="FB525" s="54"/>
      <c r="FC525" s="54"/>
      <c r="FD525" s="54"/>
      <c r="FE525" s="54"/>
      <c r="FF525" s="54"/>
      <c r="FG525" s="54"/>
      <c r="FH525" s="54"/>
      <c r="FI525" s="54"/>
      <c r="FJ525" s="54"/>
      <c r="FK525" s="54"/>
      <c r="FL525" s="54"/>
      <c r="FM525" s="54"/>
      <c r="FN525" s="54"/>
      <c r="FO525" s="54"/>
      <c r="FP525" s="54"/>
      <c r="FQ525" s="54"/>
      <c r="FR525" s="54"/>
      <c r="FS525" s="54"/>
      <c r="FT525" s="54"/>
      <c r="FU525" s="54"/>
      <c r="FV525" s="54"/>
      <c r="FW525" s="54"/>
      <c r="FX525" s="54"/>
      <c r="FY525" s="54"/>
      <c r="FZ525" s="54"/>
      <c r="GA525" s="54"/>
      <c r="GB525" s="54"/>
      <c r="GC525" s="54"/>
      <c r="GD525" s="54"/>
    </row>
    <row r="526" spans="1:186">
      <c r="A526" s="180"/>
      <c r="B526" s="180"/>
      <c r="C526" s="55"/>
      <c r="D526" s="56"/>
      <c r="E526" s="50"/>
      <c r="F526" s="50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  <c r="ES526" s="54"/>
      <c r="ET526" s="54"/>
      <c r="EU526" s="54"/>
      <c r="EV526" s="54"/>
      <c r="EW526" s="54"/>
      <c r="EX526" s="54"/>
      <c r="EY526" s="54"/>
      <c r="EZ526" s="54"/>
      <c r="FA526" s="54"/>
      <c r="FB526" s="54"/>
      <c r="FC526" s="54"/>
      <c r="FD526" s="54"/>
      <c r="FE526" s="54"/>
      <c r="FF526" s="54"/>
      <c r="FG526" s="54"/>
      <c r="FH526" s="54"/>
      <c r="FI526" s="54"/>
      <c r="FJ526" s="54"/>
      <c r="FK526" s="54"/>
      <c r="FL526" s="54"/>
      <c r="FM526" s="54"/>
      <c r="FN526" s="54"/>
      <c r="FO526" s="54"/>
      <c r="FP526" s="54"/>
      <c r="FQ526" s="54"/>
      <c r="FR526" s="54"/>
      <c r="FS526" s="54"/>
      <c r="FT526" s="54"/>
      <c r="FU526" s="54"/>
      <c r="FV526" s="54"/>
      <c r="FW526" s="54"/>
      <c r="FX526" s="54"/>
      <c r="FY526" s="54"/>
      <c r="FZ526" s="54"/>
      <c r="GA526" s="54"/>
      <c r="GB526" s="54"/>
      <c r="GC526" s="54"/>
      <c r="GD526" s="54"/>
    </row>
    <row r="527" spans="1:186">
      <c r="A527" s="180"/>
      <c r="B527" s="180"/>
      <c r="C527" s="55"/>
      <c r="D527" s="56"/>
      <c r="E527" s="50"/>
      <c r="F527" s="50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  <c r="ES527" s="54"/>
      <c r="ET527" s="54"/>
      <c r="EU527" s="54"/>
      <c r="EV527" s="54"/>
      <c r="EW527" s="54"/>
      <c r="EX527" s="54"/>
      <c r="EY527" s="54"/>
      <c r="EZ527" s="54"/>
      <c r="FA527" s="54"/>
      <c r="FB527" s="54"/>
      <c r="FC527" s="54"/>
      <c r="FD527" s="54"/>
      <c r="FE527" s="54"/>
      <c r="FF527" s="54"/>
      <c r="FG527" s="54"/>
      <c r="FH527" s="54"/>
      <c r="FI527" s="54"/>
      <c r="FJ527" s="54"/>
      <c r="FK527" s="54"/>
      <c r="FL527" s="54"/>
      <c r="FM527" s="54"/>
      <c r="FN527" s="54"/>
      <c r="FO527" s="54"/>
      <c r="FP527" s="54"/>
      <c r="FQ527" s="54"/>
      <c r="FR527" s="54"/>
      <c r="FS527" s="54"/>
      <c r="FT527" s="54"/>
      <c r="FU527" s="54"/>
      <c r="FV527" s="54"/>
      <c r="FW527" s="54"/>
      <c r="FX527" s="54"/>
      <c r="FY527" s="54"/>
      <c r="FZ527" s="54"/>
      <c r="GA527" s="54"/>
      <c r="GB527" s="54"/>
      <c r="GC527" s="54"/>
      <c r="GD527" s="54"/>
    </row>
    <row r="528" spans="1:186">
      <c r="A528" s="180"/>
      <c r="B528" s="180"/>
      <c r="C528" s="55"/>
      <c r="D528" s="56"/>
      <c r="E528" s="50"/>
      <c r="F528" s="50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  <c r="ES528" s="54"/>
      <c r="ET528" s="54"/>
      <c r="EU528" s="54"/>
      <c r="EV528" s="54"/>
      <c r="EW528" s="54"/>
      <c r="EX528" s="54"/>
      <c r="EY528" s="54"/>
      <c r="EZ528" s="54"/>
      <c r="FA528" s="54"/>
      <c r="FB528" s="54"/>
      <c r="FC528" s="54"/>
      <c r="FD528" s="54"/>
      <c r="FE528" s="54"/>
      <c r="FF528" s="54"/>
      <c r="FG528" s="54"/>
      <c r="FH528" s="54"/>
      <c r="FI528" s="54"/>
      <c r="FJ528" s="54"/>
      <c r="FK528" s="54"/>
      <c r="FL528" s="54"/>
      <c r="FM528" s="54"/>
      <c r="FN528" s="54"/>
      <c r="FO528" s="54"/>
      <c r="FP528" s="54"/>
      <c r="FQ528" s="54"/>
      <c r="FR528" s="54"/>
      <c r="FS528" s="54"/>
      <c r="FT528" s="54"/>
      <c r="FU528" s="54"/>
      <c r="FV528" s="54"/>
      <c r="FW528" s="54"/>
      <c r="FX528" s="54"/>
      <c r="FY528" s="54"/>
      <c r="FZ528" s="54"/>
      <c r="GA528" s="54"/>
      <c r="GB528" s="54"/>
      <c r="GC528" s="54"/>
      <c r="GD528" s="54"/>
    </row>
    <row r="529" spans="1:186">
      <c r="A529" s="180"/>
      <c r="B529" s="180"/>
      <c r="C529" s="55"/>
      <c r="D529" s="56"/>
      <c r="E529" s="50"/>
      <c r="F529" s="50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  <c r="DW529" s="54"/>
      <c r="DX529" s="54"/>
      <c r="DY529" s="54"/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  <c r="ES529" s="54"/>
      <c r="ET529" s="54"/>
      <c r="EU529" s="54"/>
      <c r="EV529" s="54"/>
      <c r="EW529" s="54"/>
      <c r="EX529" s="54"/>
      <c r="EY529" s="54"/>
      <c r="EZ529" s="54"/>
      <c r="FA529" s="54"/>
      <c r="FB529" s="54"/>
      <c r="FC529" s="54"/>
      <c r="FD529" s="54"/>
      <c r="FE529" s="54"/>
      <c r="FF529" s="54"/>
      <c r="FG529" s="54"/>
      <c r="FH529" s="54"/>
      <c r="FI529" s="54"/>
      <c r="FJ529" s="54"/>
      <c r="FK529" s="54"/>
      <c r="FL529" s="54"/>
      <c r="FM529" s="54"/>
      <c r="FN529" s="54"/>
      <c r="FO529" s="54"/>
      <c r="FP529" s="54"/>
      <c r="FQ529" s="54"/>
      <c r="FR529" s="54"/>
      <c r="FS529" s="54"/>
      <c r="FT529" s="54"/>
      <c r="FU529" s="54"/>
      <c r="FV529" s="54"/>
      <c r="FW529" s="54"/>
      <c r="FX529" s="54"/>
      <c r="FY529" s="54"/>
      <c r="FZ529" s="54"/>
      <c r="GA529" s="54"/>
      <c r="GB529" s="54"/>
      <c r="GC529" s="54"/>
      <c r="GD529" s="54"/>
    </row>
    <row r="530" spans="1:186">
      <c r="A530" s="180"/>
      <c r="B530" s="180"/>
      <c r="C530" s="55"/>
      <c r="D530" s="56"/>
      <c r="E530" s="50"/>
      <c r="F530" s="50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  <c r="DW530" s="54"/>
      <c r="DX530" s="54"/>
      <c r="DY530" s="54"/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  <c r="ES530" s="54"/>
      <c r="ET530" s="54"/>
      <c r="EU530" s="54"/>
      <c r="EV530" s="54"/>
      <c r="EW530" s="54"/>
      <c r="EX530" s="54"/>
      <c r="EY530" s="54"/>
      <c r="EZ530" s="54"/>
      <c r="FA530" s="54"/>
      <c r="FB530" s="54"/>
      <c r="FC530" s="54"/>
      <c r="FD530" s="54"/>
      <c r="FE530" s="54"/>
      <c r="FF530" s="54"/>
      <c r="FG530" s="54"/>
      <c r="FH530" s="54"/>
      <c r="FI530" s="54"/>
      <c r="FJ530" s="54"/>
      <c r="FK530" s="54"/>
      <c r="FL530" s="54"/>
      <c r="FM530" s="54"/>
      <c r="FN530" s="54"/>
      <c r="FO530" s="54"/>
      <c r="FP530" s="54"/>
      <c r="FQ530" s="54"/>
      <c r="FR530" s="54"/>
      <c r="FS530" s="54"/>
      <c r="FT530" s="54"/>
      <c r="FU530" s="54"/>
      <c r="FV530" s="54"/>
      <c r="FW530" s="54"/>
      <c r="FX530" s="54"/>
      <c r="FY530" s="54"/>
      <c r="FZ530" s="54"/>
      <c r="GA530" s="54"/>
      <c r="GB530" s="54"/>
      <c r="GC530" s="54"/>
      <c r="GD530" s="54"/>
    </row>
    <row r="531" spans="1:186">
      <c r="A531" s="180"/>
      <c r="B531" s="180"/>
      <c r="C531" s="55"/>
      <c r="D531" s="56"/>
      <c r="E531" s="50"/>
      <c r="F531" s="50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  <c r="DW531" s="54"/>
      <c r="DX531" s="54"/>
      <c r="DY531" s="54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  <c r="ES531" s="54"/>
      <c r="ET531" s="54"/>
      <c r="EU531" s="54"/>
      <c r="EV531" s="54"/>
      <c r="EW531" s="54"/>
      <c r="EX531" s="54"/>
      <c r="EY531" s="54"/>
      <c r="EZ531" s="54"/>
      <c r="FA531" s="54"/>
      <c r="FB531" s="54"/>
      <c r="FC531" s="54"/>
      <c r="FD531" s="54"/>
      <c r="FE531" s="54"/>
      <c r="FF531" s="54"/>
      <c r="FG531" s="54"/>
      <c r="FH531" s="54"/>
      <c r="FI531" s="54"/>
      <c r="FJ531" s="54"/>
      <c r="FK531" s="54"/>
      <c r="FL531" s="54"/>
      <c r="FM531" s="54"/>
      <c r="FN531" s="54"/>
      <c r="FO531" s="54"/>
      <c r="FP531" s="54"/>
      <c r="FQ531" s="54"/>
      <c r="FR531" s="54"/>
      <c r="FS531" s="54"/>
      <c r="FT531" s="54"/>
      <c r="FU531" s="54"/>
      <c r="FV531" s="54"/>
      <c r="FW531" s="54"/>
      <c r="FX531" s="54"/>
      <c r="FY531" s="54"/>
      <c r="FZ531" s="54"/>
      <c r="GA531" s="54"/>
      <c r="GB531" s="54"/>
      <c r="GC531" s="54"/>
      <c r="GD531" s="54"/>
    </row>
    <row r="532" spans="1:186">
      <c r="A532" s="180"/>
      <c r="B532" s="180"/>
      <c r="C532" s="55"/>
      <c r="D532" s="56"/>
      <c r="E532" s="50"/>
      <c r="F532" s="50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  <c r="DW532" s="54"/>
      <c r="DX532" s="54"/>
      <c r="DY532" s="54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  <c r="ES532" s="54"/>
      <c r="ET532" s="54"/>
      <c r="EU532" s="54"/>
      <c r="EV532" s="54"/>
      <c r="EW532" s="54"/>
      <c r="EX532" s="54"/>
      <c r="EY532" s="54"/>
      <c r="EZ532" s="54"/>
      <c r="FA532" s="54"/>
      <c r="FB532" s="54"/>
      <c r="FC532" s="54"/>
      <c r="FD532" s="54"/>
      <c r="FE532" s="54"/>
      <c r="FF532" s="54"/>
      <c r="FG532" s="54"/>
      <c r="FH532" s="54"/>
      <c r="FI532" s="54"/>
      <c r="FJ532" s="54"/>
      <c r="FK532" s="54"/>
      <c r="FL532" s="54"/>
      <c r="FM532" s="54"/>
      <c r="FN532" s="54"/>
      <c r="FO532" s="54"/>
      <c r="FP532" s="54"/>
      <c r="FQ532" s="54"/>
      <c r="FR532" s="54"/>
      <c r="FS532" s="54"/>
      <c r="FT532" s="54"/>
      <c r="FU532" s="54"/>
      <c r="FV532" s="54"/>
      <c r="FW532" s="54"/>
      <c r="FX532" s="54"/>
      <c r="FY532" s="54"/>
      <c r="FZ532" s="54"/>
      <c r="GA532" s="54"/>
      <c r="GB532" s="54"/>
      <c r="GC532" s="54"/>
      <c r="GD532" s="54"/>
    </row>
    <row r="533" spans="1:186">
      <c r="A533" s="180"/>
      <c r="B533" s="180"/>
      <c r="C533" s="55"/>
      <c r="D533" s="56"/>
      <c r="E533" s="50"/>
      <c r="F533" s="50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  <c r="ES533" s="54"/>
      <c r="ET533" s="54"/>
      <c r="EU533" s="54"/>
      <c r="EV533" s="54"/>
      <c r="EW533" s="54"/>
      <c r="EX533" s="54"/>
      <c r="EY533" s="54"/>
      <c r="EZ533" s="54"/>
      <c r="FA533" s="54"/>
      <c r="FB533" s="54"/>
      <c r="FC533" s="54"/>
      <c r="FD533" s="54"/>
      <c r="FE533" s="54"/>
      <c r="FF533" s="54"/>
      <c r="FG533" s="54"/>
      <c r="FH533" s="54"/>
      <c r="FI533" s="54"/>
      <c r="FJ533" s="54"/>
      <c r="FK533" s="54"/>
      <c r="FL533" s="54"/>
      <c r="FM533" s="54"/>
      <c r="FN533" s="54"/>
      <c r="FO533" s="54"/>
      <c r="FP533" s="54"/>
      <c r="FQ533" s="54"/>
      <c r="FR533" s="54"/>
      <c r="FS533" s="54"/>
      <c r="FT533" s="54"/>
      <c r="FU533" s="54"/>
      <c r="FV533" s="54"/>
      <c r="FW533" s="54"/>
      <c r="FX533" s="54"/>
      <c r="FY533" s="54"/>
      <c r="FZ533" s="54"/>
      <c r="GA533" s="54"/>
      <c r="GB533" s="54"/>
      <c r="GC533" s="54"/>
      <c r="GD533" s="54"/>
    </row>
    <row r="534" spans="1:186">
      <c r="A534" s="180"/>
      <c r="B534" s="180"/>
      <c r="C534" s="55"/>
      <c r="D534" s="56"/>
      <c r="E534" s="50"/>
      <c r="F534" s="50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  <c r="DW534" s="54"/>
      <c r="DX534" s="54"/>
      <c r="DY534" s="54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  <c r="ES534" s="54"/>
      <c r="ET534" s="54"/>
      <c r="EU534" s="54"/>
      <c r="EV534" s="54"/>
      <c r="EW534" s="54"/>
      <c r="EX534" s="54"/>
      <c r="EY534" s="54"/>
      <c r="EZ534" s="54"/>
      <c r="FA534" s="54"/>
      <c r="FB534" s="54"/>
      <c r="FC534" s="54"/>
      <c r="FD534" s="54"/>
      <c r="FE534" s="54"/>
      <c r="FF534" s="54"/>
      <c r="FG534" s="54"/>
      <c r="FH534" s="54"/>
      <c r="FI534" s="54"/>
      <c r="FJ534" s="54"/>
      <c r="FK534" s="54"/>
      <c r="FL534" s="54"/>
      <c r="FM534" s="54"/>
      <c r="FN534" s="54"/>
      <c r="FO534" s="54"/>
      <c r="FP534" s="54"/>
      <c r="FQ534" s="54"/>
      <c r="FR534" s="54"/>
      <c r="FS534" s="54"/>
      <c r="FT534" s="54"/>
      <c r="FU534" s="54"/>
      <c r="FV534" s="54"/>
      <c r="FW534" s="54"/>
      <c r="FX534" s="54"/>
      <c r="FY534" s="54"/>
      <c r="FZ534" s="54"/>
      <c r="GA534" s="54"/>
      <c r="GB534" s="54"/>
      <c r="GC534" s="54"/>
      <c r="GD534" s="54"/>
    </row>
    <row r="535" spans="1:186">
      <c r="A535" s="180"/>
      <c r="B535" s="180"/>
      <c r="C535" s="55"/>
      <c r="D535" s="56"/>
      <c r="E535" s="50"/>
      <c r="F535" s="50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  <c r="DW535" s="54"/>
      <c r="DX535" s="54"/>
      <c r="DY535" s="54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  <c r="ES535" s="54"/>
      <c r="ET535" s="54"/>
      <c r="EU535" s="54"/>
      <c r="EV535" s="54"/>
      <c r="EW535" s="54"/>
      <c r="EX535" s="54"/>
      <c r="EY535" s="54"/>
      <c r="EZ535" s="54"/>
      <c r="FA535" s="54"/>
      <c r="FB535" s="54"/>
      <c r="FC535" s="54"/>
      <c r="FD535" s="54"/>
      <c r="FE535" s="54"/>
      <c r="FF535" s="54"/>
      <c r="FG535" s="54"/>
      <c r="FH535" s="54"/>
      <c r="FI535" s="54"/>
      <c r="FJ535" s="54"/>
      <c r="FK535" s="54"/>
      <c r="FL535" s="54"/>
      <c r="FM535" s="54"/>
      <c r="FN535" s="54"/>
      <c r="FO535" s="54"/>
      <c r="FP535" s="54"/>
      <c r="FQ535" s="54"/>
      <c r="FR535" s="54"/>
      <c r="FS535" s="54"/>
      <c r="FT535" s="54"/>
      <c r="FU535" s="54"/>
      <c r="FV535" s="54"/>
      <c r="FW535" s="54"/>
      <c r="FX535" s="54"/>
      <c r="FY535" s="54"/>
      <c r="FZ535" s="54"/>
      <c r="GA535" s="54"/>
      <c r="GB535" s="54"/>
      <c r="GC535" s="54"/>
      <c r="GD535" s="54"/>
    </row>
    <row r="536" spans="1:186">
      <c r="A536" s="180"/>
      <c r="B536" s="180"/>
      <c r="C536" s="55"/>
      <c r="D536" s="56"/>
      <c r="E536" s="50"/>
      <c r="F536" s="50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  <c r="ES536" s="54"/>
      <c r="ET536" s="54"/>
      <c r="EU536" s="54"/>
      <c r="EV536" s="54"/>
      <c r="EW536" s="54"/>
      <c r="EX536" s="54"/>
      <c r="EY536" s="54"/>
      <c r="EZ536" s="54"/>
      <c r="FA536" s="54"/>
      <c r="FB536" s="54"/>
      <c r="FC536" s="54"/>
      <c r="FD536" s="54"/>
      <c r="FE536" s="54"/>
      <c r="FF536" s="54"/>
      <c r="FG536" s="54"/>
      <c r="FH536" s="54"/>
      <c r="FI536" s="54"/>
      <c r="FJ536" s="54"/>
      <c r="FK536" s="54"/>
      <c r="FL536" s="54"/>
      <c r="FM536" s="54"/>
      <c r="FN536" s="54"/>
      <c r="FO536" s="54"/>
      <c r="FP536" s="54"/>
      <c r="FQ536" s="54"/>
      <c r="FR536" s="54"/>
      <c r="FS536" s="54"/>
      <c r="FT536" s="54"/>
      <c r="FU536" s="54"/>
      <c r="FV536" s="54"/>
      <c r="FW536" s="54"/>
      <c r="FX536" s="54"/>
      <c r="FY536" s="54"/>
      <c r="FZ536" s="54"/>
      <c r="GA536" s="54"/>
      <c r="GB536" s="54"/>
      <c r="GC536" s="54"/>
      <c r="GD536" s="54"/>
    </row>
    <row r="537" spans="1:186">
      <c r="A537" s="180"/>
      <c r="B537" s="180"/>
      <c r="C537" s="55"/>
      <c r="D537" s="56"/>
      <c r="E537" s="50"/>
      <c r="F537" s="50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  <c r="DW537" s="54"/>
      <c r="DX537" s="54"/>
      <c r="DY537" s="54"/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  <c r="ES537" s="54"/>
      <c r="ET537" s="54"/>
      <c r="EU537" s="54"/>
      <c r="EV537" s="54"/>
      <c r="EW537" s="54"/>
      <c r="EX537" s="54"/>
      <c r="EY537" s="54"/>
      <c r="EZ537" s="54"/>
      <c r="FA537" s="54"/>
      <c r="FB537" s="54"/>
      <c r="FC537" s="54"/>
      <c r="FD537" s="54"/>
      <c r="FE537" s="54"/>
      <c r="FF537" s="54"/>
      <c r="FG537" s="54"/>
      <c r="FH537" s="54"/>
      <c r="FI537" s="54"/>
      <c r="FJ537" s="54"/>
      <c r="FK537" s="54"/>
      <c r="FL537" s="54"/>
      <c r="FM537" s="54"/>
      <c r="FN537" s="54"/>
      <c r="FO537" s="54"/>
      <c r="FP537" s="54"/>
      <c r="FQ537" s="54"/>
      <c r="FR537" s="54"/>
      <c r="FS537" s="54"/>
      <c r="FT537" s="54"/>
      <c r="FU537" s="54"/>
      <c r="FV537" s="54"/>
      <c r="FW537" s="54"/>
      <c r="FX537" s="54"/>
      <c r="FY537" s="54"/>
      <c r="FZ537" s="54"/>
      <c r="GA537" s="54"/>
      <c r="GB537" s="54"/>
      <c r="GC537" s="54"/>
      <c r="GD537" s="54"/>
    </row>
    <row r="538" spans="1:186">
      <c r="A538" s="180"/>
      <c r="B538" s="180"/>
      <c r="C538" s="55"/>
      <c r="D538" s="56"/>
      <c r="E538" s="50"/>
      <c r="F538" s="50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  <c r="DW538" s="54"/>
      <c r="DX538" s="54"/>
      <c r="DY538" s="54"/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  <c r="ES538" s="54"/>
      <c r="ET538" s="54"/>
      <c r="EU538" s="54"/>
      <c r="EV538" s="54"/>
      <c r="EW538" s="54"/>
      <c r="EX538" s="54"/>
      <c r="EY538" s="54"/>
      <c r="EZ538" s="54"/>
      <c r="FA538" s="54"/>
      <c r="FB538" s="54"/>
      <c r="FC538" s="54"/>
      <c r="FD538" s="54"/>
      <c r="FE538" s="54"/>
      <c r="FF538" s="54"/>
      <c r="FG538" s="54"/>
      <c r="FH538" s="54"/>
      <c r="FI538" s="54"/>
      <c r="FJ538" s="54"/>
      <c r="FK538" s="54"/>
      <c r="FL538" s="54"/>
      <c r="FM538" s="54"/>
      <c r="FN538" s="54"/>
      <c r="FO538" s="54"/>
      <c r="FP538" s="54"/>
      <c r="FQ538" s="54"/>
      <c r="FR538" s="54"/>
      <c r="FS538" s="54"/>
      <c r="FT538" s="54"/>
      <c r="FU538" s="54"/>
      <c r="FV538" s="54"/>
      <c r="FW538" s="54"/>
      <c r="FX538" s="54"/>
      <c r="FY538" s="54"/>
      <c r="FZ538" s="54"/>
      <c r="GA538" s="54"/>
      <c r="GB538" s="54"/>
      <c r="GC538" s="54"/>
      <c r="GD538" s="54"/>
    </row>
    <row r="539" spans="1:186">
      <c r="A539" s="180"/>
      <c r="B539" s="180"/>
      <c r="C539" s="55"/>
      <c r="D539" s="56"/>
      <c r="E539" s="50"/>
      <c r="F539" s="50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  <c r="ES539" s="54"/>
      <c r="ET539" s="54"/>
      <c r="EU539" s="54"/>
      <c r="EV539" s="54"/>
      <c r="EW539" s="54"/>
      <c r="EX539" s="54"/>
      <c r="EY539" s="54"/>
      <c r="EZ539" s="54"/>
      <c r="FA539" s="54"/>
      <c r="FB539" s="54"/>
      <c r="FC539" s="54"/>
      <c r="FD539" s="54"/>
      <c r="FE539" s="54"/>
      <c r="FF539" s="54"/>
      <c r="FG539" s="54"/>
      <c r="FH539" s="54"/>
      <c r="FI539" s="54"/>
      <c r="FJ539" s="54"/>
      <c r="FK539" s="54"/>
      <c r="FL539" s="54"/>
      <c r="FM539" s="54"/>
      <c r="FN539" s="54"/>
      <c r="FO539" s="54"/>
      <c r="FP539" s="54"/>
      <c r="FQ539" s="54"/>
      <c r="FR539" s="54"/>
      <c r="FS539" s="54"/>
      <c r="FT539" s="54"/>
      <c r="FU539" s="54"/>
      <c r="FV539" s="54"/>
      <c r="FW539" s="54"/>
      <c r="FX539" s="54"/>
      <c r="FY539" s="54"/>
      <c r="FZ539" s="54"/>
      <c r="GA539" s="54"/>
      <c r="GB539" s="54"/>
      <c r="GC539" s="54"/>
      <c r="GD539" s="54"/>
    </row>
    <row r="540" spans="1:186">
      <c r="A540" s="180"/>
      <c r="B540" s="180"/>
      <c r="C540" s="55"/>
      <c r="D540" s="56"/>
      <c r="E540" s="50"/>
      <c r="F540" s="50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  <c r="DW540" s="54"/>
      <c r="DX540" s="54"/>
      <c r="DY540" s="54"/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  <c r="ES540" s="54"/>
      <c r="ET540" s="54"/>
      <c r="EU540" s="54"/>
      <c r="EV540" s="54"/>
      <c r="EW540" s="54"/>
      <c r="EX540" s="54"/>
      <c r="EY540" s="54"/>
      <c r="EZ540" s="54"/>
      <c r="FA540" s="54"/>
      <c r="FB540" s="54"/>
      <c r="FC540" s="54"/>
      <c r="FD540" s="54"/>
      <c r="FE540" s="54"/>
      <c r="FF540" s="54"/>
      <c r="FG540" s="54"/>
      <c r="FH540" s="54"/>
      <c r="FI540" s="54"/>
      <c r="FJ540" s="54"/>
      <c r="FK540" s="54"/>
      <c r="FL540" s="54"/>
      <c r="FM540" s="54"/>
      <c r="FN540" s="54"/>
      <c r="FO540" s="54"/>
      <c r="FP540" s="54"/>
      <c r="FQ540" s="54"/>
      <c r="FR540" s="54"/>
      <c r="FS540" s="54"/>
      <c r="FT540" s="54"/>
      <c r="FU540" s="54"/>
      <c r="FV540" s="54"/>
      <c r="FW540" s="54"/>
      <c r="FX540" s="54"/>
      <c r="FY540" s="54"/>
      <c r="FZ540" s="54"/>
      <c r="GA540" s="54"/>
      <c r="GB540" s="54"/>
      <c r="GC540" s="54"/>
      <c r="GD540" s="54"/>
    </row>
    <row r="541" spans="1:186">
      <c r="A541" s="180"/>
      <c r="B541" s="180"/>
      <c r="C541" s="55"/>
      <c r="D541" s="56"/>
      <c r="E541" s="50"/>
      <c r="F541" s="50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  <c r="DW541" s="54"/>
      <c r="DX541" s="54"/>
      <c r="DY541" s="54"/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  <c r="ES541" s="54"/>
      <c r="ET541" s="54"/>
      <c r="EU541" s="54"/>
      <c r="EV541" s="54"/>
      <c r="EW541" s="54"/>
      <c r="EX541" s="54"/>
      <c r="EY541" s="54"/>
      <c r="EZ541" s="54"/>
      <c r="FA541" s="54"/>
      <c r="FB541" s="54"/>
      <c r="FC541" s="54"/>
      <c r="FD541" s="54"/>
      <c r="FE541" s="54"/>
      <c r="FF541" s="54"/>
      <c r="FG541" s="54"/>
      <c r="FH541" s="54"/>
      <c r="FI541" s="54"/>
      <c r="FJ541" s="54"/>
      <c r="FK541" s="54"/>
      <c r="FL541" s="54"/>
      <c r="FM541" s="54"/>
      <c r="FN541" s="54"/>
      <c r="FO541" s="54"/>
      <c r="FP541" s="54"/>
      <c r="FQ541" s="54"/>
      <c r="FR541" s="54"/>
      <c r="FS541" s="54"/>
      <c r="FT541" s="54"/>
      <c r="FU541" s="54"/>
      <c r="FV541" s="54"/>
      <c r="FW541" s="54"/>
      <c r="FX541" s="54"/>
      <c r="FY541" s="54"/>
      <c r="FZ541" s="54"/>
      <c r="GA541" s="54"/>
      <c r="GB541" s="54"/>
      <c r="GC541" s="54"/>
      <c r="GD541" s="54"/>
    </row>
    <row r="542" spans="1:186">
      <c r="A542" s="180"/>
      <c r="B542" s="180"/>
      <c r="C542" s="55"/>
      <c r="D542" s="56"/>
      <c r="E542" s="50"/>
      <c r="F542" s="50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  <c r="DW542" s="54"/>
      <c r="DX542" s="54"/>
      <c r="DY542" s="54"/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  <c r="ES542" s="54"/>
      <c r="ET542" s="54"/>
      <c r="EU542" s="54"/>
      <c r="EV542" s="54"/>
      <c r="EW542" s="54"/>
      <c r="EX542" s="54"/>
      <c r="EY542" s="54"/>
      <c r="EZ542" s="54"/>
      <c r="FA542" s="54"/>
      <c r="FB542" s="54"/>
      <c r="FC542" s="54"/>
      <c r="FD542" s="54"/>
      <c r="FE542" s="54"/>
      <c r="FF542" s="54"/>
      <c r="FG542" s="54"/>
      <c r="FH542" s="54"/>
      <c r="FI542" s="54"/>
      <c r="FJ542" s="54"/>
      <c r="FK542" s="54"/>
      <c r="FL542" s="54"/>
      <c r="FM542" s="54"/>
      <c r="FN542" s="54"/>
      <c r="FO542" s="54"/>
      <c r="FP542" s="54"/>
      <c r="FQ542" s="54"/>
      <c r="FR542" s="54"/>
      <c r="FS542" s="54"/>
      <c r="FT542" s="54"/>
      <c r="FU542" s="54"/>
      <c r="FV542" s="54"/>
      <c r="FW542" s="54"/>
      <c r="FX542" s="54"/>
      <c r="FY542" s="54"/>
      <c r="FZ542" s="54"/>
      <c r="GA542" s="54"/>
      <c r="GB542" s="54"/>
      <c r="GC542" s="54"/>
      <c r="GD542" s="54"/>
    </row>
    <row r="543" spans="1:186">
      <c r="A543" s="180"/>
      <c r="B543" s="180"/>
      <c r="C543" s="55"/>
      <c r="D543" s="56"/>
      <c r="E543" s="50"/>
      <c r="F543" s="50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  <c r="DW543" s="54"/>
      <c r="DX543" s="54"/>
      <c r="DY543" s="54"/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  <c r="ES543" s="54"/>
      <c r="ET543" s="54"/>
      <c r="EU543" s="54"/>
      <c r="EV543" s="54"/>
      <c r="EW543" s="54"/>
      <c r="EX543" s="54"/>
      <c r="EY543" s="54"/>
      <c r="EZ543" s="54"/>
      <c r="FA543" s="54"/>
      <c r="FB543" s="54"/>
      <c r="FC543" s="54"/>
      <c r="FD543" s="54"/>
      <c r="FE543" s="54"/>
      <c r="FF543" s="54"/>
      <c r="FG543" s="54"/>
      <c r="FH543" s="54"/>
      <c r="FI543" s="54"/>
      <c r="FJ543" s="54"/>
      <c r="FK543" s="54"/>
      <c r="FL543" s="54"/>
      <c r="FM543" s="54"/>
      <c r="FN543" s="54"/>
      <c r="FO543" s="54"/>
      <c r="FP543" s="54"/>
      <c r="FQ543" s="54"/>
      <c r="FR543" s="54"/>
      <c r="FS543" s="54"/>
      <c r="FT543" s="54"/>
      <c r="FU543" s="54"/>
      <c r="FV543" s="54"/>
      <c r="FW543" s="54"/>
      <c r="FX543" s="54"/>
      <c r="FY543" s="54"/>
      <c r="FZ543" s="54"/>
      <c r="GA543" s="54"/>
      <c r="GB543" s="54"/>
      <c r="GC543" s="54"/>
      <c r="GD543" s="54"/>
    </row>
    <row r="544" spans="1:186">
      <c r="A544" s="180"/>
      <c r="B544" s="180"/>
      <c r="C544" s="55"/>
      <c r="D544" s="56"/>
      <c r="E544" s="50"/>
      <c r="F544" s="50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  <c r="ES544" s="54"/>
      <c r="ET544" s="54"/>
      <c r="EU544" s="54"/>
      <c r="EV544" s="54"/>
      <c r="EW544" s="54"/>
      <c r="EX544" s="54"/>
      <c r="EY544" s="54"/>
      <c r="EZ544" s="54"/>
      <c r="FA544" s="54"/>
      <c r="FB544" s="54"/>
      <c r="FC544" s="54"/>
      <c r="FD544" s="54"/>
      <c r="FE544" s="54"/>
      <c r="FF544" s="54"/>
      <c r="FG544" s="54"/>
      <c r="FH544" s="54"/>
      <c r="FI544" s="54"/>
      <c r="FJ544" s="54"/>
      <c r="FK544" s="54"/>
      <c r="FL544" s="54"/>
      <c r="FM544" s="54"/>
      <c r="FN544" s="54"/>
      <c r="FO544" s="54"/>
      <c r="FP544" s="54"/>
      <c r="FQ544" s="54"/>
      <c r="FR544" s="54"/>
      <c r="FS544" s="54"/>
      <c r="FT544" s="54"/>
      <c r="FU544" s="54"/>
      <c r="FV544" s="54"/>
      <c r="FW544" s="54"/>
      <c r="FX544" s="54"/>
      <c r="FY544" s="54"/>
      <c r="FZ544" s="54"/>
      <c r="GA544" s="54"/>
      <c r="GB544" s="54"/>
      <c r="GC544" s="54"/>
      <c r="GD544" s="54"/>
    </row>
    <row r="545" spans="1:186">
      <c r="A545" s="180"/>
      <c r="B545" s="180"/>
      <c r="C545" s="55"/>
      <c r="D545" s="56"/>
      <c r="E545" s="50"/>
      <c r="F545" s="50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  <c r="DW545" s="54"/>
      <c r="DX545" s="54"/>
      <c r="DY545" s="54"/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  <c r="ES545" s="54"/>
      <c r="ET545" s="54"/>
      <c r="EU545" s="54"/>
      <c r="EV545" s="54"/>
      <c r="EW545" s="54"/>
      <c r="EX545" s="54"/>
      <c r="EY545" s="54"/>
      <c r="EZ545" s="54"/>
      <c r="FA545" s="54"/>
      <c r="FB545" s="54"/>
      <c r="FC545" s="54"/>
      <c r="FD545" s="54"/>
      <c r="FE545" s="54"/>
      <c r="FF545" s="54"/>
      <c r="FG545" s="54"/>
      <c r="FH545" s="54"/>
      <c r="FI545" s="54"/>
      <c r="FJ545" s="54"/>
      <c r="FK545" s="54"/>
      <c r="FL545" s="54"/>
      <c r="FM545" s="54"/>
      <c r="FN545" s="54"/>
      <c r="FO545" s="54"/>
      <c r="FP545" s="54"/>
      <c r="FQ545" s="54"/>
      <c r="FR545" s="54"/>
      <c r="FS545" s="54"/>
      <c r="FT545" s="54"/>
      <c r="FU545" s="54"/>
      <c r="FV545" s="54"/>
      <c r="FW545" s="54"/>
      <c r="FX545" s="54"/>
      <c r="FY545" s="54"/>
      <c r="FZ545" s="54"/>
      <c r="GA545" s="54"/>
      <c r="GB545" s="54"/>
      <c r="GC545" s="54"/>
      <c r="GD545" s="54"/>
    </row>
    <row r="546" spans="1:186">
      <c r="A546" s="180"/>
      <c r="B546" s="180"/>
      <c r="C546" s="55"/>
      <c r="D546" s="56"/>
      <c r="E546" s="50"/>
      <c r="F546" s="50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  <c r="DW546" s="54"/>
      <c r="DX546" s="54"/>
      <c r="DY546" s="54"/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  <c r="ES546" s="54"/>
      <c r="ET546" s="54"/>
      <c r="EU546" s="54"/>
      <c r="EV546" s="54"/>
      <c r="EW546" s="54"/>
      <c r="EX546" s="54"/>
      <c r="EY546" s="54"/>
      <c r="EZ546" s="54"/>
      <c r="FA546" s="54"/>
      <c r="FB546" s="54"/>
      <c r="FC546" s="54"/>
      <c r="FD546" s="54"/>
      <c r="FE546" s="54"/>
      <c r="FF546" s="54"/>
      <c r="FG546" s="54"/>
      <c r="FH546" s="54"/>
      <c r="FI546" s="54"/>
      <c r="FJ546" s="54"/>
      <c r="FK546" s="54"/>
      <c r="FL546" s="54"/>
      <c r="FM546" s="54"/>
      <c r="FN546" s="54"/>
      <c r="FO546" s="54"/>
      <c r="FP546" s="54"/>
      <c r="FQ546" s="54"/>
      <c r="FR546" s="54"/>
      <c r="FS546" s="54"/>
      <c r="FT546" s="54"/>
      <c r="FU546" s="54"/>
      <c r="FV546" s="54"/>
      <c r="FW546" s="54"/>
      <c r="FX546" s="54"/>
      <c r="FY546" s="54"/>
      <c r="FZ546" s="54"/>
      <c r="GA546" s="54"/>
      <c r="GB546" s="54"/>
      <c r="GC546" s="54"/>
      <c r="GD546" s="54"/>
    </row>
    <row r="547" spans="1:186">
      <c r="A547" s="180"/>
      <c r="B547" s="180"/>
      <c r="C547" s="55"/>
      <c r="D547" s="56"/>
      <c r="E547" s="50"/>
      <c r="F547" s="50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  <c r="DW547" s="54"/>
      <c r="DX547" s="54"/>
      <c r="DY547" s="54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  <c r="ES547" s="54"/>
      <c r="ET547" s="54"/>
      <c r="EU547" s="54"/>
      <c r="EV547" s="54"/>
      <c r="EW547" s="54"/>
      <c r="EX547" s="54"/>
      <c r="EY547" s="54"/>
      <c r="EZ547" s="54"/>
      <c r="FA547" s="54"/>
      <c r="FB547" s="54"/>
      <c r="FC547" s="54"/>
      <c r="FD547" s="54"/>
      <c r="FE547" s="54"/>
      <c r="FF547" s="54"/>
      <c r="FG547" s="54"/>
      <c r="FH547" s="54"/>
      <c r="FI547" s="54"/>
      <c r="FJ547" s="54"/>
      <c r="FK547" s="54"/>
      <c r="FL547" s="54"/>
      <c r="FM547" s="54"/>
      <c r="FN547" s="54"/>
      <c r="FO547" s="54"/>
      <c r="FP547" s="54"/>
      <c r="FQ547" s="54"/>
      <c r="FR547" s="54"/>
      <c r="FS547" s="54"/>
      <c r="FT547" s="54"/>
      <c r="FU547" s="54"/>
      <c r="FV547" s="54"/>
      <c r="FW547" s="54"/>
      <c r="FX547" s="54"/>
      <c r="FY547" s="54"/>
      <c r="FZ547" s="54"/>
      <c r="GA547" s="54"/>
      <c r="GB547" s="54"/>
      <c r="GC547" s="54"/>
      <c r="GD547" s="54"/>
    </row>
    <row r="548" spans="1:186">
      <c r="A548" s="180"/>
      <c r="B548" s="180"/>
      <c r="C548" s="55"/>
      <c r="D548" s="56"/>
      <c r="E548" s="50"/>
      <c r="F548" s="50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  <c r="ES548" s="54"/>
      <c r="ET548" s="54"/>
      <c r="EU548" s="54"/>
      <c r="EV548" s="54"/>
      <c r="EW548" s="54"/>
      <c r="EX548" s="54"/>
      <c r="EY548" s="54"/>
      <c r="EZ548" s="54"/>
      <c r="FA548" s="54"/>
      <c r="FB548" s="54"/>
      <c r="FC548" s="54"/>
      <c r="FD548" s="54"/>
      <c r="FE548" s="54"/>
      <c r="FF548" s="54"/>
      <c r="FG548" s="54"/>
      <c r="FH548" s="54"/>
      <c r="FI548" s="54"/>
      <c r="FJ548" s="54"/>
      <c r="FK548" s="54"/>
      <c r="FL548" s="54"/>
      <c r="FM548" s="54"/>
      <c r="FN548" s="54"/>
      <c r="FO548" s="54"/>
      <c r="FP548" s="54"/>
      <c r="FQ548" s="54"/>
      <c r="FR548" s="54"/>
      <c r="FS548" s="54"/>
      <c r="FT548" s="54"/>
      <c r="FU548" s="54"/>
      <c r="FV548" s="54"/>
      <c r="FW548" s="54"/>
      <c r="FX548" s="54"/>
      <c r="FY548" s="54"/>
      <c r="FZ548" s="54"/>
      <c r="GA548" s="54"/>
      <c r="GB548" s="54"/>
      <c r="GC548" s="54"/>
      <c r="GD548" s="54"/>
    </row>
    <row r="549" spans="1:186">
      <c r="A549" s="180"/>
      <c r="B549" s="180"/>
      <c r="C549" s="55"/>
      <c r="D549" s="56"/>
      <c r="E549" s="50"/>
      <c r="F549" s="50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  <c r="ES549" s="54"/>
      <c r="ET549" s="54"/>
      <c r="EU549" s="54"/>
      <c r="EV549" s="54"/>
      <c r="EW549" s="54"/>
      <c r="EX549" s="54"/>
      <c r="EY549" s="54"/>
      <c r="EZ549" s="54"/>
      <c r="FA549" s="54"/>
      <c r="FB549" s="54"/>
      <c r="FC549" s="54"/>
      <c r="FD549" s="54"/>
      <c r="FE549" s="54"/>
      <c r="FF549" s="54"/>
      <c r="FG549" s="54"/>
      <c r="FH549" s="54"/>
      <c r="FI549" s="54"/>
      <c r="FJ549" s="54"/>
      <c r="FK549" s="54"/>
      <c r="FL549" s="54"/>
      <c r="FM549" s="54"/>
      <c r="FN549" s="54"/>
      <c r="FO549" s="54"/>
      <c r="FP549" s="54"/>
      <c r="FQ549" s="54"/>
      <c r="FR549" s="54"/>
      <c r="FS549" s="54"/>
      <c r="FT549" s="54"/>
      <c r="FU549" s="54"/>
      <c r="FV549" s="54"/>
      <c r="FW549" s="54"/>
      <c r="FX549" s="54"/>
      <c r="FY549" s="54"/>
      <c r="FZ549" s="54"/>
      <c r="GA549" s="54"/>
      <c r="GB549" s="54"/>
      <c r="GC549" s="54"/>
      <c r="GD549" s="54"/>
    </row>
    <row r="550" spans="1:186">
      <c r="A550" s="180"/>
      <c r="B550" s="180"/>
      <c r="C550" s="55"/>
      <c r="D550" s="56"/>
      <c r="E550" s="50"/>
      <c r="F550" s="50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  <c r="DW550" s="54"/>
      <c r="DX550" s="54"/>
      <c r="DY550" s="54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  <c r="ES550" s="54"/>
      <c r="ET550" s="54"/>
      <c r="EU550" s="54"/>
      <c r="EV550" s="54"/>
      <c r="EW550" s="54"/>
      <c r="EX550" s="54"/>
      <c r="EY550" s="54"/>
      <c r="EZ550" s="54"/>
      <c r="FA550" s="54"/>
      <c r="FB550" s="54"/>
      <c r="FC550" s="54"/>
      <c r="FD550" s="54"/>
      <c r="FE550" s="54"/>
      <c r="FF550" s="54"/>
      <c r="FG550" s="54"/>
      <c r="FH550" s="54"/>
      <c r="FI550" s="54"/>
      <c r="FJ550" s="54"/>
      <c r="FK550" s="54"/>
      <c r="FL550" s="54"/>
      <c r="FM550" s="54"/>
      <c r="FN550" s="54"/>
      <c r="FO550" s="54"/>
      <c r="FP550" s="54"/>
      <c r="FQ550" s="54"/>
      <c r="FR550" s="54"/>
      <c r="FS550" s="54"/>
      <c r="FT550" s="54"/>
      <c r="FU550" s="54"/>
      <c r="FV550" s="54"/>
      <c r="FW550" s="54"/>
      <c r="FX550" s="54"/>
      <c r="FY550" s="54"/>
      <c r="FZ550" s="54"/>
      <c r="GA550" s="54"/>
      <c r="GB550" s="54"/>
      <c r="GC550" s="54"/>
      <c r="GD550" s="54"/>
    </row>
    <row r="551" spans="1:186">
      <c r="A551" s="180"/>
      <c r="B551" s="180"/>
      <c r="C551" s="55"/>
      <c r="D551" s="56"/>
      <c r="E551" s="50"/>
      <c r="F551" s="50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  <c r="DW551" s="54"/>
      <c r="DX551" s="54"/>
      <c r="DY551" s="54"/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  <c r="ES551" s="54"/>
      <c r="ET551" s="54"/>
      <c r="EU551" s="54"/>
      <c r="EV551" s="54"/>
      <c r="EW551" s="54"/>
      <c r="EX551" s="54"/>
      <c r="EY551" s="54"/>
      <c r="EZ551" s="54"/>
      <c r="FA551" s="54"/>
      <c r="FB551" s="54"/>
      <c r="FC551" s="54"/>
      <c r="FD551" s="54"/>
      <c r="FE551" s="54"/>
      <c r="FF551" s="54"/>
      <c r="FG551" s="54"/>
      <c r="FH551" s="54"/>
      <c r="FI551" s="54"/>
      <c r="FJ551" s="54"/>
      <c r="FK551" s="54"/>
      <c r="FL551" s="54"/>
      <c r="FM551" s="54"/>
      <c r="FN551" s="54"/>
      <c r="FO551" s="54"/>
      <c r="FP551" s="54"/>
      <c r="FQ551" s="54"/>
      <c r="FR551" s="54"/>
      <c r="FS551" s="54"/>
      <c r="FT551" s="54"/>
      <c r="FU551" s="54"/>
      <c r="FV551" s="54"/>
      <c r="FW551" s="54"/>
      <c r="FX551" s="54"/>
      <c r="FY551" s="54"/>
      <c r="FZ551" s="54"/>
      <c r="GA551" s="54"/>
      <c r="GB551" s="54"/>
      <c r="GC551" s="54"/>
      <c r="GD551" s="54"/>
    </row>
    <row r="552" spans="1:186">
      <c r="A552" s="180"/>
      <c r="B552" s="180"/>
      <c r="C552" s="55"/>
      <c r="D552" s="56"/>
      <c r="E552" s="50"/>
      <c r="F552" s="50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  <c r="DW552" s="54"/>
      <c r="DX552" s="54"/>
      <c r="DY552" s="54"/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  <c r="ES552" s="54"/>
      <c r="ET552" s="54"/>
      <c r="EU552" s="54"/>
      <c r="EV552" s="54"/>
      <c r="EW552" s="54"/>
      <c r="EX552" s="54"/>
      <c r="EY552" s="54"/>
      <c r="EZ552" s="54"/>
      <c r="FA552" s="54"/>
      <c r="FB552" s="54"/>
      <c r="FC552" s="54"/>
      <c r="FD552" s="54"/>
      <c r="FE552" s="54"/>
      <c r="FF552" s="54"/>
      <c r="FG552" s="54"/>
      <c r="FH552" s="54"/>
      <c r="FI552" s="54"/>
      <c r="FJ552" s="54"/>
      <c r="FK552" s="54"/>
      <c r="FL552" s="54"/>
      <c r="FM552" s="54"/>
      <c r="FN552" s="54"/>
      <c r="FO552" s="54"/>
      <c r="FP552" s="54"/>
      <c r="FQ552" s="54"/>
      <c r="FR552" s="54"/>
      <c r="FS552" s="54"/>
      <c r="FT552" s="54"/>
      <c r="FU552" s="54"/>
      <c r="FV552" s="54"/>
      <c r="FW552" s="54"/>
      <c r="FX552" s="54"/>
      <c r="FY552" s="54"/>
      <c r="FZ552" s="54"/>
      <c r="GA552" s="54"/>
      <c r="GB552" s="54"/>
      <c r="GC552" s="54"/>
      <c r="GD552" s="54"/>
    </row>
    <row r="553" spans="1:186">
      <c r="A553" s="180"/>
      <c r="B553" s="180"/>
      <c r="C553" s="55"/>
      <c r="D553" s="56"/>
      <c r="E553" s="50"/>
      <c r="F553" s="50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  <c r="ES553" s="54"/>
      <c r="ET553" s="54"/>
      <c r="EU553" s="54"/>
      <c r="EV553" s="54"/>
      <c r="EW553" s="54"/>
      <c r="EX553" s="54"/>
      <c r="EY553" s="54"/>
      <c r="EZ553" s="54"/>
      <c r="FA553" s="54"/>
      <c r="FB553" s="54"/>
      <c r="FC553" s="54"/>
      <c r="FD553" s="54"/>
      <c r="FE553" s="54"/>
      <c r="FF553" s="54"/>
      <c r="FG553" s="54"/>
      <c r="FH553" s="54"/>
      <c r="FI553" s="54"/>
      <c r="FJ553" s="54"/>
      <c r="FK553" s="54"/>
      <c r="FL553" s="54"/>
      <c r="FM553" s="54"/>
      <c r="FN553" s="54"/>
      <c r="FO553" s="54"/>
      <c r="FP553" s="54"/>
      <c r="FQ553" s="54"/>
      <c r="FR553" s="54"/>
      <c r="FS553" s="54"/>
      <c r="FT553" s="54"/>
      <c r="FU553" s="54"/>
      <c r="FV553" s="54"/>
      <c r="FW553" s="54"/>
      <c r="FX553" s="54"/>
      <c r="FY553" s="54"/>
      <c r="FZ553" s="54"/>
      <c r="GA553" s="54"/>
      <c r="GB553" s="54"/>
      <c r="GC553" s="54"/>
      <c r="GD553" s="54"/>
    </row>
    <row r="554" spans="1:186">
      <c r="A554" s="180"/>
      <c r="B554" s="180"/>
      <c r="C554" s="55"/>
      <c r="D554" s="56"/>
      <c r="E554" s="50"/>
      <c r="F554" s="50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  <c r="ES554" s="54"/>
      <c r="ET554" s="54"/>
      <c r="EU554" s="54"/>
      <c r="EV554" s="54"/>
      <c r="EW554" s="54"/>
      <c r="EX554" s="54"/>
      <c r="EY554" s="54"/>
      <c r="EZ554" s="54"/>
      <c r="FA554" s="54"/>
      <c r="FB554" s="54"/>
      <c r="FC554" s="54"/>
      <c r="FD554" s="54"/>
      <c r="FE554" s="54"/>
      <c r="FF554" s="54"/>
      <c r="FG554" s="54"/>
      <c r="FH554" s="54"/>
      <c r="FI554" s="54"/>
      <c r="FJ554" s="54"/>
      <c r="FK554" s="54"/>
      <c r="FL554" s="54"/>
      <c r="FM554" s="54"/>
      <c r="FN554" s="54"/>
      <c r="FO554" s="54"/>
      <c r="FP554" s="54"/>
      <c r="FQ554" s="54"/>
      <c r="FR554" s="54"/>
      <c r="FS554" s="54"/>
      <c r="FT554" s="54"/>
      <c r="FU554" s="54"/>
      <c r="FV554" s="54"/>
      <c r="FW554" s="54"/>
      <c r="FX554" s="54"/>
      <c r="FY554" s="54"/>
      <c r="FZ554" s="54"/>
      <c r="GA554" s="54"/>
      <c r="GB554" s="54"/>
      <c r="GC554" s="54"/>
      <c r="GD554" s="54"/>
    </row>
    <row r="555" spans="1:186">
      <c r="A555" s="180"/>
      <c r="B555" s="180"/>
      <c r="C555" s="55"/>
      <c r="D555" s="56"/>
      <c r="E555" s="50"/>
      <c r="F555" s="50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  <c r="ES555" s="54"/>
      <c r="ET555" s="54"/>
      <c r="EU555" s="54"/>
      <c r="EV555" s="54"/>
      <c r="EW555" s="54"/>
      <c r="EX555" s="54"/>
      <c r="EY555" s="54"/>
      <c r="EZ555" s="54"/>
      <c r="FA555" s="54"/>
      <c r="FB555" s="54"/>
      <c r="FC555" s="54"/>
      <c r="FD555" s="54"/>
      <c r="FE555" s="54"/>
      <c r="FF555" s="54"/>
      <c r="FG555" s="54"/>
      <c r="FH555" s="54"/>
      <c r="FI555" s="54"/>
      <c r="FJ555" s="54"/>
      <c r="FK555" s="54"/>
      <c r="FL555" s="54"/>
      <c r="FM555" s="54"/>
      <c r="FN555" s="54"/>
      <c r="FO555" s="54"/>
      <c r="FP555" s="54"/>
      <c r="FQ555" s="54"/>
      <c r="FR555" s="54"/>
      <c r="FS555" s="54"/>
      <c r="FT555" s="54"/>
      <c r="FU555" s="54"/>
      <c r="FV555" s="54"/>
      <c r="FW555" s="54"/>
      <c r="FX555" s="54"/>
      <c r="FY555" s="54"/>
      <c r="FZ555" s="54"/>
      <c r="GA555" s="54"/>
      <c r="GB555" s="54"/>
      <c r="GC555" s="54"/>
      <c r="GD555" s="54"/>
    </row>
    <row r="556" spans="1:186">
      <c r="A556" s="180"/>
      <c r="B556" s="180"/>
      <c r="C556" s="55"/>
      <c r="D556" s="56"/>
      <c r="E556" s="50"/>
      <c r="F556" s="50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  <c r="ES556" s="54"/>
      <c r="ET556" s="54"/>
      <c r="EU556" s="54"/>
      <c r="EV556" s="54"/>
      <c r="EW556" s="54"/>
      <c r="EX556" s="54"/>
      <c r="EY556" s="54"/>
      <c r="EZ556" s="54"/>
      <c r="FA556" s="54"/>
      <c r="FB556" s="54"/>
      <c r="FC556" s="54"/>
      <c r="FD556" s="54"/>
      <c r="FE556" s="54"/>
      <c r="FF556" s="54"/>
      <c r="FG556" s="54"/>
      <c r="FH556" s="54"/>
      <c r="FI556" s="54"/>
      <c r="FJ556" s="54"/>
      <c r="FK556" s="54"/>
      <c r="FL556" s="54"/>
      <c r="FM556" s="54"/>
      <c r="FN556" s="54"/>
      <c r="FO556" s="54"/>
      <c r="FP556" s="54"/>
      <c r="FQ556" s="54"/>
      <c r="FR556" s="54"/>
      <c r="FS556" s="54"/>
      <c r="FT556" s="54"/>
      <c r="FU556" s="54"/>
      <c r="FV556" s="54"/>
      <c r="FW556" s="54"/>
      <c r="FX556" s="54"/>
      <c r="FY556" s="54"/>
      <c r="FZ556" s="54"/>
      <c r="GA556" s="54"/>
      <c r="GB556" s="54"/>
      <c r="GC556" s="54"/>
      <c r="GD556" s="54"/>
    </row>
    <row r="557" spans="1:186">
      <c r="A557" s="180"/>
      <c r="B557" s="180"/>
      <c r="C557" s="55"/>
      <c r="D557" s="56"/>
      <c r="E557" s="50"/>
      <c r="F557" s="50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  <c r="ES557" s="54"/>
      <c r="ET557" s="54"/>
      <c r="EU557" s="54"/>
      <c r="EV557" s="54"/>
      <c r="EW557" s="54"/>
      <c r="EX557" s="54"/>
      <c r="EY557" s="54"/>
      <c r="EZ557" s="54"/>
      <c r="FA557" s="54"/>
      <c r="FB557" s="54"/>
      <c r="FC557" s="54"/>
      <c r="FD557" s="54"/>
      <c r="FE557" s="54"/>
      <c r="FF557" s="54"/>
      <c r="FG557" s="54"/>
      <c r="FH557" s="54"/>
      <c r="FI557" s="54"/>
      <c r="FJ557" s="54"/>
      <c r="FK557" s="54"/>
      <c r="FL557" s="54"/>
      <c r="FM557" s="54"/>
      <c r="FN557" s="54"/>
      <c r="FO557" s="54"/>
      <c r="FP557" s="54"/>
      <c r="FQ557" s="54"/>
      <c r="FR557" s="54"/>
      <c r="FS557" s="54"/>
      <c r="FT557" s="54"/>
      <c r="FU557" s="54"/>
      <c r="FV557" s="54"/>
      <c r="FW557" s="54"/>
      <c r="FX557" s="54"/>
      <c r="FY557" s="54"/>
      <c r="FZ557" s="54"/>
      <c r="GA557" s="54"/>
      <c r="GB557" s="54"/>
      <c r="GC557" s="54"/>
      <c r="GD557" s="54"/>
    </row>
    <row r="558" spans="1:186">
      <c r="A558" s="180"/>
      <c r="B558" s="180"/>
      <c r="C558" s="55"/>
      <c r="D558" s="56"/>
      <c r="E558" s="50"/>
      <c r="F558" s="50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  <c r="ES558" s="54"/>
      <c r="ET558" s="54"/>
      <c r="EU558" s="54"/>
      <c r="EV558" s="54"/>
      <c r="EW558" s="54"/>
      <c r="EX558" s="54"/>
      <c r="EY558" s="54"/>
      <c r="EZ558" s="54"/>
      <c r="FA558" s="54"/>
      <c r="FB558" s="54"/>
      <c r="FC558" s="54"/>
      <c r="FD558" s="54"/>
      <c r="FE558" s="54"/>
      <c r="FF558" s="54"/>
      <c r="FG558" s="54"/>
      <c r="FH558" s="54"/>
      <c r="FI558" s="54"/>
      <c r="FJ558" s="54"/>
      <c r="FK558" s="54"/>
      <c r="FL558" s="54"/>
      <c r="FM558" s="54"/>
      <c r="FN558" s="54"/>
      <c r="FO558" s="54"/>
      <c r="FP558" s="54"/>
      <c r="FQ558" s="54"/>
      <c r="FR558" s="54"/>
      <c r="FS558" s="54"/>
      <c r="FT558" s="54"/>
      <c r="FU558" s="54"/>
      <c r="FV558" s="54"/>
      <c r="FW558" s="54"/>
      <c r="FX558" s="54"/>
      <c r="FY558" s="54"/>
      <c r="FZ558" s="54"/>
      <c r="GA558" s="54"/>
      <c r="GB558" s="54"/>
      <c r="GC558" s="54"/>
      <c r="GD558" s="54"/>
    </row>
    <row r="559" spans="1:186">
      <c r="A559" s="180"/>
      <c r="B559" s="180"/>
      <c r="C559" s="55"/>
      <c r="D559" s="56"/>
      <c r="E559" s="50"/>
      <c r="F559" s="50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  <c r="DW559" s="54"/>
      <c r="DX559" s="54"/>
      <c r="DY559" s="54"/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  <c r="ES559" s="54"/>
      <c r="ET559" s="54"/>
      <c r="EU559" s="54"/>
      <c r="EV559" s="54"/>
      <c r="EW559" s="54"/>
      <c r="EX559" s="54"/>
      <c r="EY559" s="54"/>
      <c r="EZ559" s="54"/>
      <c r="FA559" s="54"/>
      <c r="FB559" s="54"/>
      <c r="FC559" s="54"/>
      <c r="FD559" s="54"/>
      <c r="FE559" s="54"/>
      <c r="FF559" s="54"/>
      <c r="FG559" s="54"/>
      <c r="FH559" s="54"/>
      <c r="FI559" s="54"/>
      <c r="FJ559" s="54"/>
      <c r="FK559" s="54"/>
      <c r="FL559" s="54"/>
      <c r="FM559" s="54"/>
      <c r="FN559" s="54"/>
      <c r="FO559" s="54"/>
      <c r="FP559" s="54"/>
      <c r="FQ559" s="54"/>
      <c r="FR559" s="54"/>
      <c r="FS559" s="54"/>
      <c r="FT559" s="54"/>
      <c r="FU559" s="54"/>
      <c r="FV559" s="54"/>
      <c r="FW559" s="54"/>
      <c r="FX559" s="54"/>
      <c r="FY559" s="54"/>
      <c r="FZ559" s="54"/>
      <c r="GA559" s="54"/>
      <c r="GB559" s="54"/>
      <c r="GC559" s="54"/>
      <c r="GD559" s="54"/>
    </row>
    <row r="560" spans="1:186">
      <c r="A560" s="180"/>
      <c r="B560" s="180"/>
      <c r="C560" s="55"/>
      <c r="D560" s="56"/>
      <c r="E560" s="50"/>
      <c r="F560" s="50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  <c r="ES560" s="54"/>
      <c r="ET560" s="54"/>
      <c r="EU560" s="54"/>
      <c r="EV560" s="54"/>
      <c r="EW560" s="54"/>
      <c r="EX560" s="54"/>
      <c r="EY560" s="54"/>
      <c r="EZ560" s="54"/>
      <c r="FA560" s="54"/>
      <c r="FB560" s="54"/>
      <c r="FC560" s="54"/>
      <c r="FD560" s="54"/>
      <c r="FE560" s="54"/>
      <c r="FF560" s="54"/>
      <c r="FG560" s="54"/>
      <c r="FH560" s="54"/>
      <c r="FI560" s="54"/>
      <c r="FJ560" s="54"/>
      <c r="FK560" s="54"/>
      <c r="FL560" s="54"/>
      <c r="FM560" s="54"/>
      <c r="FN560" s="54"/>
      <c r="FO560" s="54"/>
      <c r="FP560" s="54"/>
      <c r="FQ560" s="54"/>
      <c r="FR560" s="54"/>
      <c r="FS560" s="54"/>
      <c r="FT560" s="54"/>
      <c r="FU560" s="54"/>
      <c r="FV560" s="54"/>
      <c r="FW560" s="54"/>
      <c r="FX560" s="54"/>
      <c r="FY560" s="54"/>
      <c r="FZ560" s="54"/>
      <c r="GA560" s="54"/>
      <c r="GB560" s="54"/>
      <c r="GC560" s="54"/>
      <c r="GD560" s="54"/>
    </row>
    <row r="561" spans="1:186">
      <c r="A561" s="180"/>
      <c r="B561" s="180"/>
      <c r="C561" s="55"/>
      <c r="D561" s="56"/>
      <c r="E561" s="50"/>
      <c r="F561" s="50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  <c r="ES561" s="54"/>
      <c r="ET561" s="54"/>
      <c r="EU561" s="54"/>
      <c r="EV561" s="54"/>
      <c r="EW561" s="54"/>
      <c r="EX561" s="54"/>
      <c r="EY561" s="54"/>
      <c r="EZ561" s="54"/>
      <c r="FA561" s="54"/>
      <c r="FB561" s="54"/>
      <c r="FC561" s="54"/>
      <c r="FD561" s="54"/>
      <c r="FE561" s="54"/>
      <c r="FF561" s="54"/>
      <c r="FG561" s="54"/>
      <c r="FH561" s="54"/>
      <c r="FI561" s="54"/>
      <c r="FJ561" s="54"/>
      <c r="FK561" s="54"/>
      <c r="FL561" s="54"/>
      <c r="FM561" s="54"/>
      <c r="FN561" s="54"/>
      <c r="FO561" s="54"/>
      <c r="FP561" s="54"/>
      <c r="FQ561" s="54"/>
      <c r="FR561" s="54"/>
      <c r="FS561" s="54"/>
      <c r="FT561" s="54"/>
      <c r="FU561" s="54"/>
      <c r="FV561" s="54"/>
      <c r="FW561" s="54"/>
      <c r="FX561" s="54"/>
      <c r="FY561" s="54"/>
      <c r="FZ561" s="54"/>
      <c r="GA561" s="54"/>
      <c r="GB561" s="54"/>
      <c r="GC561" s="54"/>
      <c r="GD561" s="54"/>
    </row>
    <row r="562" spans="1:186">
      <c r="A562" s="180"/>
      <c r="B562" s="180"/>
      <c r="C562" s="55"/>
      <c r="D562" s="56"/>
      <c r="E562" s="50"/>
      <c r="F562" s="50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  <c r="ES562" s="54"/>
      <c r="ET562" s="54"/>
      <c r="EU562" s="54"/>
      <c r="EV562" s="54"/>
      <c r="EW562" s="54"/>
      <c r="EX562" s="54"/>
      <c r="EY562" s="54"/>
      <c r="EZ562" s="54"/>
      <c r="FA562" s="54"/>
      <c r="FB562" s="54"/>
      <c r="FC562" s="54"/>
      <c r="FD562" s="54"/>
      <c r="FE562" s="54"/>
      <c r="FF562" s="54"/>
      <c r="FG562" s="54"/>
      <c r="FH562" s="54"/>
      <c r="FI562" s="54"/>
      <c r="FJ562" s="54"/>
      <c r="FK562" s="54"/>
      <c r="FL562" s="54"/>
      <c r="FM562" s="54"/>
      <c r="FN562" s="54"/>
      <c r="FO562" s="54"/>
      <c r="FP562" s="54"/>
      <c r="FQ562" s="54"/>
      <c r="FR562" s="54"/>
      <c r="FS562" s="54"/>
      <c r="FT562" s="54"/>
      <c r="FU562" s="54"/>
      <c r="FV562" s="54"/>
      <c r="FW562" s="54"/>
      <c r="FX562" s="54"/>
      <c r="FY562" s="54"/>
      <c r="FZ562" s="54"/>
      <c r="GA562" s="54"/>
      <c r="GB562" s="54"/>
      <c r="GC562" s="54"/>
      <c r="GD562" s="54"/>
    </row>
    <row r="563" spans="1:186">
      <c r="A563" s="180"/>
      <c r="B563" s="180"/>
      <c r="C563" s="55"/>
      <c r="D563" s="56"/>
      <c r="E563" s="50"/>
      <c r="F563" s="50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  <c r="DW563" s="54"/>
      <c r="DX563" s="54"/>
      <c r="DY563" s="54"/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  <c r="ES563" s="54"/>
      <c r="ET563" s="54"/>
      <c r="EU563" s="54"/>
      <c r="EV563" s="54"/>
      <c r="EW563" s="54"/>
      <c r="EX563" s="54"/>
      <c r="EY563" s="54"/>
      <c r="EZ563" s="54"/>
      <c r="FA563" s="54"/>
      <c r="FB563" s="54"/>
      <c r="FC563" s="54"/>
      <c r="FD563" s="54"/>
      <c r="FE563" s="54"/>
      <c r="FF563" s="54"/>
      <c r="FG563" s="54"/>
      <c r="FH563" s="54"/>
      <c r="FI563" s="54"/>
      <c r="FJ563" s="54"/>
      <c r="FK563" s="54"/>
      <c r="FL563" s="54"/>
      <c r="FM563" s="54"/>
      <c r="FN563" s="54"/>
      <c r="FO563" s="54"/>
      <c r="FP563" s="54"/>
      <c r="FQ563" s="54"/>
      <c r="FR563" s="54"/>
      <c r="FS563" s="54"/>
      <c r="FT563" s="54"/>
      <c r="FU563" s="54"/>
      <c r="FV563" s="54"/>
      <c r="FW563" s="54"/>
      <c r="FX563" s="54"/>
      <c r="FY563" s="54"/>
      <c r="FZ563" s="54"/>
      <c r="GA563" s="54"/>
      <c r="GB563" s="54"/>
      <c r="GC563" s="54"/>
      <c r="GD563" s="54"/>
    </row>
    <row r="564" spans="1:186">
      <c r="A564" s="180"/>
      <c r="B564" s="180"/>
      <c r="C564" s="55"/>
      <c r="D564" s="56"/>
      <c r="E564" s="50"/>
      <c r="F564" s="50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  <c r="DW564" s="54"/>
      <c r="DX564" s="54"/>
      <c r="DY564" s="54"/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  <c r="ES564" s="54"/>
      <c r="ET564" s="54"/>
      <c r="EU564" s="54"/>
      <c r="EV564" s="54"/>
      <c r="EW564" s="54"/>
      <c r="EX564" s="54"/>
      <c r="EY564" s="54"/>
      <c r="EZ564" s="54"/>
      <c r="FA564" s="54"/>
      <c r="FB564" s="54"/>
      <c r="FC564" s="54"/>
      <c r="FD564" s="54"/>
      <c r="FE564" s="54"/>
      <c r="FF564" s="54"/>
      <c r="FG564" s="54"/>
      <c r="FH564" s="54"/>
      <c r="FI564" s="54"/>
      <c r="FJ564" s="54"/>
      <c r="FK564" s="54"/>
      <c r="FL564" s="54"/>
      <c r="FM564" s="54"/>
      <c r="FN564" s="54"/>
      <c r="FO564" s="54"/>
      <c r="FP564" s="54"/>
      <c r="FQ564" s="54"/>
      <c r="FR564" s="54"/>
      <c r="FS564" s="54"/>
      <c r="FT564" s="54"/>
      <c r="FU564" s="54"/>
      <c r="FV564" s="54"/>
      <c r="FW564" s="54"/>
      <c r="FX564" s="54"/>
      <c r="FY564" s="54"/>
      <c r="FZ564" s="54"/>
      <c r="GA564" s="54"/>
      <c r="GB564" s="54"/>
      <c r="GC564" s="54"/>
      <c r="GD564" s="54"/>
    </row>
    <row r="565" spans="1:186">
      <c r="A565" s="180"/>
      <c r="B565" s="180"/>
      <c r="C565" s="55"/>
      <c r="D565" s="56"/>
      <c r="E565" s="50"/>
      <c r="F565" s="50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  <c r="ES565" s="54"/>
      <c r="ET565" s="54"/>
      <c r="EU565" s="54"/>
      <c r="EV565" s="54"/>
      <c r="EW565" s="54"/>
      <c r="EX565" s="54"/>
      <c r="EY565" s="54"/>
      <c r="EZ565" s="54"/>
      <c r="FA565" s="54"/>
      <c r="FB565" s="54"/>
      <c r="FC565" s="54"/>
      <c r="FD565" s="54"/>
      <c r="FE565" s="54"/>
      <c r="FF565" s="54"/>
      <c r="FG565" s="54"/>
      <c r="FH565" s="54"/>
      <c r="FI565" s="54"/>
      <c r="FJ565" s="54"/>
      <c r="FK565" s="54"/>
      <c r="FL565" s="54"/>
      <c r="FM565" s="54"/>
      <c r="FN565" s="54"/>
      <c r="FO565" s="54"/>
      <c r="FP565" s="54"/>
      <c r="FQ565" s="54"/>
      <c r="FR565" s="54"/>
      <c r="FS565" s="54"/>
      <c r="FT565" s="54"/>
      <c r="FU565" s="54"/>
      <c r="FV565" s="54"/>
      <c r="FW565" s="54"/>
      <c r="FX565" s="54"/>
      <c r="FY565" s="54"/>
      <c r="FZ565" s="54"/>
      <c r="GA565" s="54"/>
      <c r="GB565" s="54"/>
      <c r="GC565" s="54"/>
      <c r="GD565" s="54"/>
    </row>
    <row r="566" spans="1:186">
      <c r="A566" s="180"/>
      <c r="B566" s="180"/>
      <c r="C566" s="55"/>
      <c r="D566" s="56"/>
      <c r="E566" s="50"/>
      <c r="F566" s="50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  <c r="DW566" s="54"/>
      <c r="DX566" s="54"/>
      <c r="DY566" s="54"/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  <c r="ES566" s="54"/>
      <c r="ET566" s="54"/>
      <c r="EU566" s="54"/>
      <c r="EV566" s="54"/>
      <c r="EW566" s="54"/>
      <c r="EX566" s="54"/>
      <c r="EY566" s="54"/>
      <c r="EZ566" s="54"/>
      <c r="FA566" s="54"/>
      <c r="FB566" s="54"/>
      <c r="FC566" s="54"/>
      <c r="FD566" s="54"/>
      <c r="FE566" s="54"/>
      <c r="FF566" s="54"/>
      <c r="FG566" s="54"/>
      <c r="FH566" s="54"/>
      <c r="FI566" s="54"/>
      <c r="FJ566" s="54"/>
      <c r="FK566" s="54"/>
      <c r="FL566" s="54"/>
      <c r="FM566" s="54"/>
      <c r="FN566" s="54"/>
      <c r="FO566" s="54"/>
      <c r="FP566" s="54"/>
      <c r="FQ566" s="54"/>
      <c r="FR566" s="54"/>
      <c r="FS566" s="54"/>
      <c r="FT566" s="54"/>
      <c r="FU566" s="54"/>
      <c r="FV566" s="54"/>
      <c r="FW566" s="54"/>
      <c r="FX566" s="54"/>
      <c r="FY566" s="54"/>
      <c r="FZ566" s="54"/>
      <c r="GA566" s="54"/>
      <c r="GB566" s="54"/>
      <c r="GC566" s="54"/>
      <c r="GD566" s="54"/>
    </row>
    <row r="567" spans="1:186">
      <c r="A567" s="180"/>
      <c r="B567" s="180"/>
      <c r="C567" s="55"/>
      <c r="D567" s="56"/>
      <c r="E567" s="50"/>
      <c r="F567" s="50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  <c r="DW567" s="54"/>
      <c r="DX567" s="54"/>
      <c r="DY567" s="54"/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  <c r="ES567" s="54"/>
      <c r="ET567" s="54"/>
      <c r="EU567" s="54"/>
      <c r="EV567" s="54"/>
      <c r="EW567" s="54"/>
      <c r="EX567" s="54"/>
      <c r="EY567" s="54"/>
      <c r="EZ567" s="54"/>
      <c r="FA567" s="54"/>
      <c r="FB567" s="54"/>
      <c r="FC567" s="54"/>
      <c r="FD567" s="54"/>
      <c r="FE567" s="54"/>
      <c r="FF567" s="54"/>
      <c r="FG567" s="54"/>
      <c r="FH567" s="54"/>
      <c r="FI567" s="54"/>
      <c r="FJ567" s="54"/>
      <c r="FK567" s="54"/>
      <c r="FL567" s="54"/>
      <c r="FM567" s="54"/>
      <c r="FN567" s="54"/>
      <c r="FO567" s="54"/>
      <c r="FP567" s="54"/>
      <c r="FQ567" s="54"/>
      <c r="FR567" s="54"/>
      <c r="FS567" s="54"/>
      <c r="FT567" s="54"/>
      <c r="FU567" s="54"/>
      <c r="FV567" s="54"/>
      <c r="FW567" s="54"/>
      <c r="FX567" s="54"/>
      <c r="FY567" s="54"/>
      <c r="FZ567" s="54"/>
      <c r="GA567" s="54"/>
      <c r="GB567" s="54"/>
      <c r="GC567" s="54"/>
      <c r="GD567" s="54"/>
    </row>
    <row r="568" spans="1:186">
      <c r="A568" s="180"/>
      <c r="B568" s="180"/>
      <c r="C568" s="55"/>
      <c r="D568" s="56"/>
      <c r="E568" s="50"/>
      <c r="F568" s="50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  <c r="DW568" s="54"/>
      <c r="DX568" s="54"/>
      <c r="DY568" s="54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  <c r="ES568" s="54"/>
      <c r="ET568" s="54"/>
      <c r="EU568" s="54"/>
      <c r="EV568" s="54"/>
      <c r="EW568" s="54"/>
      <c r="EX568" s="54"/>
      <c r="EY568" s="54"/>
      <c r="EZ568" s="54"/>
      <c r="FA568" s="54"/>
      <c r="FB568" s="54"/>
      <c r="FC568" s="54"/>
      <c r="FD568" s="54"/>
      <c r="FE568" s="54"/>
      <c r="FF568" s="54"/>
      <c r="FG568" s="54"/>
      <c r="FH568" s="54"/>
      <c r="FI568" s="54"/>
      <c r="FJ568" s="54"/>
      <c r="FK568" s="54"/>
      <c r="FL568" s="54"/>
      <c r="FM568" s="54"/>
      <c r="FN568" s="54"/>
      <c r="FO568" s="54"/>
      <c r="FP568" s="54"/>
      <c r="FQ568" s="54"/>
      <c r="FR568" s="54"/>
      <c r="FS568" s="54"/>
      <c r="FT568" s="54"/>
      <c r="FU568" s="54"/>
      <c r="FV568" s="54"/>
      <c r="FW568" s="54"/>
      <c r="FX568" s="54"/>
      <c r="FY568" s="54"/>
      <c r="FZ568" s="54"/>
      <c r="GA568" s="54"/>
      <c r="GB568" s="54"/>
      <c r="GC568" s="54"/>
      <c r="GD568" s="54"/>
    </row>
    <row r="569" spans="1:186">
      <c r="A569" s="180"/>
      <c r="B569" s="180"/>
      <c r="C569" s="55"/>
      <c r="D569" s="56"/>
      <c r="E569" s="50"/>
      <c r="F569" s="50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  <c r="ES569" s="54"/>
      <c r="ET569" s="54"/>
      <c r="EU569" s="54"/>
      <c r="EV569" s="54"/>
      <c r="EW569" s="54"/>
      <c r="EX569" s="54"/>
      <c r="EY569" s="54"/>
      <c r="EZ569" s="54"/>
      <c r="FA569" s="54"/>
      <c r="FB569" s="54"/>
      <c r="FC569" s="54"/>
      <c r="FD569" s="54"/>
      <c r="FE569" s="54"/>
      <c r="FF569" s="54"/>
      <c r="FG569" s="54"/>
      <c r="FH569" s="54"/>
      <c r="FI569" s="54"/>
      <c r="FJ569" s="54"/>
      <c r="FK569" s="54"/>
      <c r="FL569" s="54"/>
      <c r="FM569" s="54"/>
      <c r="FN569" s="54"/>
      <c r="FO569" s="54"/>
      <c r="FP569" s="54"/>
      <c r="FQ569" s="54"/>
      <c r="FR569" s="54"/>
      <c r="FS569" s="54"/>
      <c r="FT569" s="54"/>
      <c r="FU569" s="54"/>
      <c r="FV569" s="54"/>
      <c r="FW569" s="54"/>
      <c r="FX569" s="54"/>
      <c r="FY569" s="54"/>
      <c r="FZ569" s="54"/>
      <c r="GA569" s="54"/>
      <c r="GB569" s="54"/>
      <c r="GC569" s="54"/>
      <c r="GD569" s="54"/>
    </row>
    <row r="570" spans="1:186">
      <c r="A570" s="180"/>
      <c r="B570" s="180"/>
      <c r="C570" s="55"/>
      <c r="D570" s="56"/>
      <c r="E570" s="50"/>
      <c r="F570" s="50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  <c r="DW570" s="54"/>
      <c r="DX570" s="54"/>
      <c r="DY570" s="54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  <c r="ES570" s="54"/>
      <c r="ET570" s="54"/>
      <c r="EU570" s="54"/>
      <c r="EV570" s="54"/>
      <c r="EW570" s="54"/>
      <c r="EX570" s="54"/>
      <c r="EY570" s="54"/>
      <c r="EZ570" s="54"/>
      <c r="FA570" s="54"/>
      <c r="FB570" s="54"/>
      <c r="FC570" s="54"/>
      <c r="FD570" s="54"/>
      <c r="FE570" s="54"/>
      <c r="FF570" s="54"/>
      <c r="FG570" s="54"/>
      <c r="FH570" s="54"/>
      <c r="FI570" s="54"/>
      <c r="FJ570" s="54"/>
      <c r="FK570" s="54"/>
      <c r="FL570" s="54"/>
      <c r="FM570" s="54"/>
      <c r="FN570" s="54"/>
      <c r="FO570" s="54"/>
      <c r="FP570" s="54"/>
      <c r="FQ570" s="54"/>
      <c r="FR570" s="54"/>
      <c r="FS570" s="54"/>
      <c r="FT570" s="54"/>
      <c r="FU570" s="54"/>
      <c r="FV570" s="54"/>
      <c r="FW570" s="54"/>
      <c r="FX570" s="54"/>
      <c r="FY570" s="54"/>
      <c r="FZ570" s="54"/>
      <c r="GA570" s="54"/>
      <c r="GB570" s="54"/>
      <c r="GC570" s="54"/>
      <c r="GD570" s="54"/>
    </row>
    <row r="571" spans="1:186">
      <c r="A571" s="180"/>
      <c r="B571" s="180"/>
      <c r="C571" s="55"/>
      <c r="D571" s="56"/>
      <c r="E571" s="50"/>
      <c r="F571" s="50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  <c r="ES571" s="54"/>
      <c r="ET571" s="54"/>
      <c r="EU571" s="54"/>
      <c r="EV571" s="54"/>
      <c r="EW571" s="54"/>
      <c r="EX571" s="54"/>
      <c r="EY571" s="54"/>
      <c r="EZ571" s="54"/>
      <c r="FA571" s="54"/>
      <c r="FB571" s="54"/>
      <c r="FC571" s="54"/>
      <c r="FD571" s="54"/>
      <c r="FE571" s="54"/>
      <c r="FF571" s="54"/>
      <c r="FG571" s="54"/>
      <c r="FH571" s="54"/>
      <c r="FI571" s="54"/>
      <c r="FJ571" s="54"/>
      <c r="FK571" s="54"/>
      <c r="FL571" s="54"/>
      <c r="FM571" s="54"/>
      <c r="FN571" s="54"/>
      <c r="FO571" s="54"/>
      <c r="FP571" s="54"/>
      <c r="FQ571" s="54"/>
      <c r="FR571" s="54"/>
      <c r="FS571" s="54"/>
      <c r="FT571" s="54"/>
      <c r="FU571" s="54"/>
      <c r="FV571" s="54"/>
      <c r="FW571" s="54"/>
      <c r="FX571" s="54"/>
      <c r="FY571" s="54"/>
      <c r="FZ571" s="54"/>
      <c r="GA571" s="54"/>
      <c r="GB571" s="54"/>
      <c r="GC571" s="54"/>
      <c r="GD571" s="54"/>
    </row>
  </sheetData>
  <autoFilter ref="A1:F391"/>
  <conditionalFormatting sqref="B392:B1048576 B3:B316">
    <cfRule type="duplicateValues" dxfId="14" priority="9"/>
  </conditionalFormatting>
  <conditionalFormatting sqref="B318:B338">
    <cfRule type="duplicateValues" dxfId="13" priority="8"/>
  </conditionalFormatting>
  <conditionalFormatting sqref="C317">
    <cfRule type="duplicateValues" dxfId="12" priority="5"/>
  </conditionalFormatting>
  <conditionalFormatting sqref="B317">
    <cfRule type="duplicateValues" dxfId="11" priority="6"/>
  </conditionalFormatting>
  <conditionalFormatting sqref="B339">
    <cfRule type="duplicateValues" dxfId="10" priority="4"/>
  </conditionalFormatting>
  <conditionalFormatting sqref="C339">
    <cfRule type="duplicateValues" dxfId="9" priority="3"/>
  </conditionalFormatting>
  <conditionalFormatting sqref="B343:B388 B340:B341">
    <cfRule type="duplicateValues" dxfId="8" priority="188"/>
  </conditionalFormatting>
  <conditionalFormatting sqref="B389:B391">
    <cfRule type="duplicateValues" dxfId="7" priority="2"/>
  </conditionalFormatting>
  <conditionalFormatting sqref="B2">
    <cfRule type="duplicateValues" dxfId="6" priority="1"/>
  </conditionalFormatting>
  <printOptions horizontalCentered="1"/>
  <pageMargins left="0" right="0" top="0.19685039370078741" bottom="0.19685039370078741" header="0.31496062992125984" footer="0.31496062992125984"/>
  <pageSetup paperSize="9" scale="80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0"/>
  <sheetViews>
    <sheetView zoomScaleNormal="100" workbookViewId="0">
      <selection sqref="A1:J1"/>
    </sheetView>
  </sheetViews>
  <sheetFormatPr defaultColWidth="9.140625" defaultRowHeight="12.75"/>
  <cols>
    <col min="1" max="2" width="3.42578125" style="791" customWidth="1"/>
    <col min="3" max="4" width="2.7109375" style="791" customWidth="1"/>
    <col min="5" max="5" width="3.42578125" style="791" customWidth="1"/>
    <col min="6" max="6" width="40.7109375" style="629" customWidth="1"/>
    <col min="7" max="8" width="11.7109375" style="668" customWidth="1"/>
    <col min="9" max="9" width="13" style="787" customWidth="1"/>
    <col min="10" max="10" width="13" style="787" bestFit="1" customWidth="1"/>
    <col min="11" max="11" width="12" style="788" bestFit="1" customWidth="1"/>
    <col min="12" max="12" width="8.140625" style="789" customWidth="1"/>
    <col min="13" max="13" width="13.42578125" style="629" bestFit="1" customWidth="1"/>
    <col min="14" max="14" width="13.85546875" style="629" bestFit="1" customWidth="1"/>
    <col min="15" max="16" width="9.140625" style="629"/>
    <col min="17" max="17" width="12.7109375" style="629" bestFit="1" customWidth="1"/>
    <col min="18" max="18" width="9.140625" style="629"/>
    <col min="19" max="19" width="10.85546875" style="629" bestFit="1" customWidth="1"/>
    <col min="20" max="16384" width="9.140625" style="629"/>
  </cols>
  <sheetData>
    <row r="1" spans="1:20" ht="32.25" customHeight="1" thickBot="1">
      <c r="A1" s="831" t="s">
        <v>5312</v>
      </c>
      <c r="B1" s="832"/>
      <c r="C1" s="832"/>
      <c r="D1" s="832"/>
      <c r="E1" s="832"/>
      <c r="F1" s="832"/>
      <c r="G1" s="832"/>
      <c r="H1" s="832"/>
      <c r="I1" s="832"/>
      <c r="J1" s="832"/>
      <c r="K1" s="833" t="s">
        <v>5313</v>
      </c>
      <c r="L1" s="834"/>
    </row>
    <row r="2" spans="1:20" ht="7.5" customHeight="1" thickBot="1">
      <c r="A2" s="630"/>
      <c r="B2" s="630"/>
      <c r="C2" s="630"/>
      <c r="D2" s="630"/>
      <c r="E2" s="630"/>
      <c r="F2" s="631"/>
      <c r="G2" s="632"/>
      <c r="H2" s="632"/>
      <c r="I2" s="633"/>
      <c r="J2" s="634"/>
      <c r="K2" s="635"/>
      <c r="L2" s="636"/>
    </row>
    <row r="3" spans="1:20" ht="13.15" customHeight="1">
      <c r="A3" s="835" t="s">
        <v>1823</v>
      </c>
      <c r="B3" s="836"/>
      <c r="C3" s="836"/>
      <c r="D3" s="836"/>
      <c r="E3" s="836"/>
      <c r="F3" s="836"/>
      <c r="G3" s="836"/>
      <c r="H3" s="836"/>
      <c r="I3" s="840" t="s">
        <v>5314</v>
      </c>
      <c r="J3" s="840" t="s">
        <v>5315</v>
      </c>
      <c r="K3" s="842" t="s">
        <v>3622</v>
      </c>
      <c r="L3" s="843"/>
    </row>
    <row r="4" spans="1:20" s="639" customFormat="1" ht="39.75" customHeight="1">
      <c r="A4" s="837"/>
      <c r="B4" s="838"/>
      <c r="C4" s="838"/>
      <c r="D4" s="838"/>
      <c r="E4" s="838"/>
      <c r="F4" s="838"/>
      <c r="G4" s="839"/>
      <c r="H4" s="838"/>
      <c r="I4" s="841"/>
      <c r="J4" s="841"/>
      <c r="K4" s="637" t="s">
        <v>2</v>
      </c>
      <c r="L4" s="638" t="s">
        <v>3</v>
      </c>
    </row>
    <row r="5" spans="1:20">
      <c r="A5" s="640"/>
      <c r="B5" s="641"/>
      <c r="C5" s="641"/>
      <c r="D5" s="641"/>
      <c r="E5" s="641"/>
      <c r="F5" s="642"/>
      <c r="G5" s="643"/>
      <c r="H5" s="644"/>
      <c r="I5" s="645"/>
      <c r="J5" s="645"/>
      <c r="K5" s="646"/>
      <c r="L5" s="647"/>
    </row>
    <row r="6" spans="1:20" s="657" customFormat="1" ht="11.25">
      <c r="A6" s="648" t="s">
        <v>4</v>
      </c>
      <c r="B6" s="649" t="s">
        <v>5316</v>
      </c>
      <c r="C6" s="650"/>
      <c r="D6" s="650"/>
      <c r="E6" s="650"/>
      <c r="F6" s="651"/>
      <c r="G6" s="652"/>
      <c r="H6" s="652"/>
      <c r="I6" s="653"/>
      <c r="J6" s="654"/>
      <c r="K6" s="655"/>
      <c r="L6" s="656"/>
    </row>
    <row r="7" spans="1:20" s="657" customFormat="1" ht="11.25">
      <c r="A7" s="658"/>
      <c r="B7" s="650" t="s">
        <v>5317</v>
      </c>
      <c r="C7" s="659" t="s">
        <v>5318</v>
      </c>
      <c r="D7" s="650"/>
      <c r="E7" s="650"/>
      <c r="F7" s="651"/>
      <c r="G7" s="652"/>
      <c r="H7" s="652"/>
      <c r="I7" s="660">
        <f>SUM(I8:I12)</f>
        <v>1643977</v>
      </c>
      <c r="J7" s="660">
        <f>SUM(J8:J12)</f>
        <v>1722302</v>
      </c>
      <c r="K7" s="661">
        <f>+I7-J7</f>
        <v>-78325</v>
      </c>
      <c r="L7" s="187">
        <f>IF(J7=0,"-    ",K7/J7)</f>
        <v>-4.5476925649508622E-2</v>
      </c>
      <c r="M7" s="662"/>
    </row>
    <row r="8" spans="1:20" s="668" customFormat="1" ht="11.25">
      <c r="A8" s="648"/>
      <c r="B8" s="650"/>
      <c r="C8" s="663" t="s">
        <v>86</v>
      </c>
      <c r="D8" s="196" t="s">
        <v>5319</v>
      </c>
      <c r="E8" s="650"/>
      <c r="F8" s="664"/>
      <c r="G8" s="665"/>
      <c r="H8" s="665"/>
      <c r="I8" s="666">
        <f>ROUND(+'SP Min'!D32-'SP Min'!D54,0)</f>
        <v>0</v>
      </c>
      <c r="J8" s="666">
        <f>ROUND(+'SP Min'!E32-'SP Min'!E54,0)</f>
        <v>0</v>
      </c>
      <c r="K8" s="661">
        <f t="shared" ref="K8:K37" si="0">+I8-J8</f>
        <v>0</v>
      </c>
      <c r="L8" s="667" t="str">
        <f t="shared" ref="L8:L36" si="1">IF(J8=0,"-    ",K8/J8)</f>
        <v xml:space="preserve">-    </v>
      </c>
      <c r="M8" s="662"/>
    </row>
    <row r="9" spans="1:20" s="668" customFormat="1" ht="11.25">
      <c r="A9" s="669"/>
      <c r="B9" s="650"/>
      <c r="C9" s="663" t="s">
        <v>88</v>
      </c>
      <c r="D9" s="196" t="s">
        <v>5320</v>
      </c>
      <c r="E9" s="650"/>
      <c r="F9" s="670"/>
      <c r="G9" s="665"/>
      <c r="H9" s="665"/>
      <c r="I9" s="671">
        <f>ROUND(+'SP Min'!D35-'SP Min'!D55,0)</f>
        <v>0</v>
      </c>
      <c r="J9" s="671">
        <f>ROUND(+'SP Min'!E35-'SP Min'!E55,0)</f>
        <v>0</v>
      </c>
      <c r="K9" s="661">
        <f t="shared" si="0"/>
        <v>0</v>
      </c>
      <c r="L9" s="667" t="str">
        <f t="shared" si="1"/>
        <v xml:space="preserve">-    </v>
      </c>
      <c r="M9" s="662"/>
    </row>
    <row r="10" spans="1:20" s="668" customFormat="1" ht="11.25">
      <c r="A10" s="669"/>
      <c r="B10" s="650"/>
      <c r="C10" s="663" t="s">
        <v>116</v>
      </c>
      <c r="D10" s="196" t="s">
        <v>5321</v>
      </c>
      <c r="E10" s="650"/>
      <c r="F10" s="670"/>
      <c r="G10" s="665"/>
      <c r="H10" s="665"/>
      <c r="I10" s="671">
        <f>ROUND(+'SP Min'!D38-'SP Min'!D56,0)</f>
        <v>7279</v>
      </c>
      <c r="J10" s="671">
        <f>ROUND(+'SP Min'!E38-'SP Min'!E56,0)</f>
        <v>7279</v>
      </c>
      <c r="K10" s="661">
        <f t="shared" si="0"/>
        <v>0</v>
      </c>
      <c r="L10" s="667">
        <f t="shared" si="1"/>
        <v>0</v>
      </c>
      <c r="M10" s="662"/>
      <c r="Q10" s="672"/>
      <c r="R10" s="672"/>
      <c r="S10" s="672"/>
      <c r="T10" s="672"/>
    </row>
    <row r="11" spans="1:20" s="668" customFormat="1" ht="11.25">
      <c r="A11" s="669"/>
      <c r="B11" s="650"/>
      <c r="C11" s="663" t="s">
        <v>5322</v>
      </c>
      <c r="D11" s="196" t="s">
        <v>3682</v>
      </c>
      <c r="E11" s="650"/>
      <c r="F11" s="670"/>
      <c r="G11" s="665"/>
      <c r="H11" s="665"/>
      <c r="I11" s="671">
        <f>ROUND(+'SP Min'!D43,0)</f>
        <v>94555</v>
      </c>
      <c r="J11" s="671">
        <f>ROUND(+'SP Min'!E43,0)</f>
        <v>94555</v>
      </c>
      <c r="K11" s="661">
        <f t="shared" si="0"/>
        <v>0</v>
      </c>
      <c r="L11" s="667">
        <f t="shared" si="1"/>
        <v>0</v>
      </c>
      <c r="M11" s="662"/>
      <c r="Q11" s="672"/>
      <c r="R11" s="672"/>
      <c r="S11" s="672"/>
      <c r="T11" s="672"/>
    </row>
    <row r="12" spans="1:20" s="668" customFormat="1" ht="11.25">
      <c r="A12" s="669"/>
      <c r="B12" s="650"/>
      <c r="C12" s="663" t="s">
        <v>5323</v>
      </c>
      <c r="D12" s="196" t="s">
        <v>3712</v>
      </c>
      <c r="E12" s="650"/>
      <c r="F12" s="670"/>
      <c r="G12" s="665"/>
      <c r="H12" s="665"/>
      <c r="I12" s="671">
        <f>ROUND(+'SP Min'!D44-'SP Min'!D57,0)</f>
        <v>1542143</v>
      </c>
      <c r="J12" s="671">
        <f>ROUND(+'SP Min'!E44-'SP Min'!E57,0)</f>
        <v>1620468</v>
      </c>
      <c r="K12" s="661">
        <f t="shared" si="0"/>
        <v>-78325</v>
      </c>
      <c r="L12" s="667">
        <f t="shared" si="1"/>
        <v>-4.833480204484137E-2</v>
      </c>
      <c r="M12" s="662"/>
      <c r="Q12" s="672"/>
      <c r="R12" s="672"/>
      <c r="S12" s="672"/>
      <c r="T12" s="672"/>
    </row>
    <row r="13" spans="1:20" s="657" customFormat="1" ht="11.25">
      <c r="A13" s="658"/>
      <c r="B13" s="650" t="s">
        <v>5324</v>
      </c>
      <c r="C13" s="673" t="s">
        <v>5325</v>
      </c>
      <c r="D13" s="650"/>
      <c r="E13" s="650"/>
      <c r="F13" s="651"/>
      <c r="G13" s="652"/>
      <c r="H13" s="652"/>
      <c r="I13" s="660">
        <f>I14+I17+SUM(I20:I26)</f>
        <v>326187412</v>
      </c>
      <c r="J13" s="660">
        <f>J14+J17+SUM(J20:J26)</f>
        <v>327248853</v>
      </c>
      <c r="K13" s="661">
        <f t="shared" si="0"/>
        <v>-1061441</v>
      </c>
      <c r="L13" s="656">
        <f t="shared" si="1"/>
        <v>-3.2435285571497481E-3</v>
      </c>
      <c r="M13" s="662"/>
      <c r="Q13" s="674"/>
      <c r="R13" s="674"/>
      <c r="S13" s="674"/>
      <c r="T13" s="674"/>
    </row>
    <row r="14" spans="1:20" s="668" customFormat="1" ht="11.25">
      <c r="A14" s="648"/>
      <c r="B14" s="650"/>
      <c r="C14" s="663" t="s">
        <v>86</v>
      </c>
      <c r="D14" s="196" t="s">
        <v>5326</v>
      </c>
      <c r="E14" s="663"/>
      <c r="F14" s="675"/>
      <c r="G14" s="665"/>
      <c r="H14" s="665"/>
      <c r="I14" s="671">
        <f>SUM(I15:I16)</f>
        <v>1843437</v>
      </c>
      <c r="J14" s="671">
        <f>SUM(J15:J16)</f>
        <v>1843437</v>
      </c>
      <c r="K14" s="661">
        <f t="shared" si="0"/>
        <v>0</v>
      </c>
      <c r="L14" s="656">
        <f t="shared" si="1"/>
        <v>0</v>
      </c>
      <c r="M14" s="662"/>
      <c r="Q14" s="672"/>
      <c r="R14" s="672"/>
      <c r="S14" s="672"/>
      <c r="T14" s="672"/>
    </row>
    <row r="15" spans="1:20" s="682" customFormat="1" ht="11.25">
      <c r="A15" s="676"/>
      <c r="B15" s="677"/>
      <c r="C15" s="678"/>
      <c r="D15" s="678" t="s">
        <v>5327</v>
      </c>
      <c r="E15" s="679" t="s">
        <v>3742</v>
      </c>
      <c r="F15" s="680"/>
      <c r="G15" s="681"/>
      <c r="H15" s="681"/>
      <c r="I15" s="671">
        <f>ROUND(+'SP Min'!D60+'SP Attivo Alim'!F100,0)</f>
        <v>497010</v>
      </c>
      <c r="J15" s="671">
        <f>ROUND(+'SP Min'!E60+'SP Attivo Alim'!G100,0)</f>
        <v>497010</v>
      </c>
      <c r="K15" s="661">
        <f t="shared" si="0"/>
        <v>0</v>
      </c>
      <c r="L15" s="656">
        <f t="shared" si="1"/>
        <v>0</v>
      </c>
      <c r="M15" s="662"/>
      <c r="Q15" s="683"/>
      <c r="R15" s="683"/>
      <c r="S15" s="683"/>
      <c r="T15" s="683"/>
    </row>
    <row r="16" spans="1:20" s="682" customFormat="1" ht="11.25">
      <c r="A16" s="676"/>
      <c r="B16" s="677"/>
      <c r="C16" s="678"/>
      <c r="D16" s="678" t="s">
        <v>5328</v>
      </c>
      <c r="E16" s="684" t="s">
        <v>3746</v>
      </c>
      <c r="F16" s="675"/>
      <c r="G16" s="681"/>
      <c r="H16" s="681"/>
      <c r="I16" s="671">
        <f>ROUND(+'SP Min'!D61+'SP Attivo Alim'!F104,0)</f>
        <v>1346427</v>
      </c>
      <c r="J16" s="671">
        <f>ROUND(+'SP Min'!E61+'SP Attivo Alim'!G104,0)</f>
        <v>1346427</v>
      </c>
      <c r="K16" s="661">
        <f t="shared" si="0"/>
        <v>0</v>
      </c>
      <c r="L16" s="656">
        <f t="shared" si="1"/>
        <v>0</v>
      </c>
      <c r="M16" s="662"/>
      <c r="Q16" s="683"/>
      <c r="R16" s="683"/>
      <c r="S16" s="683"/>
      <c r="T16" s="683"/>
    </row>
    <row r="17" spans="1:20" s="668" customFormat="1" ht="11.25">
      <c r="A17" s="648"/>
      <c r="B17" s="650"/>
      <c r="C17" s="663" t="s">
        <v>88</v>
      </c>
      <c r="D17" s="202" t="s">
        <v>5329</v>
      </c>
      <c r="E17" s="650"/>
      <c r="F17" s="670"/>
      <c r="G17" s="665"/>
      <c r="H17" s="665"/>
      <c r="I17" s="671">
        <f>SUM(I18:I19)</f>
        <v>245700995</v>
      </c>
      <c r="J17" s="671">
        <f>SUM(J18:J19)</f>
        <v>259725976</v>
      </c>
      <c r="K17" s="661">
        <f t="shared" si="0"/>
        <v>-14024981</v>
      </c>
      <c r="L17" s="667">
        <f t="shared" si="1"/>
        <v>-5.3999146392658084E-2</v>
      </c>
      <c r="M17" s="662"/>
      <c r="Q17" s="672"/>
      <c r="R17" s="672"/>
      <c r="S17" s="672"/>
      <c r="T17" s="672"/>
    </row>
    <row r="18" spans="1:20" s="668" customFormat="1" ht="11.25">
      <c r="A18" s="648"/>
      <c r="B18" s="650"/>
      <c r="C18" s="663"/>
      <c r="D18" s="678" t="s">
        <v>5327</v>
      </c>
      <c r="E18" s="679" t="s">
        <v>3754</v>
      </c>
      <c r="F18" s="675"/>
      <c r="G18" s="665"/>
      <c r="H18" s="665"/>
      <c r="I18" s="671">
        <f>ROUND('SP Min'!D63+'SP Attivo Alim'!F103,0)</f>
        <v>725059</v>
      </c>
      <c r="J18" s="671">
        <f>ROUND('SP Min'!E63+'SP Attivo Alim'!G103,0)</f>
        <v>790924</v>
      </c>
      <c r="K18" s="661">
        <f t="shared" si="0"/>
        <v>-65865</v>
      </c>
      <c r="L18" s="667">
        <f t="shared" si="1"/>
        <v>-8.3276016406127515E-2</v>
      </c>
      <c r="M18" s="662"/>
      <c r="Q18" s="672"/>
      <c r="R18" s="672"/>
      <c r="S18" s="672"/>
      <c r="T18" s="672"/>
    </row>
    <row r="19" spans="1:20" s="668" customFormat="1" ht="11.25">
      <c r="A19" s="648"/>
      <c r="B19" s="650"/>
      <c r="C19" s="663"/>
      <c r="D19" s="678" t="s">
        <v>5328</v>
      </c>
      <c r="E19" s="679" t="s">
        <v>3764</v>
      </c>
      <c r="F19" s="196"/>
      <c r="G19" s="665"/>
      <c r="H19" s="665"/>
      <c r="I19" s="671">
        <f>+ROUND('SP Min'!D66+'SP Attivo Alim'!F101,0)</f>
        <v>244975936</v>
      </c>
      <c r="J19" s="671">
        <f>+ROUND('SP Min'!E66+'SP Attivo Alim'!G101,0)</f>
        <v>258935052</v>
      </c>
      <c r="K19" s="661">
        <f t="shared" si="0"/>
        <v>-13959116</v>
      </c>
      <c r="L19" s="667">
        <f t="shared" si="1"/>
        <v>-5.3909719414890186E-2</v>
      </c>
      <c r="M19" s="662"/>
      <c r="Q19" s="672"/>
      <c r="R19" s="672"/>
      <c r="S19" s="672"/>
      <c r="T19" s="672"/>
    </row>
    <row r="20" spans="1:20" s="668" customFormat="1" ht="11.25">
      <c r="A20" s="648"/>
      <c r="B20" s="650"/>
      <c r="C20" s="663" t="s">
        <v>116</v>
      </c>
      <c r="D20" s="202" t="s">
        <v>3774</v>
      </c>
      <c r="E20" s="650"/>
      <c r="F20" s="196"/>
      <c r="G20" s="665"/>
      <c r="H20" s="665"/>
      <c r="I20" s="671">
        <f>+ROUND('SP Min'!D69+'SP Attivo Alim'!F106,0)</f>
        <v>1335226</v>
      </c>
      <c r="J20" s="671">
        <f>+ROUND('SP Min'!E69+'SP Attivo Alim'!G106,0)</f>
        <v>1459380</v>
      </c>
      <c r="K20" s="661">
        <f t="shared" si="0"/>
        <v>-124154</v>
      </c>
      <c r="L20" s="667">
        <f t="shared" si="1"/>
        <v>-8.5073113239868992E-2</v>
      </c>
      <c r="M20" s="662"/>
      <c r="Q20" s="672"/>
      <c r="R20" s="672"/>
      <c r="S20" s="672"/>
      <c r="T20" s="672"/>
    </row>
    <row r="21" spans="1:20" s="668" customFormat="1" ht="11.25">
      <c r="A21" s="648"/>
      <c r="B21" s="650"/>
      <c r="C21" s="663" t="s">
        <v>5322</v>
      </c>
      <c r="D21" s="685" t="s">
        <v>3784</v>
      </c>
      <c r="E21" s="650"/>
      <c r="F21" s="670"/>
      <c r="G21" s="665"/>
      <c r="H21" s="665"/>
      <c r="I21" s="671">
        <f>+ROUND('SP Min'!D72+'SP Attivo Alim'!F108,0)</f>
        <v>20179404</v>
      </c>
      <c r="J21" s="671">
        <f>+ROUND('SP Min'!E72+'SP Attivo Alim'!G108,0)</f>
        <v>18593205</v>
      </c>
      <c r="K21" s="661">
        <f t="shared" si="0"/>
        <v>1586199</v>
      </c>
      <c r="L21" s="667">
        <f t="shared" si="1"/>
        <v>8.5310682047554473E-2</v>
      </c>
      <c r="M21" s="662"/>
      <c r="Q21" s="672"/>
      <c r="R21" s="672"/>
      <c r="S21" s="672"/>
      <c r="T21" s="672"/>
    </row>
    <row r="22" spans="1:20" s="668" customFormat="1" ht="11.25">
      <c r="A22" s="648"/>
      <c r="B22" s="650"/>
      <c r="C22" s="663" t="s">
        <v>5323</v>
      </c>
      <c r="D22" s="202" t="s">
        <v>3794</v>
      </c>
      <c r="E22" s="650"/>
      <c r="F22" s="664"/>
      <c r="G22" s="665"/>
      <c r="H22" s="665"/>
      <c r="I22" s="671">
        <f>+ROUND('SP Min'!D75+'SP Attivo Alim'!F110,0)</f>
        <v>2009041</v>
      </c>
      <c r="J22" s="671">
        <f>+ROUND('SP Min'!E75+'SP Attivo Alim'!G110,0)</f>
        <v>1334264</v>
      </c>
      <c r="K22" s="661">
        <f t="shared" si="0"/>
        <v>674777</v>
      </c>
      <c r="L22" s="667">
        <f t="shared" si="1"/>
        <v>0.50572975063405745</v>
      </c>
      <c r="M22" s="662"/>
      <c r="Q22" s="672"/>
      <c r="R22" s="672"/>
      <c r="S22" s="672"/>
      <c r="T22" s="672"/>
    </row>
    <row r="23" spans="1:20" s="668" customFormat="1" ht="11.25">
      <c r="A23" s="648"/>
      <c r="B23" s="650"/>
      <c r="C23" s="663" t="s">
        <v>5330</v>
      </c>
      <c r="D23" s="202" t="s">
        <v>3804</v>
      </c>
      <c r="E23" s="650"/>
      <c r="F23" s="196"/>
      <c r="G23" s="665"/>
      <c r="H23" s="665"/>
      <c r="I23" s="671">
        <f>+ROUND('SP Min'!D78+'SP Attivo Alim'!F112,0)</f>
        <v>1060112</v>
      </c>
      <c r="J23" s="671">
        <f>+ROUND('SP Min'!E78+'SP Attivo Alim'!G112,0)</f>
        <v>614171</v>
      </c>
      <c r="K23" s="661">
        <f t="shared" si="0"/>
        <v>445941</v>
      </c>
      <c r="L23" s="667">
        <f t="shared" si="1"/>
        <v>0.72608605746608035</v>
      </c>
      <c r="M23" s="662"/>
      <c r="Q23" s="672"/>
      <c r="R23" s="672"/>
      <c r="S23" s="672"/>
      <c r="T23" s="672"/>
    </row>
    <row r="24" spans="1:20" s="668" customFormat="1" ht="11.25">
      <c r="A24" s="648"/>
      <c r="B24" s="650"/>
      <c r="C24" s="663" t="s">
        <v>5331</v>
      </c>
      <c r="D24" s="202" t="s">
        <v>3812</v>
      </c>
      <c r="E24" s="650"/>
      <c r="F24" s="196"/>
      <c r="G24" s="665"/>
      <c r="H24" s="665"/>
      <c r="I24" s="671">
        <f>+ROUND('SP Min'!D81+'SP Attivo Alim'!F114,0)</f>
        <v>289398</v>
      </c>
      <c r="J24" s="671">
        <f>+ROUND('SP Min'!E81+'SP Attivo Alim'!G114,0)</f>
        <v>44398</v>
      </c>
      <c r="K24" s="661">
        <f t="shared" si="0"/>
        <v>245000</v>
      </c>
      <c r="L24" s="667">
        <f t="shared" si="1"/>
        <v>5.518266588585071</v>
      </c>
      <c r="M24" s="662"/>
      <c r="Q24" s="672"/>
      <c r="R24" s="672"/>
      <c r="S24" s="672"/>
      <c r="T24" s="672"/>
    </row>
    <row r="25" spans="1:20" s="668" customFormat="1" ht="11.25">
      <c r="A25" s="648"/>
      <c r="B25" s="650"/>
      <c r="C25" s="663" t="s">
        <v>5332</v>
      </c>
      <c r="D25" s="196" t="s">
        <v>3818</v>
      </c>
      <c r="E25" s="650"/>
      <c r="F25" s="670"/>
      <c r="G25" s="665"/>
      <c r="H25" s="665"/>
      <c r="I25" s="671">
        <f>+ROUND('SP Min'!D82+'SP Attivo Alim'!F116,0)</f>
        <v>2798137</v>
      </c>
      <c r="J25" s="671">
        <f>+ROUND('SP Min'!E82+'SP Attivo Alim'!G116,0)</f>
        <v>2652507</v>
      </c>
      <c r="K25" s="661">
        <f t="shared" si="0"/>
        <v>145630</v>
      </c>
      <c r="L25" s="667">
        <f t="shared" si="1"/>
        <v>5.4902776882398426E-2</v>
      </c>
      <c r="M25" s="662"/>
      <c r="Q25" s="672"/>
      <c r="R25" s="672"/>
      <c r="S25" s="672"/>
      <c r="T25" s="672"/>
    </row>
    <row r="26" spans="1:20" s="668" customFormat="1" ht="11.25">
      <c r="A26" s="648"/>
      <c r="B26" s="650"/>
      <c r="C26" s="663" t="s">
        <v>5333</v>
      </c>
      <c r="D26" s="196" t="s">
        <v>3826</v>
      </c>
      <c r="E26" s="650"/>
      <c r="F26" s="664"/>
      <c r="G26" s="665"/>
      <c r="H26" s="665"/>
      <c r="I26" s="671">
        <f>+ROUND('SP Min'!D85,0)</f>
        <v>50971662</v>
      </c>
      <c r="J26" s="671">
        <f>+ROUND('SP Min'!E85,0)</f>
        <v>40981515</v>
      </c>
      <c r="K26" s="661">
        <f t="shared" si="0"/>
        <v>9990147</v>
      </c>
      <c r="L26" s="667">
        <f t="shared" si="1"/>
        <v>0.24377202746164947</v>
      </c>
      <c r="M26" s="662"/>
      <c r="Q26" s="672"/>
      <c r="R26" s="672"/>
      <c r="S26" s="672"/>
      <c r="T26" s="672"/>
    </row>
    <row r="27" spans="1:20" s="668" customFormat="1" ht="11.25">
      <c r="A27" s="648"/>
      <c r="B27" s="650"/>
      <c r="C27" s="663"/>
      <c r="D27" s="650"/>
      <c r="E27" s="650"/>
      <c r="F27" s="202"/>
      <c r="G27" s="686" t="s">
        <v>5334</v>
      </c>
      <c r="H27" s="686" t="s">
        <v>5335</v>
      </c>
      <c r="I27" s="671"/>
      <c r="J27" s="671"/>
      <c r="K27" s="661">
        <f t="shared" si="0"/>
        <v>0</v>
      </c>
      <c r="L27" s="667" t="str">
        <f t="shared" si="1"/>
        <v xml:space="preserve">-    </v>
      </c>
      <c r="M27" s="662"/>
      <c r="Q27" s="672"/>
      <c r="R27" s="672"/>
      <c r="S27" s="672"/>
      <c r="T27" s="672"/>
    </row>
    <row r="28" spans="1:20" s="657" customFormat="1" ht="40.5" customHeight="1">
      <c r="A28" s="658"/>
      <c r="B28" s="650" t="s">
        <v>5336</v>
      </c>
      <c r="C28" s="844" t="s">
        <v>5337</v>
      </c>
      <c r="D28" s="844"/>
      <c r="E28" s="844"/>
      <c r="F28" s="845"/>
      <c r="G28" s="660">
        <f t="shared" ref="G28:H28" si="2">G29+G34</f>
        <v>0</v>
      </c>
      <c r="H28" s="660">
        <f t="shared" si="2"/>
        <v>6952182</v>
      </c>
      <c r="I28" s="660">
        <f>I29+I34</f>
        <v>8338182</v>
      </c>
      <c r="J28" s="660">
        <f>J29+J34</f>
        <v>6952182</v>
      </c>
      <c r="K28" s="661">
        <f t="shared" si="0"/>
        <v>1386000</v>
      </c>
      <c r="L28" s="656">
        <f t="shared" si="1"/>
        <v>0.1993618694102082</v>
      </c>
      <c r="M28" s="662"/>
      <c r="Q28" s="674"/>
      <c r="R28" s="674"/>
      <c r="S28" s="674"/>
      <c r="T28" s="674"/>
    </row>
    <row r="29" spans="1:20" s="668" customFormat="1" ht="11.25">
      <c r="A29" s="669"/>
      <c r="B29" s="650"/>
      <c r="C29" s="663" t="s">
        <v>86</v>
      </c>
      <c r="D29" s="687" t="s">
        <v>5338</v>
      </c>
      <c r="E29" s="670"/>
      <c r="F29" s="670"/>
      <c r="G29" s="671">
        <f t="shared" ref="G29:H29" si="3">SUM(G30:G33)</f>
        <v>0</v>
      </c>
      <c r="H29" s="671">
        <f t="shared" si="3"/>
        <v>6952182</v>
      </c>
      <c r="I29" s="671">
        <f>SUM(I30:I33)</f>
        <v>6952182</v>
      </c>
      <c r="J29" s="671">
        <f>SUM(J30:J33)</f>
        <v>6952182</v>
      </c>
      <c r="K29" s="661">
        <f t="shared" si="0"/>
        <v>0</v>
      </c>
      <c r="L29" s="667">
        <f t="shared" si="1"/>
        <v>0</v>
      </c>
      <c r="M29" s="662"/>
      <c r="Q29" s="672"/>
      <c r="R29" s="672"/>
      <c r="S29" s="672"/>
      <c r="T29" s="672"/>
    </row>
    <row r="30" spans="1:20" s="668" customFormat="1" ht="11.25">
      <c r="A30" s="648"/>
      <c r="B30" s="650"/>
      <c r="C30" s="650"/>
      <c r="D30" s="678" t="s">
        <v>5327</v>
      </c>
      <c r="E30" s="675" t="s">
        <v>3872</v>
      </c>
      <c r="F30" s="664"/>
      <c r="G30" s="688"/>
      <c r="H30" s="688"/>
      <c r="I30" s="671">
        <f>+ROUND('SP Min'!D97,0)</f>
        <v>0</v>
      </c>
      <c r="J30" s="671">
        <f>+ROUND('SP Min'!E97,0)</f>
        <v>0</v>
      </c>
      <c r="K30" s="661">
        <f t="shared" si="0"/>
        <v>0</v>
      </c>
      <c r="L30" s="667" t="str">
        <f t="shared" si="1"/>
        <v xml:space="preserve">-    </v>
      </c>
      <c r="M30" s="662"/>
      <c r="Q30" s="672"/>
      <c r="R30" s="672"/>
      <c r="S30" s="672"/>
      <c r="T30" s="672"/>
    </row>
    <row r="31" spans="1:20" s="668" customFormat="1" ht="11.25">
      <c r="A31" s="648"/>
      <c r="B31" s="650"/>
      <c r="C31" s="650"/>
      <c r="D31" s="678" t="s">
        <v>5328</v>
      </c>
      <c r="E31" s="675" t="s">
        <v>3878</v>
      </c>
      <c r="F31" s="675"/>
      <c r="G31" s="688"/>
      <c r="H31" s="688">
        <f>I31</f>
        <v>6858338</v>
      </c>
      <c r="I31" s="671">
        <f>+ROUND('SP Min'!D98,0)</f>
        <v>6858338</v>
      </c>
      <c r="J31" s="671">
        <f>+ROUND('SP Min'!E98,0)</f>
        <v>6858338</v>
      </c>
      <c r="K31" s="661">
        <f t="shared" si="0"/>
        <v>0</v>
      </c>
      <c r="L31" s="667">
        <f t="shared" si="1"/>
        <v>0</v>
      </c>
      <c r="M31" s="662"/>
      <c r="Q31" s="672"/>
      <c r="R31" s="672"/>
      <c r="S31" s="672"/>
      <c r="T31" s="672"/>
    </row>
    <row r="32" spans="1:20" s="668" customFormat="1" ht="11.25">
      <c r="A32" s="648"/>
      <c r="B32" s="650"/>
      <c r="C32" s="663"/>
      <c r="D32" s="678" t="s">
        <v>5339</v>
      </c>
      <c r="E32" s="689" t="s">
        <v>3884</v>
      </c>
      <c r="F32" s="664"/>
      <c r="G32" s="688"/>
      <c r="H32" s="688"/>
      <c r="I32" s="671">
        <f>+ROUND('SP Min'!D99,0)</f>
        <v>0</v>
      </c>
      <c r="J32" s="671">
        <f>+ROUND('SP Min'!E99,0)</f>
        <v>0</v>
      </c>
      <c r="K32" s="661">
        <f t="shared" si="0"/>
        <v>0</v>
      </c>
      <c r="L32" s="667" t="str">
        <f t="shared" si="1"/>
        <v xml:space="preserve">-    </v>
      </c>
      <c r="M32" s="662"/>
      <c r="Q32" s="672"/>
      <c r="R32" s="672"/>
      <c r="S32" s="672"/>
      <c r="T32" s="672"/>
    </row>
    <row r="33" spans="1:20" s="668" customFormat="1" ht="11.25">
      <c r="A33" s="648"/>
      <c r="B33" s="650"/>
      <c r="C33" s="663"/>
      <c r="D33" s="678" t="s">
        <v>5340</v>
      </c>
      <c r="E33" s="689" t="s">
        <v>5341</v>
      </c>
      <c r="F33" s="687"/>
      <c r="G33" s="688"/>
      <c r="H33" s="690">
        <f>I33</f>
        <v>93844</v>
      </c>
      <c r="I33" s="671">
        <f>+ROUND('SP Min'!D100,0)</f>
        <v>93844</v>
      </c>
      <c r="J33" s="671">
        <f>+ROUND('SP Min'!E100,0)</f>
        <v>93844</v>
      </c>
      <c r="K33" s="661">
        <f t="shared" si="0"/>
        <v>0</v>
      </c>
      <c r="L33" s="667">
        <f t="shared" si="1"/>
        <v>0</v>
      </c>
      <c r="M33" s="662"/>
      <c r="Q33" s="672"/>
      <c r="R33" s="672"/>
      <c r="S33" s="672"/>
      <c r="T33" s="672"/>
    </row>
    <row r="34" spans="1:20" s="668" customFormat="1" ht="11.25">
      <c r="A34" s="648"/>
      <c r="B34" s="650"/>
      <c r="C34" s="663" t="s">
        <v>88</v>
      </c>
      <c r="D34" s="202" t="s">
        <v>5342</v>
      </c>
      <c r="E34" s="663"/>
      <c r="F34" s="687"/>
      <c r="G34" s="691"/>
      <c r="H34" s="665"/>
      <c r="I34" s="671">
        <f>SUM(I35:I36)</f>
        <v>1386000</v>
      </c>
      <c r="J34" s="671">
        <f>SUM(J35:J36)</f>
        <v>0</v>
      </c>
      <c r="K34" s="661">
        <f t="shared" si="0"/>
        <v>1386000</v>
      </c>
      <c r="L34" s="667" t="str">
        <f t="shared" si="1"/>
        <v xml:space="preserve">-    </v>
      </c>
      <c r="M34" s="662"/>
      <c r="Q34" s="672"/>
      <c r="R34" s="672"/>
      <c r="S34" s="672"/>
      <c r="T34" s="672"/>
    </row>
    <row r="35" spans="1:20" s="668" customFormat="1" ht="11.25">
      <c r="A35" s="648"/>
      <c r="B35" s="650"/>
      <c r="C35" s="663"/>
      <c r="D35" s="678" t="s">
        <v>5327</v>
      </c>
      <c r="E35" s="679" t="s">
        <v>3902</v>
      </c>
      <c r="F35" s="670"/>
      <c r="G35" s="665"/>
      <c r="H35" s="665"/>
      <c r="I35" s="671">
        <f>+ROUND('SP Min'!D102,0)</f>
        <v>0</v>
      </c>
      <c r="J35" s="671">
        <f>+ROUND('SP Min'!E102,0)</f>
        <v>0</v>
      </c>
      <c r="K35" s="661">
        <f t="shared" si="0"/>
        <v>0</v>
      </c>
      <c r="L35" s="667" t="str">
        <f t="shared" si="1"/>
        <v xml:space="preserve">-    </v>
      </c>
      <c r="M35" s="662"/>
      <c r="Q35" s="672"/>
      <c r="R35" s="672"/>
      <c r="S35" s="672"/>
      <c r="T35" s="672"/>
    </row>
    <row r="36" spans="1:20" s="668" customFormat="1" ht="11.25">
      <c r="A36" s="648"/>
      <c r="B36" s="650"/>
      <c r="C36" s="663"/>
      <c r="D36" s="678" t="s">
        <v>5328</v>
      </c>
      <c r="E36" s="679" t="s">
        <v>5343</v>
      </c>
      <c r="F36" s="196"/>
      <c r="G36" s="692"/>
      <c r="H36" s="665"/>
      <c r="I36" s="690">
        <f>+ROUND('SP Min'!D103,0)</f>
        <v>1386000</v>
      </c>
      <c r="J36" s="690">
        <f>+ROUND('SP Min'!E103,0)</f>
        <v>0</v>
      </c>
      <c r="K36" s="661">
        <f t="shared" si="0"/>
        <v>1386000</v>
      </c>
      <c r="L36" s="667" t="str">
        <f t="shared" si="1"/>
        <v xml:space="preserve">-    </v>
      </c>
      <c r="M36" s="662"/>
      <c r="Q36" s="672"/>
      <c r="R36" s="672"/>
      <c r="S36" s="672"/>
      <c r="T36" s="672"/>
    </row>
    <row r="37" spans="1:20" s="657" customFormat="1" ht="11.25">
      <c r="A37" s="846" t="s">
        <v>5344</v>
      </c>
      <c r="B37" s="847"/>
      <c r="C37" s="847"/>
      <c r="D37" s="847"/>
      <c r="E37" s="847"/>
      <c r="F37" s="847"/>
      <c r="G37" s="848"/>
      <c r="H37" s="847"/>
      <c r="I37" s="693">
        <f>I7+I13+I28</f>
        <v>336169571</v>
      </c>
      <c r="J37" s="694">
        <f>J7+J13+J28</f>
        <v>335923337</v>
      </c>
      <c r="K37" s="695">
        <f t="shared" si="0"/>
        <v>246234</v>
      </c>
      <c r="L37" s="178">
        <f>IF(J37=0,"-    ",K37/J37)</f>
        <v>7.3300653118958507E-4</v>
      </c>
      <c r="M37" s="662"/>
      <c r="Q37" s="674"/>
      <c r="R37" s="674"/>
      <c r="S37" s="674"/>
      <c r="T37" s="674"/>
    </row>
    <row r="38" spans="1:20" s="657" customFormat="1" ht="11.25">
      <c r="A38" s="648"/>
      <c r="B38" s="650"/>
      <c r="C38" s="650"/>
      <c r="D38" s="650"/>
      <c r="E38" s="650"/>
      <c r="F38" s="659"/>
      <c r="G38" s="652"/>
      <c r="H38" s="652"/>
      <c r="I38" s="696"/>
      <c r="J38" s="696"/>
      <c r="K38" s="697"/>
      <c r="L38" s="698"/>
      <c r="M38" s="662"/>
      <c r="Q38" s="674"/>
      <c r="R38" s="674"/>
      <c r="S38" s="674"/>
      <c r="T38" s="674"/>
    </row>
    <row r="39" spans="1:20" s="657" customFormat="1" ht="11.25">
      <c r="A39" s="699" t="s">
        <v>33</v>
      </c>
      <c r="B39" s="700" t="s">
        <v>5345</v>
      </c>
      <c r="C39" s="701"/>
      <c r="D39" s="701"/>
      <c r="E39" s="701"/>
      <c r="F39" s="651"/>
      <c r="G39" s="652"/>
      <c r="H39" s="652"/>
      <c r="I39" s="660"/>
      <c r="J39" s="654"/>
      <c r="K39" s="655"/>
      <c r="L39" s="656"/>
      <c r="M39" s="662"/>
      <c r="Q39" s="674"/>
      <c r="R39" s="674"/>
      <c r="S39" s="674"/>
      <c r="T39" s="674"/>
    </row>
    <row r="40" spans="1:20" s="657" customFormat="1" ht="11.25">
      <c r="A40" s="699"/>
      <c r="B40" s="701" t="s">
        <v>5317</v>
      </c>
      <c r="C40" s="702" t="s">
        <v>5346</v>
      </c>
      <c r="D40" s="701"/>
      <c r="E40" s="701"/>
      <c r="F40" s="659"/>
      <c r="G40" s="652"/>
      <c r="H40" s="652"/>
      <c r="I40" s="660">
        <f>SUM(I41:I44)</f>
        <v>4304020</v>
      </c>
      <c r="J40" s="660">
        <f>SUM(J41:J44)</f>
        <v>3727399</v>
      </c>
      <c r="K40" s="661">
        <f>+I40-J40</f>
        <v>576621</v>
      </c>
      <c r="L40" s="656">
        <f t="shared" ref="L40:L98" si="4">IF(J40=0,"-    ",K40/J40)</f>
        <v>0.15469795425711066</v>
      </c>
      <c r="M40" s="662"/>
      <c r="Q40" s="674"/>
      <c r="R40" s="674"/>
      <c r="S40" s="674"/>
      <c r="T40" s="674"/>
    </row>
    <row r="41" spans="1:20" s="668" customFormat="1" ht="11.25">
      <c r="A41" s="699"/>
      <c r="B41" s="701"/>
      <c r="C41" s="703" t="s">
        <v>86</v>
      </c>
      <c r="D41" s="703" t="s">
        <v>5347</v>
      </c>
      <c r="E41" s="701"/>
      <c r="F41" s="670"/>
      <c r="G41" s="665"/>
      <c r="H41" s="665"/>
      <c r="I41" s="671">
        <f>+ROUND('SP Min'!D110-'SP Min'!D119,0)</f>
        <v>4129108</v>
      </c>
      <c r="J41" s="671">
        <f>+ROUND('SP Min'!E110-'SP Min'!E119,0)</f>
        <v>3403572</v>
      </c>
      <c r="K41" s="661">
        <f t="shared" ref="K41:K90" si="5">+I41-J41</f>
        <v>725536</v>
      </c>
      <c r="L41" s="667">
        <f t="shared" si="4"/>
        <v>0.21316898834518558</v>
      </c>
      <c r="M41" s="662"/>
      <c r="Q41" s="672"/>
      <c r="R41" s="672"/>
      <c r="S41" s="672"/>
      <c r="T41" s="672"/>
    </row>
    <row r="42" spans="1:20" s="668" customFormat="1" ht="11.25">
      <c r="A42" s="699"/>
      <c r="B42" s="701"/>
      <c r="C42" s="703" t="s">
        <v>88</v>
      </c>
      <c r="D42" s="703" t="s">
        <v>5348</v>
      </c>
      <c r="E42" s="701"/>
      <c r="F42" s="196"/>
      <c r="G42" s="665"/>
      <c r="H42" s="665"/>
      <c r="I42" s="671">
        <f>+ROUND('SP Min'!D120-'SP Min'!D127,0)</f>
        <v>174912</v>
      </c>
      <c r="J42" s="671">
        <f>+ROUND('SP Min'!E120-'SP Min'!E127,0)</f>
        <v>323827</v>
      </c>
      <c r="K42" s="661">
        <f t="shared" si="5"/>
        <v>-148915</v>
      </c>
      <c r="L42" s="667">
        <f t="shared" si="4"/>
        <v>-0.45985973992286006</v>
      </c>
      <c r="M42" s="662"/>
      <c r="Q42" s="672"/>
      <c r="R42" s="672"/>
      <c r="S42" s="672"/>
      <c r="T42" s="672"/>
    </row>
    <row r="43" spans="1:20" s="668" customFormat="1" ht="11.25">
      <c r="A43" s="699"/>
      <c r="B43" s="701"/>
      <c r="C43" s="703" t="s">
        <v>116</v>
      </c>
      <c r="D43" s="703" t="s">
        <v>5349</v>
      </c>
      <c r="E43" s="701"/>
      <c r="F43" s="704"/>
      <c r="G43" s="665"/>
      <c r="H43" s="665"/>
      <c r="I43" s="671">
        <f>+ROUND('SP Min'!D119,0)</f>
        <v>0</v>
      </c>
      <c r="J43" s="671">
        <f>+ROUND('SP Min'!E119,0)</f>
        <v>0</v>
      </c>
      <c r="K43" s="661">
        <f t="shared" si="5"/>
        <v>0</v>
      </c>
      <c r="L43" s="667" t="str">
        <f t="shared" si="4"/>
        <v xml:space="preserve">-    </v>
      </c>
      <c r="M43" s="662"/>
      <c r="Q43" s="672"/>
      <c r="R43" s="672"/>
      <c r="S43" s="672"/>
      <c r="T43" s="672"/>
    </row>
    <row r="44" spans="1:20" s="668" customFormat="1" ht="11.25">
      <c r="A44" s="699"/>
      <c r="B44" s="701"/>
      <c r="C44" s="703" t="s">
        <v>5322</v>
      </c>
      <c r="D44" s="703" t="s">
        <v>5350</v>
      </c>
      <c r="E44" s="701"/>
      <c r="F44" s="196"/>
      <c r="G44" s="665"/>
      <c r="H44" s="665"/>
      <c r="I44" s="671">
        <f>+ROUND('SP Min'!D127,0)</f>
        <v>0</v>
      </c>
      <c r="J44" s="671">
        <f>+ROUND('SP Min'!E127,0)</f>
        <v>0</v>
      </c>
      <c r="K44" s="661">
        <f t="shared" si="5"/>
        <v>0</v>
      </c>
      <c r="L44" s="667" t="str">
        <f t="shared" si="4"/>
        <v xml:space="preserve">-    </v>
      </c>
      <c r="M44" s="662"/>
      <c r="Q44" s="672"/>
      <c r="R44" s="672"/>
      <c r="S44" s="672"/>
      <c r="T44" s="672"/>
    </row>
    <row r="45" spans="1:20" s="668" customFormat="1" ht="11.25">
      <c r="A45" s="699"/>
      <c r="B45" s="701"/>
      <c r="C45" s="701"/>
      <c r="D45" s="701"/>
      <c r="E45" s="701"/>
      <c r="F45" s="196"/>
      <c r="G45" s="686" t="s">
        <v>5334</v>
      </c>
      <c r="H45" s="686" t="s">
        <v>5335</v>
      </c>
      <c r="I45" s="671"/>
      <c r="J45" s="671"/>
      <c r="K45" s="661">
        <f t="shared" si="5"/>
        <v>0</v>
      </c>
      <c r="L45" s="667" t="str">
        <f t="shared" si="4"/>
        <v xml:space="preserve">-    </v>
      </c>
      <c r="M45" s="662"/>
      <c r="Q45" s="672"/>
      <c r="R45" s="672"/>
      <c r="S45" s="672"/>
      <c r="T45" s="672"/>
    </row>
    <row r="46" spans="1:20" s="657" customFormat="1" ht="25.5" customHeight="1">
      <c r="A46" s="658"/>
      <c r="B46" s="650" t="s">
        <v>5324</v>
      </c>
      <c r="C46" s="844" t="s">
        <v>5351</v>
      </c>
      <c r="D46" s="844"/>
      <c r="E46" s="844"/>
      <c r="F46" s="845"/>
      <c r="G46" s="660">
        <f>G47+G58+G71+G72+G75+G76+G77</f>
        <v>0</v>
      </c>
      <c r="H46" s="660">
        <f>H47+H58+H71+H72+H75+H76+H77</f>
        <v>109988156</v>
      </c>
      <c r="I46" s="660">
        <f>I47+I58+I71+I72+I75+I76+I77</f>
        <v>419809172</v>
      </c>
      <c r="J46" s="660">
        <f>J47+J58+J71+J72+J75+J76+J77</f>
        <v>419801875</v>
      </c>
      <c r="K46" s="661">
        <f t="shared" si="5"/>
        <v>7297</v>
      </c>
      <c r="L46" s="656">
        <f t="shared" si="4"/>
        <v>1.7382009072732227E-5</v>
      </c>
      <c r="M46" s="662"/>
      <c r="Q46" s="674"/>
      <c r="R46" s="674"/>
      <c r="S46" s="674"/>
      <c r="T46" s="674"/>
    </row>
    <row r="47" spans="1:20" s="668" customFormat="1" ht="11.25">
      <c r="A47" s="669"/>
      <c r="B47" s="701"/>
      <c r="C47" s="703" t="s">
        <v>86</v>
      </c>
      <c r="D47" s="703" t="s">
        <v>5352</v>
      </c>
      <c r="E47" s="701"/>
      <c r="F47" s="705"/>
      <c r="G47" s="706"/>
      <c r="H47" s="706">
        <f>+H48+H51+H52+H57</f>
        <v>0</v>
      </c>
      <c r="I47" s="671">
        <f>I48+I51+I52+I57</f>
        <v>58992277</v>
      </c>
      <c r="J47" s="671">
        <f>J48+J51+J52+J57</f>
        <v>64615210</v>
      </c>
      <c r="K47" s="661">
        <f t="shared" si="5"/>
        <v>-5622933</v>
      </c>
      <c r="L47" s="667">
        <f t="shared" si="4"/>
        <v>-8.7021817308958679E-2</v>
      </c>
      <c r="M47" s="662"/>
      <c r="Q47" s="672"/>
      <c r="R47" s="672"/>
      <c r="S47" s="672"/>
      <c r="T47" s="672"/>
    </row>
    <row r="48" spans="1:20" s="668" customFormat="1" ht="11.25">
      <c r="A48" s="669"/>
      <c r="B48" s="701"/>
      <c r="C48" s="703"/>
      <c r="D48" s="707" t="s">
        <v>5327</v>
      </c>
      <c r="E48" s="707" t="s">
        <v>5353</v>
      </c>
      <c r="F48" s="705"/>
      <c r="G48" s="706"/>
      <c r="H48" s="708">
        <f>SUM(H49:H50)</f>
        <v>0</v>
      </c>
      <c r="I48" s="671">
        <f>I49+I50</f>
        <v>14974703</v>
      </c>
      <c r="J48" s="671">
        <f>J49+J50</f>
        <v>17817537</v>
      </c>
      <c r="K48" s="661">
        <f>+I48-J48</f>
        <v>-2842834</v>
      </c>
      <c r="L48" s="667">
        <f t="shared" si="4"/>
        <v>-0.15955258013495355</v>
      </c>
      <c r="M48" s="662"/>
      <c r="Q48" s="672"/>
      <c r="R48" s="672"/>
      <c r="S48" s="672"/>
      <c r="T48" s="672"/>
    </row>
    <row r="49" spans="1:20" s="668" customFormat="1" ht="11.25">
      <c r="A49" s="669"/>
      <c r="B49" s="701"/>
      <c r="C49" s="703"/>
      <c r="D49" s="703"/>
      <c r="E49" s="703" t="s">
        <v>86</v>
      </c>
      <c r="F49" s="705" t="s">
        <v>5354</v>
      </c>
      <c r="G49" s="706"/>
      <c r="H49" s="708"/>
      <c r="I49" s="671">
        <f>+ROUND('SP Min'!D130+'SP Min'!D131+'SP Min'!D132+'SP Min'!D133+'SP Min'!D134+'SP Min'!D135+'SP Min'!D137,0)</f>
        <v>12875713</v>
      </c>
      <c r="J49" s="671">
        <f>+ROUND('SP Min'!E130+'SP Min'!E131+'SP Min'!E132+'SP Min'!E133+'SP Min'!E134+'SP Min'!E135+'SP Min'!E137,0)</f>
        <v>16856758</v>
      </c>
      <c r="K49" s="661">
        <f t="shared" si="5"/>
        <v>-3981045</v>
      </c>
      <c r="L49" s="667">
        <f t="shared" si="4"/>
        <v>-0.23616907830082154</v>
      </c>
      <c r="M49" s="662"/>
      <c r="Q49" s="672"/>
      <c r="R49" s="672"/>
      <c r="S49" s="672"/>
      <c r="T49" s="672"/>
    </row>
    <row r="50" spans="1:20" s="668" customFormat="1" ht="11.25">
      <c r="A50" s="669"/>
      <c r="B50" s="701"/>
      <c r="C50" s="703"/>
      <c r="D50" s="703"/>
      <c r="E50" s="703" t="s">
        <v>88</v>
      </c>
      <c r="F50" s="705" t="s">
        <v>5355</v>
      </c>
      <c r="G50" s="706"/>
      <c r="H50" s="708"/>
      <c r="I50" s="671">
        <f>+ROUND('SP Min'!D136,0)</f>
        <v>2098990</v>
      </c>
      <c r="J50" s="671">
        <f>+ROUND('SP Min'!E136,0)</f>
        <v>960779</v>
      </c>
      <c r="K50" s="661">
        <f t="shared" si="5"/>
        <v>1138211</v>
      </c>
      <c r="L50" s="667">
        <f t="shared" si="4"/>
        <v>1.1846751438155914</v>
      </c>
      <c r="M50" s="662"/>
      <c r="Q50" s="672"/>
      <c r="R50" s="672"/>
      <c r="S50" s="672"/>
      <c r="T50" s="672"/>
    </row>
    <row r="51" spans="1:20" s="668" customFormat="1" ht="11.25">
      <c r="A51" s="669"/>
      <c r="B51" s="701"/>
      <c r="C51" s="703"/>
      <c r="D51" s="707" t="s">
        <v>5328</v>
      </c>
      <c r="E51" s="707" t="s">
        <v>5356</v>
      </c>
      <c r="F51" s="705"/>
      <c r="G51" s="706"/>
      <c r="H51" s="708"/>
      <c r="I51" s="671">
        <f>+ROUND('SP Min'!D138,0)</f>
        <v>44008633</v>
      </c>
      <c r="J51" s="671">
        <f>+ROUND('SP Min'!E138,0)</f>
        <v>46789128</v>
      </c>
      <c r="K51" s="661">
        <f t="shared" si="5"/>
        <v>-2780495</v>
      </c>
      <c r="L51" s="667">
        <f t="shared" si="4"/>
        <v>-5.9426091462956951E-2</v>
      </c>
      <c r="M51" s="662"/>
      <c r="Q51" s="672"/>
      <c r="R51" s="672"/>
      <c r="S51" s="672"/>
      <c r="T51" s="672"/>
    </row>
    <row r="52" spans="1:20" s="668" customFormat="1" ht="11.25">
      <c r="A52" s="669"/>
      <c r="B52" s="701"/>
      <c r="C52" s="703"/>
      <c r="D52" s="707" t="s">
        <v>5339</v>
      </c>
      <c r="E52" s="707" t="s">
        <v>5357</v>
      </c>
      <c r="F52" s="705"/>
      <c r="G52" s="706"/>
      <c r="H52" s="708">
        <f>SUM(H53:H56)</f>
        <v>0</v>
      </c>
      <c r="I52" s="671">
        <f>I53+I54+I55+I56</f>
        <v>7232</v>
      </c>
      <c r="J52" s="671">
        <f>J53+J54+J55+J56</f>
        <v>7184</v>
      </c>
      <c r="K52" s="661">
        <f t="shared" si="5"/>
        <v>48</v>
      </c>
      <c r="L52" s="667">
        <f t="shared" si="4"/>
        <v>6.6815144766146995E-3</v>
      </c>
      <c r="M52" s="662"/>
      <c r="Q52" s="672"/>
      <c r="R52" s="672"/>
      <c r="S52" s="672"/>
      <c r="T52" s="672"/>
    </row>
    <row r="53" spans="1:20" s="668" customFormat="1" ht="11.25">
      <c r="A53" s="669"/>
      <c r="B53" s="701"/>
      <c r="C53" s="703"/>
      <c r="D53" s="703"/>
      <c r="E53" s="703" t="s">
        <v>86</v>
      </c>
      <c r="F53" s="705" t="s">
        <v>5358</v>
      </c>
      <c r="G53" s="706"/>
      <c r="H53" s="708"/>
      <c r="I53" s="671">
        <f>+ROUND('SP Min'!D140,0)</f>
        <v>48</v>
      </c>
      <c r="J53" s="671">
        <f>+ROUND('SP Min'!E140,0)</f>
        <v>0</v>
      </c>
      <c r="K53" s="661">
        <f t="shared" si="5"/>
        <v>48</v>
      </c>
      <c r="L53" s="667" t="str">
        <f t="shared" si="4"/>
        <v xml:space="preserve">-    </v>
      </c>
      <c r="M53" s="662"/>
      <c r="Q53" s="672"/>
      <c r="R53" s="672"/>
      <c r="S53" s="672"/>
      <c r="T53" s="672"/>
    </row>
    <row r="54" spans="1:20" s="668" customFormat="1" ht="11.25">
      <c r="A54" s="669"/>
      <c r="B54" s="701"/>
      <c r="C54" s="703"/>
      <c r="D54" s="703"/>
      <c r="E54" s="703" t="s">
        <v>88</v>
      </c>
      <c r="F54" s="705" t="s">
        <v>5359</v>
      </c>
      <c r="G54" s="706"/>
      <c r="H54" s="708"/>
      <c r="I54" s="671">
        <f>+ROUND('SP Min'!D141,0)</f>
        <v>0</v>
      </c>
      <c r="J54" s="671">
        <f>+ROUND('SP Min'!E141,0)</f>
        <v>0</v>
      </c>
      <c r="K54" s="661">
        <f t="shared" si="5"/>
        <v>0</v>
      </c>
      <c r="L54" s="667" t="str">
        <f t="shared" si="4"/>
        <v xml:space="preserve">-    </v>
      </c>
      <c r="M54" s="662"/>
      <c r="Q54" s="672"/>
      <c r="R54" s="672"/>
      <c r="S54" s="672"/>
      <c r="T54" s="672"/>
    </row>
    <row r="55" spans="1:20" s="668" customFormat="1" ht="11.25">
      <c r="A55" s="669"/>
      <c r="B55" s="701"/>
      <c r="C55" s="703"/>
      <c r="D55" s="703"/>
      <c r="E55" s="703" t="s">
        <v>116</v>
      </c>
      <c r="F55" s="705" t="s">
        <v>5360</v>
      </c>
      <c r="G55" s="706"/>
      <c r="H55" s="708"/>
      <c r="I55" s="671">
        <f>+ROUND('SP Min'!D142,0)</f>
        <v>7184</v>
      </c>
      <c r="J55" s="671">
        <f>+ROUND('SP Min'!E142,0)</f>
        <v>7184</v>
      </c>
      <c r="K55" s="661">
        <f t="shared" si="5"/>
        <v>0</v>
      </c>
      <c r="L55" s="667">
        <f t="shared" si="4"/>
        <v>0</v>
      </c>
      <c r="M55" s="662"/>
      <c r="Q55" s="672"/>
      <c r="R55" s="672"/>
      <c r="S55" s="672"/>
      <c r="T55" s="672"/>
    </row>
    <row r="56" spans="1:20" s="668" customFormat="1" ht="11.25">
      <c r="A56" s="669"/>
      <c r="B56" s="701"/>
      <c r="C56" s="703"/>
      <c r="D56" s="703"/>
      <c r="E56" s="703" t="s">
        <v>5322</v>
      </c>
      <c r="F56" s="705" t="s">
        <v>5361</v>
      </c>
      <c r="G56" s="706"/>
      <c r="H56" s="708"/>
      <c r="I56" s="671">
        <f>+ROUND('SP Min'!D143,0)</f>
        <v>0</v>
      </c>
      <c r="J56" s="671">
        <f>+ROUND('SP Min'!E143,0)</f>
        <v>0</v>
      </c>
      <c r="K56" s="661">
        <f t="shared" si="5"/>
        <v>0</v>
      </c>
      <c r="L56" s="667" t="str">
        <f t="shared" si="4"/>
        <v xml:space="preserve">-    </v>
      </c>
      <c r="M56" s="662"/>
      <c r="Q56" s="672"/>
      <c r="R56" s="672"/>
      <c r="S56" s="672"/>
      <c r="T56" s="672"/>
    </row>
    <row r="57" spans="1:20" s="668" customFormat="1" ht="11.25">
      <c r="A57" s="669"/>
      <c r="B57" s="703"/>
      <c r="C57" s="703"/>
      <c r="D57" s="707" t="s">
        <v>5340</v>
      </c>
      <c r="E57" s="707" t="s">
        <v>5362</v>
      </c>
      <c r="F57" s="709"/>
      <c r="G57" s="706"/>
      <c r="H57" s="708"/>
      <c r="I57" s="671">
        <f>+ROUND('SP Min'!D144,0)</f>
        <v>1709</v>
      </c>
      <c r="J57" s="671">
        <f>+ROUND('SP Min'!E144,0)</f>
        <v>1361</v>
      </c>
      <c r="K57" s="661">
        <f t="shared" si="5"/>
        <v>348</v>
      </c>
      <c r="L57" s="667">
        <f t="shared" si="4"/>
        <v>0.25569434239529759</v>
      </c>
      <c r="M57" s="662"/>
      <c r="Q57" s="672"/>
      <c r="R57" s="672"/>
      <c r="S57" s="672"/>
      <c r="T57" s="672"/>
    </row>
    <row r="58" spans="1:20" s="668" customFormat="1" ht="11.25">
      <c r="A58" s="669"/>
      <c r="B58" s="703"/>
      <c r="C58" s="703" t="s">
        <v>88</v>
      </c>
      <c r="D58" s="703" t="s">
        <v>5363</v>
      </c>
      <c r="E58" s="703"/>
      <c r="F58" s="705"/>
      <c r="G58" s="706"/>
      <c r="H58" s="706">
        <f>+H59+H66</f>
        <v>109988156</v>
      </c>
      <c r="I58" s="671">
        <f>I59+I66</f>
        <v>232172559</v>
      </c>
      <c r="J58" s="671">
        <f>J59+J66</f>
        <v>237578535</v>
      </c>
      <c r="K58" s="661">
        <f t="shared" si="5"/>
        <v>-5405976</v>
      </c>
      <c r="L58" s="667">
        <f t="shared" si="4"/>
        <v>-2.2754479902824556E-2</v>
      </c>
      <c r="M58" s="662"/>
      <c r="Q58" s="672"/>
      <c r="R58" s="672"/>
      <c r="S58" s="672"/>
      <c r="T58" s="672"/>
    </row>
    <row r="59" spans="1:20" s="668" customFormat="1" ht="11.25">
      <c r="A59" s="669"/>
      <c r="B59" s="703"/>
      <c r="C59" s="703"/>
      <c r="D59" s="707" t="s">
        <v>5327</v>
      </c>
      <c r="E59" s="707" t="s">
        <v>5364</v>
      </c>
      <c r="F59" s="709"/>
      <c r="G59" s="706"/>
      <c r="H59" s="706">
        <f>+H60+H65</f>
        <v>0</v>
      </c>
      <c r="I59" s="671">
        <f>I60+I65</f>
        <v>11421543</v>
      </c>
      <c r="J59" s="671">
        <f>J60+J65</f>
        <v>17506494</v>
      </c>
      <c r="K59" s="661">
        <f t="shared" si="5"/>
        <v>-6084951</v>
      </c>
      <c r="L59" s="667">
        <f t="shared" si="4"/>
        <v>-0.34758250281295616</v>
      </c>
      <c r="M59" s="662"/>
      <c r="Q59" s="672"/>
      <c r="R59" s="672"/>
      <c r="S59" s="672"/>
      <c r="T59" s="672"/>
    </row>
    <row r="60" spans="1:20" s="668" customFormat="1" ht="11.25">
      <c r="A60" s="669"/>
      <c r="B60" s="703"/>
      <c r="C60" s="703"/>
      <c r="D60" s="703"/>
      <c r="E60" s="703" t="s">
        <v>86</v>
      </c>
      <c r="F60" s="709" t="s">
        <v>5365</v>
      </c>
      <c r="G60" s="706"/>
      <c r="H60" s="706">
        <f>SUM(H61:H64)</f>
        <v>0</v>
      </c>
      <c r="I60" s="671">
        <f>I61+I62+I63+I64</f>
        <v>8027069</v>
      </c>
      <c r="J60" s="671">
        <f>J61+J62+J63+J64</f>
        <v>14180697</v>
      </c>
      <c r="K60" s="661">
        <f t="shared" si="5"/>
        <v>-6153628</v>
      </c>
      <c r="L60" s="667">
        <f t="shared" si="4"/>
        <v>-0.43394397327578466</v>
      </c>
      <c r="M60" s="662"/>
      <c r="Q60" s="672"/>
      <c r="R60" s="672"/>
      <c r="S60" s="672"/>
      <c r="T60" s="672"/>
    </row>
    <row r="61" spans="1:20" s="668" customFormat="1" ht="22.5">
      <c r="A61" s="669"/>
      <c r="B61" s="703"/>
      <c r="C61" s="703"/>
      <c r="D61" s="703"/>
      <c r="E61" s="703"/>
      <c r="F61" s="710" t="s">
        <v>5366</v>
      </c>
      <c r="G61" s="706"/>
      <c r="H61" s="706"/>
      <c r="I61" s="671">
        <f>+ROUND('SP Min'!D147+'SP Min'!D148+'SP Min'!D149+'SP Min'!D150+'SP Min'!D154+'SP Min'!D156,0)</f>
        <v>2258452</v>
      </c>
      <c r="J61" s="671">
        <f>+ROUND('SP Min'!E147+'SP Min'!E148+'SP Min'!E149+'SP Min'!E150+'SP Min'!E154+'SP Min'!E156,0)</f>
        <v>2135205</v>
      </c>
      <c r="K61" s="661">
        <f t="shared" si="5"/>
        <v>123247</v>
      </c>
      <c r="L61" s="667">
        <f t="shared" si="4"/>
        <v>5.7721389749461997E-2</v>
      </c>
      <c r="M61" s="662"/>
      <c r="Q61" s="672"/>
      <c r="R61" s="672"/>
      <c r="S61" s="672"/>
      <c r="T61" s="672"/>
    </row>
    <row r="62" spans="1:20" s="668" customFormat="1" ht="22.5">
      <c r="A62" s="669"/>
      <c r="B62" s="703"/>
      <c r="C62" s="703"/>
      <c r="D62" s="703"/>
      <c r="E62" s="703"/>
      <c r="F62" s="710" t="s">
        <v>5367</v>
      </c>
      <c r="G62" s="706"/>
      <c r="H62" s="706"/>
      <c r="I62" s="671">
        <f>+ROUND('SP Min'!D151,0)</f>
        <v>904495</v>
      </c>
      <c r="J62" s="671">
        <f>+ROUND('SP Min'!E151,0)</f>
        <v>553053</v>
      </c>
      <c r="K62" s="661">
        <f t="shared" si="5"/>
        <v>351442</v>
      </c>
      <c r="L62" s="667">
        <f t="shared" si="4"/>
        <v>0.63545808448738184</v>
      </c>
      <c r="M62" s="662"/>
      <c r="Q62" s="672"/>
      <c r="R62" s="672"/>
      <c r="S62" s="672"/>
      <c r="T62" s="672"/>
    </row>
    <row r="63" spans="1:20" s="668" customFormat="1" ht="22.5">
      <c r="A63" s="669"/>
      <c r="B63" s="703"/>
      <c r="C63" s="703"/>
      <c r="D63" s="703"/>
      <c r="E63" s="703"/>
      <c r="F63" s="710" t="s">
        <v>5368</v>
      </c>
      <c r="G63" s="706"/>
      <c r="H63" s="706"/>
      <c r="I63" s="671">
        <f>+ROUND('SP Min'!D152,0)</f>
        <v>0</v>
      </c>
      <c r="J63" s="671">
        <f>+ROUND('SP Min'!E152,0)</f>
        <v>0</v>
      </c>
      <c r="K63" s="661">
        <f t="shared" si="5"/>
        <v>0</v>
      </c>
      <c r="L63" s="667" t="str">
        <f t="shared" si="4"/>
        <v xml:space="preserve">-    </v>
      </c>
      <c r="M63" s="662"/>
      <c r="Q63" s="672"/>
      <c r="R63" s="672"/>
      <c r="S63" s="672"/>
      <c r="T63" s="672"/>
    </row>
    <row r="64" spans="1:20" s="668" customFormat="1" ht="22.5">
      <c r="A64" s="669"/>
      <c r="B64" s="703"/>
      <c r="C64" s="703"/>
      <c r="D64" s="703"/>
      <c r="E64" s="703"/>
      <c r="F64" s="710" t="s">
        <v>5369</v>
      </c>
      <c r="G64" s="706"/>
      <c r="H64" s="711"/>
      <c r="I64" s="671">
        <f>+ROUND('SP Min'!D153,0)</f>
        <v>4864122</v>
      </c>
      <c r="J64" s="671">
        <f>+ROUND('SP Min'!E153,0)</f>
        <v>11492439</v>
      </c>
      <c r="K64" s="661">
        <f t="shared" si="5"/>
        <v>-6628317</v>
      </c>
      <c r="L64" s="667">
        <f t="shared" si="4"/>
        <v>-0.57675459491235936</v>
      </c>
      <c r="M64" s="662"/>
      <c r="Q64" s="672"/>
      <c r="R64" s="672"/>
      <c r="S64" s="672"/>
      <c r="T64" s="672"/>
    </row>
    <row r="65" spans="1:20" s="668" customFormat="1" ht="11.25">
      <c r="A65" s="669"/>
      <c r="B65" s="703"/>
      <c r="C65" s="703"/>
      <c r="D65" s="703"/>
      <c r="E65" s="703" t="s">
        <v>88</v>
      </c>
      <c r="F65" s="703" t="s">
        <v>5370</v>
      </c>
      <c r="G65" s="706"/>
      <c r="H65" s="711"/>
      <c r="I65" s="671">
        <f>+ROUND('SP Min'!D155,0)</f>
        <v>3394474</v>
      </c>
      <c r="J65" s="671">
        <f>+ROUND('SP Min'!E155,0)</f>
        <v>3325797</v>
      </c>
      <c r="K65" s="661">
        <f t="shared" si="5"/>
        <v>68677</v>
      </c>
      <c r="L65" s="667">
        <f t="shared" si="4"/>
        <v>2.0649787103662672E-2</v>
      </c>
      <c r="M65" s="662"/>
      <c r="Q65" s="672"/>
      <c r="R65" s="672"/>
      <c r="S65" s="672"/>
      <c r="T65" s="672"/>
    </row>
    <row r="66" spans="1:20" s="668" customFormat="1" ht="11.25">
      <c r="A66" s="669"/>
      <c r="B66" s="703"/>
      <c r="C66" s="703"/>
      <c r="D66" s="707" t="s">
        <v>5328</v>
      </c>
      <c r="E66" s="707" t="s">
        <v>5371</v>
      </c>
      <c r="F66" s="709"/>
      <c r="G66" s="706"/>
      <c r="H66" s="711">
        <f>SUM(H67:H70)</f>
        <v>109988156</v>
      </c>
      <c r="I66" s="671">
        <f>I67+I68+I69+I70</f>
        <v>220751016</v>
      </c>
      <c r="J66" s="671">
        <f>J67+J68+J69+J70</f>
        <v>220072041</v>
      </c>
      <c r="K66" s="661">
        <f t="shared" si="5"/>
        <v>678975</v>
      </c>
      <c r="L66" s="667">
        <f t="shared" si="4"/>
        <v>3.0852397102092582E-3</v>
      </c>
      <c r="M66" s="662"/>
      <c r="Q66" s="672"/>
      <c r="R66" s="672"/>
      <c r="S66" s="672"/>
      <c r="T66" s="672"/>
    </row>
    <row r="67" spans="1:20" s="668" customFormat="1" ht="11.25">
      <c r="A67" s="669"/>
      <c r="B67" s="703"/>
      <c r="C67" s="703"/>
      <c r="D67" s="703"/>
      <c r="E67" s="703" t="s">
        <v>86</v>
      </c>
      <c r="F67" s="709" t="s">
        <v>5372</v>
      </c>
      <c r="G67" s="706"/>
      <c r="H67" s="711">
        <v>109988156</v>
      </c>
      <c r="I67" s="671">
        <f>+ROUND('SP Min'!D158,0)+1</f>
        <v>220751016</v>
      </c>
      <c r="J67" s="671">
        <f>+ROUND('SP Min'!E158,0)</f>
        <v>220072041</v>
      </c>
      <c r="K67" s="661">
        <f t="shared" si="5"/>
        <v>678975</v>
      </c>
      <c r="L67" s="667">
        <f t="shared" si="4"/>
        <v>3.0852397102092582E-3</v>
      </c>
      <c r="M67" s="662"/>
      <c r="Q67" s="672"/>
      <c r="R67" s="672"/>
      <c r="S67" s="672"/>
      <c r="T67" s="672"/>
    </row>
    <row r="68" spans="1:20" s="668" customFormat="1" ht="11.25">
      <c r="A68" s="669"/>
      <c r="B68" s="703"/>
      <c r="C68" s="703"/>
      <c r="D68" s="703"/>
      <c r="E68" s="703" t="s">
        <v>88</v>
      </c>
      <c r="F68" s="709" t="s">
        <v>5373</v>
      </c>
      <c r="G68" s="706"/>
      <c r="H68" s="711"/>
      <c r="I68" s="671">
        <f>+ROUND('SP Min'!D159,0)</f>
        <v>0</v>
      </c>
      <c r="J68" s="671">
        <f>+ROUND('SP Min'!E159,0)</f>
        <v>0</v>
      </c>
      <c r="K68" s="661">
        <f t="shared" si="5"/>
        <v>0</v>
      </c>
      <c r="L68" s="667" t="str">
        <f t="shared" si="4"/>
        <v xml:space="preserve">-    </v>
      </c>
      <c r="M68" s="662"/>
      <c r="Q68" s="672"/>
      <c r="R68" s="672"/>
      <c r="S68" s="672"/>
      <c r="T68" s="672"/>
    </row>
    <row r="69" spans="1:20" s="668" customFormat="1" ht="11.25">
      <c r="A69" s="669"/>
      <c r="B69" s="703"/>
      <c r="C69" s="703"/>
      <c r="D69" s="703"/>
      <c r="E69" s="703" t="s">
        <v>116</v>
      </c>
      <c r="F69" s="709" t="s">
        <v>4194</v>
      </c>
      <c r="G69" s="706"/>
      <c r="H69" s="711"/>
      <c r="I69" s="671">
        <f>+ROUND('SP Min'!D160+'SP Min'!D161+'SP Min'!D164+'SP Min'!D165+'SP Min'!D162,0)</f>
        <v>0</v>
      </c>
      <c r="J69" s="671">
        <f>+ROUND('SP Min'!E160+'SP Min'!E161+'SP Min'!E164+'SP Min'!E165+'SP Min'!E162,0)</f>
        <v>0</v>
      </c>
      <c r="K69" s="661">
        <f t="shared" si="5"/>
        <v>0</v>
      </c>
      <c r="L69" s="667" t="str">
        <f t="shared" si="4"/>
        <v xml:space="preserve">-    </v>
      </c>
      <c r="M69" s="662"/>
      <c r="Q69" s="672"/>
      <c r="R69" s="672"/>
      <c r="S69" s="672"/>
      <c r="T69" s="672"/>
    </row>
    <row r="70" spans="1:20" s="668" customFormat="1" ht="22.5">
      <c r="A70" s="669"/>
      <c r="B70" s="701"/>
      <c r="C70" s="703"/>
      <c r="D70" s="701"/>
      <c r="E70" s="703" t="s">
        <v>5322</v>
      </c>
      <c r="F70" s="712" t="s">
        <v>4210</v>
      </c>
      <c r="G70" s="706"/>
      <c r="H70" s="706"/>
      <c r="I70" s="671">
        <f>+ROUND('SP Min'!D163,0)</f>
        <v>0</v>
      </c>
      <c r="J70" s="671">
        <f>+ROUND('SP Min'!E163,0)</f>
        <v>0</v>
      </c>
      <c r="K70" s="661">
        <f t="shared" si="5"/>
        <v>0</v>
      </c>
      <c r="L70" s="667" t="str">
        <f t="shared" si="4"/>
        <v xml:space="preserve">-    </v>
      </c>
      <c r="M70" s="662"/>
      <c r="Q70" s="672"/>
      <c r="R70" s="672"/>
      <c r="S70" s="672"/>
      <c r="T70" s="672"/>
    </row>
    <row r="71" spans="1:20" s="668" customFormat="1" ht="11.25">
      <c r="A71" s="669"/>
      <c r="B71" s="701"/>
      <c r="C71" s="703" t="s">
        <v>116</v>
      </c>
      <c r="D71" s="703" t="s">
        <v>5374</v>
      </c>
      <c r="E71" s="670"/>
      <c r="F71" s="709"/>
      <c r="G71" s="706"/>
      <c r="H71" s="706"/>
      <c r="I71" s="671">
        <f>+ROUND('SP Min'!D166,0)</f>
        <v>789985</v>
      </c>
      <c r="J71" s="671">
        <f>+ROUND('SP Min'!E166,0)</f>
        <v>716536</v>
      </c>
      <c r="K71" s="661">
        <f t="shared" si="5"/>
        <v>73449</v>
      </c>
      <c r="L71" s="667">
        <f t="shared" si="4"/>
        <v>0.10250566614936304</v>
      </c>
      <c r="M71" s="662"/>
      <c r="Q71" s="672"/>
      <c r="R71" s="672"/>
      <c r="S71" s="672"/>
      <c r="T71" s="672"/>
    </row>
    <row r="72" spans="1:20" s="668" customFormat="1" ht="11.25">
      <c r="A72" s="669"/>
      <c r="B72" s="701"/>
      <c r="C72" s="703" t="s">
        <v>5322</v>
      </c>
      <c r="D72" s="703" t="s">
        <v>5375</v>
      </c>
      <c r="E72" s="703"/>
      <c r="F72" s="709"/>
      <c r="G72" s="706"/>
      <c r="H72" s="706">
        <f>SUM(H73:H74)</f>
        <v>0</v>
      </c>
      <c r="I72" s="671">
        <f>I73+I74</f>
        <v>71193152</v>
      </c>
      <c r="J72" s="671">
        <f>J73+J74</f>
        <v>62615735</v>
      </c>
      <c r="K72" s="661">
        <f t="shared" si="5"/>
        <v>8577417</v>
      </c>
      <c r="L72" s="667">
        <f t="shared" si="4"/>
        <v>0.13698500864040006</v>
      </c>
      <c r="M72" s="662"/>
      <c r="Q72" s="672"/>
      <c r="R72" s="672"/>
      <c r="S72" s="672"/>
      <c r="T72" s="672"/>
    </row>
    <row r="73" spans="1:20" s="668" customFormat="1" ht="11.25">
      <c r="A73" s="669"/>
      <c r="B73" s="701"/>
      <c r="C73" s="703"/>
      <c r="D73" s="707" t="s">
        <v>5327</v>
      </c>
      <c r="E73" s="707" t="s">
        <v>5376</v>
      </c>
      <c r="F73" s="709"/>
      <c r="G73" s="706"/>
      <c r="H73" s="706"/>
      <c r="I73" s="671">
        <f>+ROUND('SP Min'!D168+'SP Min'!D172+'SP Min'!D173+'SP Min'!D175,0)</f>
        <v>70923982</v>
      </c>
      <c r="J73" s="671">
        <f>+ROUND('SP Min'!E168+'SP Min'!E172+'SP Min'!E173+'SP Min'!E175,0)</f>
        <v>62289460</v>
      </c>
      <c r="K73" s="661">
        <f t="shared" si="5"/>
        <v>8634522</v>
      </c>
      <c r="L73" s="667">
        <f t="shared" si="4"/>
        <v>0.13861931055430565</v>
      </c>
      <c r="M73" s="662"/>
      <c r="Q73" s="672"/>
      <c r="R73" s="672"/>
      <c r="S73" s="672"/>
      <c r="T73" s="672"/>
    </row>
    <row r="74" spans="1:20" s="668" customFormat="1" ht="11.25">
      <c r="A74" s="669"/>
      <c r="B74" s="701"/>
      <c r="C74" s="703"/>
      <c r="D74" s="707" t="s">
        <v>5328</v>
      </c>
      <c r="E74" s="707" t="s">
        <v>5377</v>
      </c>
      <c r="F74" s="709"/>
      <c r="G74" s="706"/>
      <c r="H74" s="706"/>
      <c r="I74" s="671">
        <f>+ROUND('SP Min'!D174,0)</f>
        <v>269170</v>
      </c>
      <c r="J74" s="671">
        <f>+ROUND('SP Min'!E174,0)</f>
        <v>326275</v>
      </c>
      <c r="K74" s="661">
        <f t="shared" si="5"/>
        <v>-57105</v>
      </c>
      <c r="L74" s="667">
        <f t="shared" si="4"/>
        <v>-0.17502107118228488</v>
      </c>
      <c r="M74" s="662"/>
      <c r="Q74" s="672"/>
      <c r="R74" s="672"/>
      <c r="S74" s="672"/>
      <c r="T74" s="672"/>
    </row>
    <row r="75" spans="1:20" s="668" customFormat="1" ht="11.25">
      <c r="A75" s="669"/>
      <c r="B75" s="701"/>
      <c r="C75" s="703" t="s">
        <v>5323</v>
      </c>
      <c r="D75" s="703" t="s">
        <v>5378</v>
      </c>
      <c r="E75" s="703"/>
      <c r="F75" s="709"/>
      <c r="G75" s="706"/>
      <c r="H75" s="706"/>
      <c r="I75" s="671">
        <f>+ROUND('SP Min'!D176,0)</f>
        <v>145</v>
      </c>
      <c r="J75" s="671">
        <f>+ROUND('SP Min'!E176,0)</f>
        <v>145</v>
      </c>
      <c r="K75" s="661">
        <f t="shared" si="5"/>
        <v>0</v>
      </c>
      <c r="L75" s="667">
        <f t="shared" si="4"/>
        <v>0</v>
      </c>
      <c r="M75" s="662"/>
      <c r="Q75" s="672"/>
      <c r="R75" s="672"/>
      <c r="S75" s="672"/>
      <c r="T75" s="672"/>
    </row>
    <row r="76" spans="1:20" s="668" customFormat="1" ht="11.25">
      <c r="A76" s="669"/>
      <c r="B76" s="701"/>
      <c r="C76" s="703" t="s">
        <v>5330</v>
      </c>
      <c r="D76" s="703" t="s">
        <v>5379</v>
      </c>
      <c r="E76" s="703"/>
      <c r="F76" s="709"/>
      <c r="G76" s="706"/>
      <c r="H76" s="706"/>
      <c r="I76" s="713">
        <f>+ROUND('SP Min'!D180,0)</f>
        <v>1480797</v>
      </c>
      <c r="J76" s="713">
        <f>+ROUND('SP Min'!E180,0)</f>
        <v>0</v>
      </c>
      <c r="K76" s="661">
        <f t="shared" si="5"/>
        <v>1480797</v>
      </c>
      <c r="L76" s="667" t="str">
        <f t="shared" si="4"/>
        <v xml:space="preserve">-    </v>
      </c>
      <c r="M76" s="662"/>
      <c r="Q76" s="672"/>
      <c r="R76" s="672"/>
      <c r="S76" s="672"/>
      <c r="T76" s="672"/>
    </row>
    <row r="77" spans="1:20" s="668" customFormat="1" ht="11.25">
      <c r="A77" s="669"/>
      <c r="B77" s="701"/>
      <c r="C77" s="703" t="s">
        <v>5331</v>
      </c>
      <c r="D77" s="703" t="s">
        <v>5380</v>
      </c>
      <c r="E77" s="703"/>
      <c r="F77" s="709"/>
      <c r="G77" s="714"/>
      <c r="H77" s="714"/>
      <c r="I77" s="671">
        <f>+ROUND('SP Min'!D181,0)</f>
        <v>55180257</v>
      </c>
      <c r="J77" s="713">
        <f>+ROUND('SP Min'!E181,0)</f>
        <v>54275714</v>
      </c>
      <c r="K77" s="661">
        <f t="shared" si="5"/>
        <v>904543</v>
      </c>
      <c r="L77" s="667">
        <f t="shared" si="4"/>
        <v>1.6665704296400411E-2</v>
      </c>
      <c r="M77" s="662"/>
      <c r="Q77" s="672"/>
      <c r="R77" s="672"/>
      <c r="S77" s="672"/>
      <c r="T77" s="672"/>
    </row>
    <row r="78" spans="1:20" s="657" customFormat="1" ht="11.25">
      <c r="A78" s="699"/>
      <c r="B78" s="701" t="s">
        <v>5336</v>
      </c>
      <c r="C78" s="715" t="s">
        <v>5381</v>
      </c>
      <c r="D78" s="701"/>
      <c r="E78" s="701"/>
      <c r="F78" s="715"/>
      <c r="G78" s="701"/>
      <c r="H78" s="701"/>
      <c r="I78" s="716">
        <f>SUM(I79:I80)</f>
        <v>0</v>
      </c>
      <c r="J78" s="716">
        <f>SUM(J79:J80)</f>
        <v>0</v>
      </c>
      <c r="K78" s="661">
        <f t="shared" si="5"/>
        <v>0</v>
      </c>
      <c r="L78" s="656" t="str">
        <f t="shared" si="4"/>
        <v xml:space="preserve">-    </v>
      </c>
      <c r="M78" s="662"/>
      <c r="Q78" s="674"/>
      <c r="R78" s="674"/>
      <c r="S78" s="674"/>
      <c r="T78" s="674"/>
    </row>
    <row r="79" spans="1:20" s="668" customFormat="1" ht="11.25">
      <c r="A79" s="669"/>
      <c r="B79" s="701"/>
      <c r="C79" s="703" t="s">
        <v>86</v>
      </c>
      <c r="D79" s="703" t="s">
        <v>5382</v>
      </c>
      <c r="E79" s="701"/>
      <c r="F79" s="670"/>
      <c r="G79" s="703"/>
      <c r="H79" s="703"/>
      <c r="I79" s="713">
        <f>+ROUND('SP Min'!D193,0)</f>
        <v>0</v>
      </c>
      <c r="J79" s="713">
        <f>+ROUND('SP Min'!E193,0)</f>
        <v>0</v>
      </c>
      <c r="K79" s="661">
        <f t="shared" si="5"/>
        <v>0</v>
      </c>
      <c r="L79" s="667" t="str">
        <f t="shared" si="4"/>
        <v xml:space="preserve">-    </v>
      </c>
      <c r="M79" s="662"/>
      <c r="Q79" s="672"/>
      <c r="R79" s="672"/>
      <c r="S79" s="672"/>
      <c r="T79" s="672"/>
    </row>
    <row r="80" spans="1:20" s="668" customFormat="1" ht="11.25">
      <c r="A80" s="699"/>
      <c r="B80" s="701"/>
      <c r="C80" s="703" t="s">
        <v>88</v>
      </c>
      <c r="D80" s="703" t="s">
        <v>4407</v>
      </c>
      <c r="E80" s="701"/>
      <c r="F80" s="717"/>
      <c r="G80" s="703"/>
      <c r="H80" s="703"/>
      <c r="I80" s="713">
        <f>+ROUND('SP Min'!D194,0)</f>
        <v>0</v>
      </c>
      <c r="J80" s="713">
        <f>+ROUND('SP Min'!E194,0)</f>
        <v>0</v>
      </c>
      <c r="K80" s="661">
        <f t="shared" si="5"/>
        <v>0</v>
      </c>
      <c r="L80" s="667" t="str">
        <f t="shared" si="4"/>
        <v xml:space="preserve">-    </v>
      </c>
      <c r="M80" s="662"/>
      <c r="Q80" s="672"/>
      <c r="R80" s="672"/>
      <c r="S80" s="672"/>
      <c r="T80" s="672"/>
    </row>
    <row r="81" spans="1:20" s="657" customFormat="1" ht="11.25">
      <c r="A81" s="658"/>
      <c r="B81" s="701" t="s">
        <v>5383</v>
      </c>
      <c r="C81" s="715" t="s">
        <v>5384</v>
      </c>
      <c r="D81" s="701"/>
      <c r="E81" s="701"/>
      <c r="F81" s="651"/>
      <c r="G81" s="701"/>
      <c r="H81" s="701"/>
      <c r="I81" s="718">
        <f>SUM(I82:I85)</f>
        <v>223108409</v>
      </c>
      <c r="J81" s="719">
        <f>SUM(J82:J85)</f>
        <v>179519286</v>
      </c>
      <c r="K81" s="661">
        <f t="shared" si="5"/>
        <v>43589123</v>
      </c>
      <c r="L81" s="656">
        <f t="shared" si="4"/>
        <v>0.24281025159603187</v>
      </c>
      <c r="M81" s="662"/>
      <c r="Q81" s="674"/>
      <c r="R81" s="674"/>
      <c r="S81" s="674"/>
      <c r="T81" s="674"/>
    </row>
    <row r="82" spans="1:20" s="668" customFormat="1" ht="11.25">
      <c r="A82" s="699"/>
      <c r="B82" s="701"/>
      <c r="C82" s="701" t="s">
        <v>86</v>
      </c>
      <c r="D82" s="709" t="s">
        <v>5385</v>
      </c>
      <c r="E82" s="701"/>
      <c r="F82" s="709"/>
      <c r="G82" s="703"/>
      <c r="H82" s="703"/>
      <c r="I82" s="671">
        <f>+ROUND('SP Min'!D196,0)</f>
        <v>130112</v>
      </c>
      <c r="J82" s="713">
        <f>+ROUND('SP Min'!E196,0)</f>
        <v>114025</v>
      </c>
      <c r="K82" s="661">
        <f t="shared" si="5"/>
        <v>16087</v>
      </c>
      <c r="L82" s="667">
        <f t="shared" si="4"/>
        <v>0.14108309581232187</v>
      </c>
      <c r="M82" s="662"/>
      <c r="Q82" s="672"/>
      <c r="R82" s="672"/>
      <c r="S82" s="672"/>
      <c r="T82" s="672"/>
    </row>
    <row r="83" spans="1:20" s="668" customFormat="1" ht="11.25">
      <c r="A83" s="669"/>
      <c r="B83" s="701"/>
      <c r="C83" s="701" t="s">
        <v>88</v>
      </c>
      <c r="D83" s="709" t="s">
        <v>5386</v>
      </c>
      <c r="E83" s="701"/>
      <c r="F83" s="670"/>
      <c r="G83" s="703"/>
      <c r="H83" s="720"/>
      <c r="I83" s="671">
        <f>+ROUND('SP Min'!D197,0)+1</f>
        <v>222935321</v>
      </c>
      <c r="J83" s="713">
        <f>+ROUND('SP Min'!E197,0)</f>
        <v>179364719</v>
      </c>
      <c r="K83" s="661">
        <f t="shared" si="5"/>
        <v>43570602</v>
      </c>
      <c r="L83" s="667">
        <f t="shared" si="4"/>
        <v>0.24291623371037646</v>
      </c>
      <c r="M83" s="662"/>
      <c r="Q83" s="672"/>
      <c r="R83" s="672"/>
      <c r="S83" s="672"/>
      <c r="T83" s="672"/>
    </row>
    <row r="84" spans="1:20" s="668" customFormat="1" ht="11.25">
      <c r="A84" s="669"/>
      <c r="B84" s="701"/>
      <c r="C84" s="701" t="s">
        <v>116</v>
      </c>
      <c r="D84" s="709" t="s">
        <v>4439</v>
      </c>
      <c r="E84" s="701"/>
      <c r="F84" s="670"/>
      <c r="G84" s="703"/>
      <c r="H84" s="703"/>
      <c r="I84" s="671">
        <f>+ROUND('SP Min'!D198,0)</f>
        <v>0</v>
      </c>
      <c r="J84" s="713">
        <f>+ROUND('SP Min'!E198,0)</f>
        <v>0</v>
      </c>
      <c r="K84" s="661">
        <f t="shared" si="5"/>
        <v>0</v>
      </c>
      <c r="L84" s="667" t="str">
        <f t="shared" si="4"/>
        <v xml:space="preserve">-    </v>
      </c>
      <c r="M84" s="662"/>
      <c r="Q84" s="672"/>
      <c r="R84" s="672"/>
      <c r="S84" s="672"/>
      <c r="T84" s="672"/>
    </row>
    <row r="85" spans="1:20" s="668" customFormat="1" ht="11.25">
      <c r="A85" s="669"/>
      <c r="B85" s="701"/>
      <c r="C85" s="701" t="s">
        <v>5322</v>
      </c>
      <c r="D85" s="709" t="s">
        <v>5387</v>
      </c>
      <c r="E85" s="701"/>
      <c r="F85" s="670"/>
      <c r="G85" s="703"/>
      <c r="H85" s="703"/>
      <c r="I85" s="671">
        <f>+ROUND('SP Min'!D199,0)</f>
        <v>42976</v>
      </c>
      <c r="J85" s="713">
        <f>+ROUND('SP Min'!E199,0)</f>
        <v>40542</v>
      </c>
      <c r="K85" s="661">
        <f t="shared" si="5"/>
        <v>2434</v>
      </c>
      <c r="L85" s="667">
        <f t="shared" si="4"/>
        <v>6.0036505352473978E-2</v>
      </c>
      <c r="M85" s="662"/>
      <c r="Q85" s="672"/>
      <c r="R85" s="672"/>
      <c r="S85" s="672"/>
      <c r="T85" s="672"/>
    </row>
    <row r="86" spans="1:20" s="657" customFormat="1" ht="11.25">
      <c r="A86" s="849" t="s">
        <v>5388</v>
      </c>
      <c r="B86" s="850"/>
      <c r="C86" s="850"/>
      <c r="D86" s="850"/>
      <c r="E86" s="850"/>
      <c r="F86" s="850"/>
      <c r="G86" s="851"/>
      <c r="H86" s="850"/>
      <c r="I86" s="693">
        <f>I40+I46+I78+I81</f>
        <v>647221601</v>
      </c>
      <c r="J86" s="693">
        <f>J40+J46+J78+J81</f>
        <v>603048560</v>
      </c>
      <c r="K86" s="695">
        <f t="shared" si="5"/>
        <v>44173041</v>
      </c>
      <c r="L86" s="178">
        <f>IF(J86=0,"-    ",K86/J86)</f>
        <v>7.3249558874661766E-2</v>
      </c>
      <c r="M86" s="662"/>
      <c r="Q86" s="674"/>
      <c r="R86" s="674"/>
      <c r="S86" s="674"/>
      <c r="T86" s="674"/>
    </row>
    <row r="87" spans="1:20" s="657" customFormat="1" ht="11.25">
      <c r="A87" s="699" t="s">
        <v>84</v>
      </c>
      <c r="B87" s="700" t="s">
        <v>5389</v>
      </c>
      <c r="C87" s="701"/>
      <c r="D87" s="701"/>
      <c r="E87" s="701"/>
      <c r="F87" s="651"/>
      <c r="G87" s="721"/>
      <c r="H87" s="722"/>
      <c r="I87" s="723"/>
      <c r="J87" s="723"/>
      <c r="K87" s="661">
        <f t="shared" si="5"/>
        <v>0</v>
      </c>
      <c r="L87" s="667" t="str">
        <f t="shared" ref="L87" si="6">IF(J87=0,"-    ",K87/K87)</f>
        <v xml:space="preserve">-    </v>
      </c>
      <c r="M87" s="662"/>
      <c r="Q87" s="674"/>
      <c r="R87" s="674"/>
      <c r="S87" s="674"/>
      <c r="T87" s="674"/>
    </row>
    <row r="88" spans="1:20" s="657" customFormat="1" ht="11.25">
      <c r="A88" s="699"/>
      <c r="B88" s="701" t="s">
        <v>5317</v>
      </c>
      <c r="C88" s="700" t="s">
        <v>4485</v>
      </c>
      <c r="D88" s="701"/>
      <c r="E88" s="701"/>
      <c r="F88" s="715"/>
      <c r="G88" s="701"/>
      <c r="H88" s="722"/>
      <c r="I88" s="713">
        <f>+ROUND('SP Min'!D201,0)</f>
        <v>0</v>
      </c>
      <c r="J88" s="713">
        <f>+ROUND('SP Min'!E201,0)</f>
        <v>0</v>
      </c>
      <c r="K88" s="661">
        <f t="shared" si="5"/>
        <v>0</v>
      </c>
      <c r="L88" s="667" t="str">
        <f t="shared" si="4"/>
        <v xml:space="preserve">-    </v>
      </c>
      <c r="M88" s="662"/>
      <c r="Q88" s="674"/>
      <c r="R88" s="674"/>
      <c r="S88" s="674"/>
      <c r="T88" s="674"/>
    </row>
    <row r="89" spans="1:20" s="657" customFormat="1" ht="11.25">
      <c r="A89" s="699"/>
      <c r="B89" s="701" t="s">
        <v>5324</v>
      </c>
      <c r="C89" s="700" t="s">
        <v>4495</v>
      </c>
      <c r="D89" s="701"/>
      <c r="E89" s="701"/>
      <c r="F89" s="651"/>
      <c r="G89" s="724"/>
      <c r="H89" s="722"/>
      <c r="I89" s="713">
        <f>+ROUND('SP Min'!D204,0)</f>
        <v>7699</v>
      </c>
      <c r="J89" s="713">
        <f>+ROUND('SP Min'!E204,0)</f>
        <v>291835</v>
      </c>
      <c r="K89" s="661">
        <f t="shared" si="5"/>
        <v>-284136</v>
      </c>
      <c r="L89" s="667">
        <f t="shared" si="4"/>
        <v>-0.97361865437661688</v>
      </c>
      <c r="M89" s="662"/>
      <c r="Q89" s="674"/>
      <c r="R89" s="674"/>
      <c r="S89" s="674"/>
      <c r="T89" s="674"/>
    </row>
    <row r="90" spans="1:20" s="657" customFormat="1" ht="11.25">
      <c r="A90" s="849" t="s">
        <v>5390</v>
      </c>
      <c r="B90" s="850"/>
      <c r="C90" s="850"/>
      <c r="D90" s="850"/>
      <c r="E90" s="850"/>
      <c r="F90" s="850"/>
      <c r="G90" s="852"/>
      <c r="H90" s="850"/>
      <c r="I90" s="693">
        <f>SUM(I88:I89)</f>
        <v>7699</v>
      </c>
      <c r="J90" s="693">
        <f>SUM(J88:J89)</f>
        <v>291835</v>
      </c>
      <c r="K90" s="695">
        <f t="shared" si="5"/>
        <v>-284136</v>
      </c>
      <c r="L90" s="178">
        <f t="shared" si="4"/>
        <v>-0.97361865437661688</v>
      </c>
      <c r="M90" s="662"/>
      <c r="Q90" s="674"/>
      <c r="R90" s="674"/>
      <c r="S90" s="674"/>
      <c r="T90" s="674"/>
    </row>
    <row r="91" spans="1:20" s="728" customFormat="1" ht="5.45" customHeight="1" thickBot="1">
      <c r="A91" s="725"/>
      <c r="B91" s="715"/>
      <c r="C91" s="715"/>
      <c r="D91" s="715"/>
      <c r="E91" s="715"/>
      <c r="F91" s="715"/>
      <c r="G91" s="715"/>
      <c r="H91" s="715"/>
      <c r="I91" s="726"/>
      <c r="J91" s="726"/>
      <c r="K91" s="727"/>
      <c r="L91" s="667"/>
      <c r="M91" s="662"/>
      <c r="Q91" s="729"/>
      <c r="R91" s="729"/>
      <c r="S91" s="729"/>
      <c r="T91" s="729"/>
    </row>
    <row r="92" spans="1:20" s="657" customFormat="1" ht="12" thickBot="1">
      <c r="A92" s="829" t="s">
        <v>5391</v>
      </c>
      <c r="B92" s="830"/>
      <c r="C92" s="830"/>
      <c r="D92" s="830"/>
      <c r="E92" s="830"/>
      <c r="F92" s="830"/>
      <c r="G92" s="830"/>
      <c r="H92" s="830"/>
      <c r="I92" s="730">
        <f>I37+I86+I90</f>
        <v>983398871</v>
      </c>
      <c r="J92" s="730">
        <f>J37+J86+J90</f>
        <v>939263732</v>
      </c>
      <c r="K92" s="731">
        <f>+I92-J92</f>
        <v>44135139</v>
      </c>
      <c r="L92" s="179">
        <f t="shared" si="4"/>
        <v>4.6989080378970705E-2</v>
      </c>
      <c r="M92" s="732"/>
      <c r="N92" s="732"/>
      <c r="Q92" s="674"/>
      <c r="R92" s="674"/>
      <c r="S92" s="674"/>
      <c r="T92" s="674"/>
    </row>
    <row r="93" spans="1:20" s="733" customFormat="1" ht="11.25">
      <c r="A93" s="699" t="s">
        <v>92</v>
      </c>
      <c r="B93" s="700" t="s">
        <v>5392</v>
      </c>
      <c r="C93" s="701"/>
      <c r="D93" s="701"/>
      <c r="E93" s="701"/>
      <c r="F93" s="651"/>
      <c r="G93" s="701"/>
      <c r="H93" s="722"/>
      <c r="I93" s="723"/>
      <c r="J93" s="723"/>
      <c r="K93" s="727"/>
      <c r="L93" s="667"/>
      <c r="M93" s="662"/>
      <c r="Q93" s="734"/>
      <c r="R93" s="734"/>
      <c r="S93" s="734"/>
      <c r="T93" s="734"/>
    </row>
    <row r="94" spans="1:20" s="733" customFormat="1" ht="11.25">
      <c r="A94" s="699"/>
      <c r="B94" s="703" t="s">
        <v>5393</v>
      </c>
      <c r="C94" s="735" t="s">
        <v>5394</v>
      </c>
      <c r="D94" s="703"/>
      <c r="E94" s="703"/>
      <c r="F94" s="709"/>
      <c r="G94" s="701"/>
      <c r="H94" s="722"/>
      <c r="I94" s="713">
        <f>+ROUND('SP Min'!D209,0)</f>
        <v>0</v>
      </c>
      <c r="J94" s="713">
        <f>+ROUND('SP Min'!E209,0)</f>
        <v>0</v>
      </c>
      <c r="K94" s="661">
        <f>+I94-J94</f>
        <v>0</v>
      </c>
      <c r="L94" s="656" t="str">
        <f t="shared" si="4"/>
        <v xml:space="preserve">-    </v>
      </c>
      <c r="M94" s="662"/>
      <c r="Q94" s="734"/>
      <c r="R94" s="734"/>
      <c r="S94" s="734"/>
      <c r="T94" s="734"/>
    </row>
    <row r="95" spans="1:20" s="733" customFormat="1" ht="11.25">
      <c r="A95" s="699"/>
      <c r="B95" s="703" t="s">
        <v>88</v>
      </c>
      <c r="C95" s="709" t="s">
        <v>5395</v>
      </c>
      <c r="D95" s="703"/>
      <c r="E95" s="703"/>
      <c r="F95" s="670"/>
      <c r="G95" s="701"/>
      <c r="H95" s="722"/>
      <c r="I95" s="713">
        <f>+ROUND('SP Min'!D210,0)</f>
        <v>444419</v>
      </c>
      <c r="J95" s="713">
        <f>+ROUND('SP Min'!E210,0)</f>
        <v>691333</v>
      </c>
      <c r="K95" s="661">
        <f t="shared" ref="K95:K98" si="7">+I95-J95</f>
        <v>-246914</v>
      </c>
      <c r="L95" s="656">
        <f t="shared" si="4"/>
        <v>-0.35715639207154876</v>
      </c>
      <c r="M95" s="662"/>
      <c r="Q95" s="734"/>
      <c r="R95" s="734"/>
      <c r="S95" s="734"/>
      <c r="T95" s="734"/>
    </row>
    <row r="96" spans="1:20" s="733" customFormat="1" ht="11.25">
      <c r="A96" s="699"/>
      <c r="B96" s="709" t="s">
        <v>116</v>
      </c>
      <c r="C96" s="703" t="s">
        <v>5396</v>
      </c>
      <c r="D96" s="703"/>
      <c r="E96" s="703"/>
      <c r="F96" s="670"/>
      <c r="G96" s="701"/>
      <c r="H96" s="722"/>
      <c r="I96" s="713">
        <f>+ROUND('SP Min'!D211,0)</f>
        <v>2749381</v>
      </c>
      <c r="J96" s="713">
        <f>+ROUND('SP Min'!E211,0)</f>
        <v>2749381</v>
      </c>
      <c r="K96" s="661">
        <f t="shared" si="7"/>
        <v>0</v>
      </c>
      <c r="L96" s="656">
        <f t="shared" si="4"/>
        <v>0</v>
      </c>
      <c r="M96" s="662"/>
      <c r="Q96" s="734"/>
      <c r="R96" s="734"/>
      <c r="S96" s="734"/>
      <c r="T96" s="734"/>
    </row>
    <row r="97" spans="1:20" s="733" customFormat="1" ht="11.25">
      <c r="A97" s="699"/>
      <c r="B97" s="703" t="s">
        <v>5322</v>
      </c>
      <c r="C97" s="735" t="s">
        <v>5397</v>
      </c>
      <c r="D97" s="703"/>
      <c r="E97" s="703"/>
      <c r="F97" s="709"/>
      <c r="G97" s="724"/>
      <c r="H97" s="722"/>
      <c r="I97" s="713">
        <f>+ROUND('SP Min'!D212+'SP Min'!D213,0)</f>
        <v>34905373</v>
      </c>
      <c r="J97" s="713">
        <f>+ROUND('SP Min'!E212+'SP Min'!E213,0)</f>
        <v>34764064</v>
      </c>
      <c r="K97" s="661">
        <f t="shared" si="7"/>
        <v>141309</v>
      </c>
      <c r="L97" s="656">
        <f t="shared" si="4"/>
        <v>4.0648009392687803E-3</v>
      </c>
      <c r="M97" s="662"/>
      <c r="Q97" s="734"/>
      <c r="R97" s="734"/>
      <c r="S97" s="734"/>
      <c r="T97" s="734"/>
    </row>
    <row r="98" spans="1:20" s="657" customFormat="1" ht="12" thickBot="1">
      <c r="A98" s="855" t="s">
        <v>5398</v>
      </c>
      <c r="B98" s="856"/>
      <c r="C98" s="856"/>
      <c r="D98" s="856"/>
      <c r="E98" s="856"/>
      <c r="F98" s="856"/>
      <c r="G98" s="857"/>
      <c r="H98" s="858"/>
      <c r="I98" s="736">
        <f>SUM(I94:I97)</f>
        <v>38099173</v>
      </c>
      <c r="J98" s="736">
        <f>SUM(J94:J97)</f>
        <v>38204778</v>
      </c>
      <c r="K98" s="737">
        <f t="shared" si="7"/>
        <v>-105605</v>
      </c>
      <c r="L98" s="738">
        <f t="shared" si="4"/>
        <v>-2.7641830558470986E-3</v>
      </c>
      <c r="M98" s="662"/>
      <c r="N98" s="662"/>
      <c r="Q98" s="674"/>
      <c r="R98" s="674"/>
      <c r="S98" s="674"/>
      <c r="T98" s="674"/>
    </row>
    <row r="99" spans="1:20" s="742" customFormat="1" ht="11.25">
      <c r="A99" s="659"/>
      <c r="B99" s="659"/>
      <c r="C99" s="659"/>
      <c r="D99" s="659"/>
      <c r="E99" s="659"/>
      <c r="F99" s="659"/>
      <c r="G99" s="659"/>
      <c r="H99" s="659"/>
      <c r="I99" s="739"/>
      <c r="J99" s="740"/>
      <c r="K99" s="197"/>
      <c r="L99" s="741"/>
      <c r="M99" s="662"/>
      <c r="Q99" s="743"/>
      <c r="R99" s="743"/>
      <c r="S99" s="743"/>
      <c r="T99" s="743"/>
    </row>
    <row r="100" spans="1:20" s="747" customFormat="1" ht="12" thickBot="1">
      <c r="A100" s="744"/>
      <c r="B100" s="744"/>
      <c r="C100" s="744"/>
      <c r="D100" s="744"/>
      <c r="E100" s="744"/>
      <c r="F100" s="705"/>
      <c r="G100" s="745"/>
      <c r="H100" s="745"/>
      <c r="I100" s="633"/>
      <c r="J100" s="633"/>
      <c r="K100" s="745"/>
      <c r="L100" s="746"/>
      <c r="M100" s="662"/>
      <c r="Q100" s="672"/>
      <c r="R100" s="672"/>
      <c r="S100" s="672"/>
      <c r="T100" s="672"/>
    </row>
    <row r="101" spans="1:20" ht="32.25" customHeight="1" thickBot="1">
      <c r="A101" s="859" t="s">
        <v>5399</v>
      </c>
      <c r="B101" s="860"/>
      <c r="C101" s="860"/>
      <c r="D101" s="860"/>
      <c r="E101" s="860"/>
      <c r="F101" s="860"/>
      <c r="G101" s="860"/>
      <c r="H101" s="860"/>
      <c r="I101" s="860"/>
      <c r="J101" s="860"/>
      <c r="K101" s="833" t="s">
        <v>5400</v>
      </c>
      <c r="L101" s="834"/>
      <c r="M101" s="662"/>
    </row>
    <row r="102" spans="1:20" ht="13.5" thickBot="1">
      <c r="A102" s="748"/>
      <c r="B102" s="748"/>
      <c r="C102" s="748"/>
      <c r="D102" s="748"/>
      <c r="E102" s="748"/>
      <c r="F102" s="749"/>
      <c r="G102" s="745"/>
      <c r="H102" s="745"/>
      <c r="I102" s="633"/>
      <c r="J102" s="634"/>
      <c r="K102" s="635"/>
      <c r="L102" s="636"/>
      <c r="M102" s="662"/>
    </row>
    <row r="103" spans="1:20" ht="13.15" customHeight="1">
      <c r="A103" s="861" t="s">
        <v>1823</v>
      </c>
      <c r="B103" s="862"/>
      <c r="C103" s="862"/>
      <c r="D103" s="862"/>
      <c r="E103" s="862"/>
      <c r="F103" s="862"/>
      <c r="G103" s="862"/>
      <c r="H103" s="862"/>
      <c r="I103" s="840" t="s">
        <v>5314</v>
      </c>
      <c r="J103" s="840" t="s">
        <v>5315</v>
      </c>
      <c r="K103" s="842" t="s">
        <v>3622</v>
      </c>
      <c r="L103" s="843"/>
      <c r="M103" s="662"/>
    </row>
    <row r="104" spans="1:20" s="639" customFormat="1" ht="39.75" customHeight="1">
      <c r="A104" s="863"/>
      <c r="B104" s="864"/>
      <c r="C104" s="864"/>
      <c r="D104" s="864"/>
      <c r="E104" s="864"/>
      <c r="F104" s="864"/>
      <c r="G104" s="865"/>
      <c r="H104" s="864"/>
      <c r="I104" s="841"/>
      <c r="J104" s="841"/>
      <c r="K104" s="637" t="s">
        <v>2</v>
      </c>
      <c r="L104" s="638" t="s">
        <v>3</v>
      </c>
      <c r="M104" s="662"/>
    </row>
    <row r="105" spans="1:20" s="668" customFormat="1" ht="11.25">
      <c r="A105" s="750"/>
      <c r="B105" s="751"/>
      <c r="C105" s="751"/>
      <c r="D105" s="751"/>
      <c r="E105" s="751"/>
      <c r="F105" s="752"/>
      <c r="G105" s="753"/>
      <c r="H105" s="754"/>
      <c r="I105" s="755"/>
      <c r="J105" s="756"/>
      <c r="K105" s="757"/>
      <c r="L105" s="758"/>
      <c r="M105" s="662"/>
      <c r="Q105" s="672"/>
      <c r="R105" s="672"/>
      <c r="S105" s="672"/>
      <c r="T105" s="672"/>
    </row>
    <row r="106" spans="1:20" s="657" customFormat="1" ht="11.25">
      <c r="A106" s="648" t="s">
        <v>4</v>
      </c>
      <c r="B106" s="200" t="s">
        <v>5401</v>
      </c>
      <c r="C106" s="650"/>
      <c r="D106" s="650"/>
      <c r="E106" s="650"/>
      <c r="F106" s="651"/>
      <c r="G106" s="652"/>
      <c r="H106" s="212"/>
      <c r="I106" s="759"/>
      <c r="J106" s="716"/>
      <c r="K106" s="217"/>
      <c r="L106" s="760"/>
      <c r="M106" s="662"/>
      <c r="Q106" s="674"/>
      <c r="R106" s="674"/>
      <c r="S106" s="674"/>
      <c r="T106" s="674"/>
    </row>
    <row r="107" spans="1:20" s="657" customFormat="1" ht="11.25">
      <c r="A107" s="648"/>
      <c r="B107" s="650"/>
      <c r="C107" s="650"/>
      <c r="D107" s="650"/>
      <c r="E107" s="650"/>
      <c r="F107" s="659"/>
      <c r="G107" s="652"/>
      <c r="H107" s="212"/>
      <c r="I107" s="759"/>
      <c r="J107" s="716"/>
      <c r="K107" s="661"/>
      <c r="L107" s="760"/>
      <c r="M107" s="662"/>
      <c r="Q107" s="674"/>
      <c r="R107" s="674"/>
      <c r="S107" s="674"/>
      <c r="T107" s="674"/>
    </row>
    <row r="108" spans="1:20" s="657" customFormat="1" ht="11.25">
      <c r="A108" s="658"/>
      <c r="B108" s="650" t="s">
        <v>5317</v>
      </c>
      <c r="C108" s="659" t="s">
        <v>5402</v>
      </c>
      <c r="D108" s="650"/>
      <c r="E108" s="650"/>
      <c r="F108" s="651"/>
      <c r="G108" s="652"/>
      <c r="H108" s="212"/>
      <c r="I108" s="716">
        <f>+ROUND('SP Min'!D215,0)</f>
        <v>984893</v>
      </c>
      <c r="J108" s="716">
        <f>+ROUND('SP Min'!E215,0)</f>
        <v>980644</v>
      </c>
      <c r="K108" s="727">
        <f>+I108-J108</f>
        <v>4249</v>
      </c>
      <c r="L108" s="667">
        <f t="shared" ref="L108:L167" si="8">IF(J108=0,"-    ",K108/J108)</f>
        <v>4.3328669731319417E-3</v>
      </c>
      <c r="M108" s="662"/>
      <c r="N108" s="761"/>
      <c r="Q108" s="674"/>
      <c r="R108" s="674"/>
      <c r="S108" s="674"/>
      <c r="T108" s="674"/>
    </row>
    <row r="109" spans="1:20" s="657" customFormat="1" ht="11.25">
      <c r="A109" s="658"/>
      <c r="B109" s="650" t="s">
        <v>5324</v>
      </c>
      <c r="C109" s="762" t="s">
        <v>5403</v>
      </c>
      <c r="D109" s="650"/>
      <c r="E109" s="650"/>
      <c r="F109" s="763"/>
      <c r="G109" s="652"/>
      <c r="H109" s="212"/>
      <c r="I109" s="660">
        <f>I110+I111+SUM(I115:I117)</f>
        <v>542196785</v>
      </c>
      <c r="J109" s="716">
        <f>J110+J111+SUM(J115:J117)</f>
        <v>551551951</v>
      </c>
      <c r="K109" s="727">
        <f>+I109-J109</f>
        <v>-9355166</v>
      </c>
      <c r="L109" s="667">
        <f t="shared" si="8"/>
        <v>-1.6961531879342406E-2</v>
      </c>
      <c r="M109" s="662"/>
      <c r="Q109" s="674"/>
      <c r="R109" s="674"/>
      <c r="S109" s="674"/>
      <c r="T109" s="674"/>
    </row>
    <row r="110" spans="1:20" s="668" customFormat="1" ht="11.25">
      <c r="A110" s="669"/>
      <c r="B110" s="650"/>
      <c r="C110" s="703" t="s">
        <v>86</v>
      </c>
      <c r="D110" s="703" t="s">
        <v>4545</v>
      </c>
      <c r="E110" s="701"/>
      <c r="F110" s="664"/>
      <c r="G110" s="665"/>
      <c r="H110" s="211"/>
      <c r="I110" s="671">
        <f>+ROUND('SP Min'!D217,0)</f>
        <v>112004738</v>
      </c>
      <c r="J110" s="713">
        <f>+ROUND('SP Min'!E217,0)</f>
        <v>117084281</v>
      </c>
      <c r="K110" s="727">
        <f t="shared" ref="K110:K167" si="9">+I110-J110</f>
        <v>-5079543</v>
      </c>
      <c r="L110" s="667">
        <f t="shared" si="8"/>
        <v>-4.3383646007955586E-2</v>
      </c>
      <c r="M110" s="662"/>
      <c r="Q110" s="672"/>
      <c r="R110" s="672"/>
      <c r="S110" s="672"/>
      <c r="T110" s="672"/>
    </row>
    <row r="111" spans="1:20" s="668" customFormat="1" ht="11.25">
      <c r="A111" s="669"/>
      <c r="B111" s="650"/>
      <c r="C111" s="703" t="s">
        <v>88</v>
      </c>
      <c r="D111" s="703" t="s">
        <v>5404</v>
      </c>
      <c r="E111" s="701"/>
      <c r="F111" s="664"/>
      <c r="G111" s="665"/>
      <c r="H111" s="211"/>
      <c r="I111" s="671">
        <f>SUM(I112:I114)</f>
        <v>47245310</v>
      </c>
      <c r="J111" s="713">
        <f>SUM(J112:J114)</f>
        <v>46735429</v>
      </c>
      <c r="K111" s="727">
        <f t="shared" si="9"/>
        <v>509881</v>
      </c>
      <c r="L111" s="667">
        <f t="shared" si="8"/>
        <v>1.0909945857135494E-2</v>
      </c>
      <c r="M111" s="662"/>
      <c r="Q111" s="672"/>
      <c r="R111" s="672"/>
      <c r="S111" s="672"/>
      <c r="T111" s="672"/>
    </row>
    <row r="112" spans="1:20" s="668" customFormat="1" ht="11.25">
      <c r="A112" s="669"/>
      <c r="B112" s="701"/>
      <c r="C112" s="703"/>
      <c r="D112" s="707" t="s">
        <v>5405</v>
      </c>
      <c r="E112" s="707" t="s">
        <v>4551</v>
      </c>
      <c r="F112" s="709"/>
      <c r="G112" s="703"/>
      <c r="H112" s="703"/>
      <c r="I112" s="671">
        <f>+ROUND('SP Min'!D219,0)</f>
        <v>0</v>
      </c>
      <c r="J112" s="713">
        <f>+ROUND('SP Min'!E219,0)</f>
        <v>0</v>
      </c>
      <c r="K112" s="727">
        <f t="shared" si="9"/>
        <v>0</v>
      </c>
      <c r="L112" s="667" t="str">
        <f t="shared" si="8"/>
        <v xml:space="preserve">-    </v>
      </c>
      <c r="M112" s="662"/>
      <c r="Q112" s="672"/>
      <c r="R112" s="672"/>
      <c r="S112" s="672"/>
      <c r="T112" s="672"/>
    </row>
    <row r="113" spans="1:20" s="668" customFormat="1" ht="11.25">
      <c r="A113" s="669"/>
      <c r="B113" s="701"/>
      <c r="C113" s="703"/>
      <c r="D113" s="707" t="s">
        <v>5328</v>
      </c>
      <c r="E113" s="707" t="s">
        <v>5406</v>
      </c>
      <c r="F113" s="709"/>
      <c r="G113" s="703"/>
      <c r="H113" s="703"/>
      <c r="I113" s="671">
        <f>+ROUND('SP Min'!D220,0)</f>
        <v>0</v>
      </c>
      <c r="J113" s="713">
        <f>+ROUND('SP Min'!E220,0)</f>
        <v>0</v>
      </c>
      <c r="K113" s="727">
        <f t="shared" si="9"/>
        <v>0</v>
      </c>
      <c r="L113" s="667" t="str">
        <f t="shared" si="8"/>
        <v xml:space="preserve">-    </v>
      </c>
      <c r="M113" s="662"/>
      <c r="Q113" s="672"/>
      <c r="R113" s="672"/>
      <c r="S113" s="672"/>
      <c r="T113" s="672"/>
    </row>
    <row r="114" spans="1:20" s="668" customFormat="1" ht="11.25">
      <c r="A114" s="669"/>
      <c r="B114" s="701"/>
      <c r="C114" s="703"/>
      <c r="D114" s="707" t="s">
        <v>5407</v>
      </c>
      <c r="E114" s="707" t="s">
        <v>5408</v>
      </c>
      <c r="F114" s="709"/>
      <c r="G114" s="703"/>
      <c r="H114" s="703"/>
      <c r="I114" s="671">
        <f>+ROUND('SP Min'!D221,0)</f>
        <v>47245310</v>
      </c>
      <c r="J114" s="713">
        <f>+ROUND('SP Min'!E221,0)</f>
        <v>46735429</v>
      </c>
      <c r="K114" s="727">
        <f t="shared" si="9"/>
        <v>509881</v>
      </c>
      <c r="L114" s="667">
        <f t="shared" si="8"/>
        <v>1.0909945857135494E-2</v>
      </c>
      <c r="M114" s="662"/>
      <c r="Q114" s="672"/>
      <c r="R114" s="672"/>
      <c r="S114" s="672"/>
      <c r="T114" s="672"/>
    </row>
    <row r="115" spans="1:20" s="668" customFormat="1" ht="11.25">
      <c r="A115" s="669"/>
      <c r="B115" s="701"/>
      <c r="C115" s="684" t="s">
        <v>116</v>
      </c>
      <c r="D115" s="684" t="s">
        <v>5409</v>
      </c>
      <c r="E115" s="703"/>
      <c r="F115" s="709"/>
      <c r="G115" s="703"/>
      <c r="H115" s="703"/>
      <c r="I115" s="671">
        <f>+ROUND('SP Min'!D222,0)</f>
        <v>371520500</v>
      </c>
      <c r="J115" s="713">
        <f>+ROUND('SP Min'!E222,0)</f>
        <v>376361397</v>
      </c>
      <c r="K115" s="727">
        <f t="shared" si="9"/>
        <v>-4840897</v>
      </c>
      <c r="L115" s="667">
        <f t="shared" si="8"/>
        <v>-1.2862363246037159E-2</v>
      </c>
      <c r="M115" s="662"/>
      <c r="Q115" s="672"/>
      <c r="R115" s="672"/>
      <c r="S115" s="672"/>
      <c r="T115" s="672"/>
    </row>
    <row r="116" spans="1:20" s="668" customFormat="1" ht="11.25">
      <c r="A116" s="669"/>
      <c r="B116" s="701"/>
      <c r="C116" s="684" t="s">
        <v>5322</v>
      </c>
      <c r="D116" s="684" t="s">
        <v>5410</v>
      </c>
      <c r="E116" s="703"/>
      <c r="F116" s="709"/>
      <c r="G116" s="703"/>
      <c r="H116" s="703"/>
      <c r="I116" s="671">
        <f>+ROUND('SP Min'!D223,0)</f>
        <v>11184241</v>
      </c>
      <c r="J116" s="713">
        <f>+ROUND('SP Min'!E223,0)</f>
        <v>11296591</v>
      </c>
      <c r="K116" s="727">
        <f t="shared" si="9"/>
        <v>-112350</v>
      </c>
      <c r="L116" s="667">
        <f t="shared" si="8"/>
        <v>-9.9454782420643536E-3</v>
      </c>
      <c r="M116" s="662"/>
      <c r="Q116" s="672"/>
      <c r="R116" s="672"/>
      <c r="S116" s="672"/>
      <c r="T116" s="672"/>
    </row>
    <row r="117" spans="1:20" s="668" customFormat="1" ht="11.25">
      <c r="A117" s="669"/>
      <c r="B117" s="650"/>
      <c r="C117" s="684" t="s">
        <v>5323</v>
      </c>
      <c r="D117" s="684" t="s">
        <v>4575</v>
      </c>
      <c r="E117" s="650"/>
      <c r="F117" s="664"/>
      <c r="G117" s="665"/>
      <c r="H117" s="211"/>
      <c r="I117" s="671">
        <f>+ROUND('SP Min'!D224,0)</f>
        <v>241996</v>
      </c>
      <c r="J117" s="713">
        <f>+ROUND('SP Min'!E224,0)</f>
        <v>74253</v>
      </c>
      <c r="K117" s="727">
        <f t="shared" si="9"/>
        <v>167743</v>
      </c>
      <c r="L117" s="667">
        <f t="shared" si="8"/>
        <v>2.2590737074596312</v>
      </c>
      <c r="M117" s="662"/>
      <c r="Q117" s="672"/>
      <c r="R117" s="672"/>
      <c r="S117" s="672"/>
      <c r="T117" s="672"/>
    </row>
    <row r="118" spans="1:20" s="657" customFormat="1" ht="11.25">
      <c r="A118" s="658"/>
      <c r="B118" s="762" t="s">
        <v>5336</v>
      </c>
      <c r="C118" s="762" t="s">
        <v>5411</v>
      </c>
      <c r="D118" s="650"/>
      <c r="E118" s="650"/>
      <c r="F118" s="763"/>
      <c r="G118" s="652"/>
      <c r="H118" s="212"/>
      <c r="I118" s="660">
        <f>+ROUND('SP Min'!D225,0)</f>
        <v>16037135</v>
      </c>
      <c r="J118" s="716">
        <f>+ROUND('SP Min'!E225,0)</f>
        <v>17216608</v>
      </c>
      <c r="K118" s="727">
        <f t="shared" si="9"/>
        <v>-1179473</v>
      </c>
      <c r="L118" s="667">
        <f t="shared" si="8"/>
        <v>-6.8507861711203502E-2</v>
      </c>
      <c r="M118" s="662"/>
      <c r="Q118" s="674"/>
      <c r="R118" s="674"/>
      <c r="S118" s="674"/>
      <c r="T118" s="674"/>
    </row>
    <row r="119" spans="1:20" s="657" customFormat="1" ht="11.25">
      <c r="A119" s="658"/>
      <c r="B119" s="762" t="s">
        <v>5383</v>
      </c>
      <c r="C119" s="659" t="s">
        <v>5412</v>
      </c>
      <c r="D119" s="650"/>
      <c r="E119" s="650"/>
      <c r="F119" s="763"/>
      <c r="G119" s="652"/>
      <c r="H119" s="212"/>
      <c r="I119" s="660">
        <f>+ROUND('SP Min'!D226,0)</f>
        <v>4629065</v>
      </c>
      <c r="J119" s="660">
        <f>+ROUND('SP Min'!E226,0)</f>
        <v>4950114</v>
      </c>
      <c r="K119" s="727">
        <f t="shared" si="9"/>
        <v>-321049</v>
      </c>
      <c r="L119" s="667">
        <f t="shared" si="8"/>
        <v>-6.4856890164549749E-2</v>
      </c>
      <c r="M119" s="662"/>
      <c r="Q119" s="674"/>
      <c r="R119" s="674"/>
      <c r="S119" s="674"/>
      <c r="T119" s="674"/>
    </row>
    <row r="120" spans="1:20" s="657" customFormat="1" ht="11.25">
      <c r="A120" s="658"/>
      <c r="B120" s="762" t="s">
        <v>5413</v>
      </c>
      <c r="C120" s="659" t="s">
        <v>5414</v>
      </c>
      <c r="D120" s="650"/>
      <c r="E120" s="650"/>
      <c r="F120" s="651"/>
      <c r="G120" s="652"/>
      <c r="H120" s="212"/>
      <c r="I120" s="716">
        <f>+ROUND('SP Min'!D232,0)</f>
        <v>0</v>
      </c>
      <c r="J120" s="716">
        <f>+ROUND('SP Min'!E232,0)</f>
        <v>0</v>
      </c>
      <c r="K120" s="727">
        <f t="shared" si="9"/>
        <v>0</v>
      </c>
      <c r="L120" s="667" t="str">
        <f t="shared" si="8"/>
        <v xml:space="preserve">-    </v>
      </c>
      <c r="M120" s="662"/>
      <c r="Q120" s="674"/>
      <c r="R120" s="674"/>
      <c r="S120" s="674"/>
      <c r="T120" s="674"/>
    </row>
    <row r="121" spans="1:20" s="657" customFormat="1" ht="11.25">
      <c r="A121" s="658"/>
      <c r="B121" s="762" t="s">
        <v>5415</v>
      </c>
      <c r="C121" s="659" t="s">
        <v>5416</v>
      </c>
      <c r="D121" s="650"/>
      <c r="E121" s="650"/>
      <c r="F121" s="763"/>
      <c r="G121" s="652"/>
      <c r="H121" s="212"/>
      <c r="I121" s="716">
        <f>+ROUND('SP Min'!D236,0)</f>
        <v>0</v>
      </c>
      <c r="J121" s="716">
        <f>+ROUND('SP Min'!E236,0)</f>
        <v>0</v>
      </c>
      <c r="K121" s="727">
        <f t="shared" si="9"/>
        <v>0</v>
      </c>
      <c r="L121" s="667" t="str">
        <f t="shared" si="8"/>
        <v xml:space="preserve">-    </v>
      </c>
      <c r="M121" s="662"/>
      <c r="Q121" s="674"/>
      <c r="R121" s="674"/>
      <c r="S121" s="674"/>
      <c r="T121" s="674"/>
    </row>
    <row r="122" spans="1:20" s="657" customFormat="1" ht="11.25">
      <c r="A122" s="658"/>
      <c r="B122" s="762" t="s">
        <v>5417</v>
      </c>
      <c r="C122" s="659" t="s">
        <v>5418</v>
      </c>
      <c r="D122" s="650"/>
      <c r="E122" s="650"/>
      <c r="F122" s="763"/>
      <c r="G122" s="652"/>
      <c r="H122" s="212"/>
      <c r="I122" s="716">
        <f>+ROUND('SP Min'!D237,0)</f>
        <v>0</v>
      </c>
      <c r="J122" s="716">
        <f>+ROUND('SP Min'!E237,0)</f>
        <v>0</v>
      </c>
      <c r="K122" s="727">
        <f t="shared" si="9"/>
        <v>0</v>
      </c>
      <c r="L122" s="764" t="str">
        <f t="shared" si="8"/>
        <v xml:space="preserve">-    </v>
      </c>
      <c r="M122" s="662"/>
      <c r="Q122" s="674"/>
      <c r="R122" s="674"/>
      <c r="S122" s="674"/>
      <c r="T122" s="674"/>
    </row>
    <row r="123" spans="1:20" s="657" customFormat="1" ht="11.25">
      <c r="A123" s="846" t="s">
        <v>5344</v>
      </c>
      <c r="B123" s="847"/>
      <c r="C123" s="847"/>
      <c r="D123" s="847"/>
      <c r="E123" s="847"/>
      <c r="F123" s="847"/>
      <c r="G123" s="866"/>
      <c r="H123" s="847"/>
      <c r="I123" s="693">
        <f>I108+I109+SUM(I118:I122)</f>
        <v>563847878</v>
      </c>
      <c r="J123" s="693">
        <f>J108+J109+SUM(J118:J122)</f>
        <v>574699317</v>
      </c>
      <c r="K123" s="765">
        <f t="shared" si="9"/>
        <v>-10851439</v>
      </c>
      <c r="L123" s="178">
        <f t="shared" si="8"/>
        <v>-1.8881941702394611E-2</v>
      </c>
      <c r="M123" s="662"/>
      <c r="Q123" s="674"/>
      <c r="R123" s="674"/>
      <c r="S123" s="674"/>
      <c r="T123" s="674"/>
    </row>
    <row r="124" spans="1:20" s="657" customFormat="1" ht="11.25">
      <c r="A124" s="766" t="s">
        <v>33</v>
      </c>
      <c r="B124" s="200" t="s">
        <v>5419</v>
      </c>
      <c r="C124" s="762"/>
      <c r="D124" s="650"/>
      <c r="E124" s="650"/>
      <c r="F124" s="651"/>
      <c r="G124" s="767"/>
      <c r="H124" s="212"/>
      <c r="I124" s="696"/>
      <c r="J124" s="696"/>
      <c r="K124" s="661">
        <f t="shared" si="9"/>
        <v>0</v>
      </c>
      <c r="L124" s="187" t="str">
        <f t="shared" si="8"/>
        <v xml:space="preserve">-    </v>
      </c>
      <c r="M124" s="662"/>
      <c r="Q124" s="674"/>
      <c r="R124" s="674"/>
      <c r="S124" s="674"/>
      <c r="T124" s="674"/>
    </row>
    <row r="125" spans="1:20" s="657" customFormat="1" ht="11.25">
      <c r="A125" s="766"/>
      <c r="B125" s="762" t="s">
        <v>86</v>
      </c>
      <c r="C125" s="200" t="s">
        <v>5420</v>
      </c>
      <c r="D125" s="650"/>
      <c r="E125" s="650"/>
      <c r="F125" s="651"/>
      <c r="G125" s="652"/>
      <c r="H125" s="212"/>
      <c r="I125" s="716">
        <f>+ROUND('SP Min'!D239,0)</f>
        <v>0</v>
      </c>
      <c r="J125" s="716">
        <f>+ROUND('SP Min'!E239,0)</f>
        <v>0</v>
      </c>
      <c r="K125" s="727">
        <f t="shared" si="9"/>
        <v>0</v>
      </c>
      <c r="L125" s="667" t="str">
        <f t="shared" si="8"/>
        <v xml:space="preserve">-    </v>
      </c>
      <c r="M125" s="662"/>
      <c r="Q125" s="674"/>
      <c r="R125" s="674"/>
      <c r="S125" s="674"/>
      <c r="T125" s="674"/>
    </row>
    <row r="126" spans="1:20" s="657" customFormat="1" ht="11.25">
      <c r="A126" s="766"/>
      <c r="B126" s="762" t="s">
        <v>88</v>
      </c>
      <c r="C126" s="200" t="s">
        <v>5421</v>
      </c>
      <c r="D126" s="650"/>
      <c r="E126" s="650"/>
      <c r="F126" s="659"/>
      <c r="G126" s="652"/>
      <c r="H126" s="212"/>
      <c r="I126" s="716">
        <f>+ROUND('SP Min'!D240,0)</f>
        <v>11018613</v>
      </c>
      <c r="J126" s="716">
        <f>+ROUND('SP Min'!E240,0)</f>
        <v>11049670</v>
      </c>
      <c r="K126" s="727">
        <f t="shared" si="9"/>
        <v>-31057</v>
      </c>
      <c r="L126" s="667">
        <f t="shared" si="8"/>
        <v>-2.8106721739201263E-3</v>
      </c>
      <c r="M126" s="662"/>
      <c r="Q126" s="674"/>
      <c r="R126" s="674"/>
      <c r="S126" s="674"/>
      <c r="T126" s="674"/>
    </row>
    <row r="127" spans="1:20" s="657" customFormat="1" ht="11.25">
      <c r="A127" s="766"/>
      <c r="B127" s="762" t="s">
        <v>116</v>
      </c>
      <c r="C127" s="200" t="s">
        <v>5422</v>
      </c>
      <c r="D127" s="650"/>
      <c r="E127" s="650"/>
      <c r="F127" s="651"/>
      <c r="G127" s="652"/>
      <c r="H127" s="212"/>
      <c r="I127" s="716">
        <f>+ROUND('SP Min'!D248,0)</f>
        <v>0</v>
      </c>
      <c r="J127" s="716">
        <f>+ROUND('SP Min'!E248,0)</f>
        <v>0</v>
      </c>
      <c r="K127" s="727">
        <f t="shared" si="9"/>
        <v>0</v>
      </c>
      <c r="L127" s="667" t="str">
        <f t="shared" si="8"/>
        <v xml:space="preserve">-    </v>
      </c>
      <c r="M127" s="662"/>
      <c r="Q127" s="674"/>
      <c r="R127" s="674"/>
      <c r="S127" s="674"/>
      <c r="T127" s="674"/>
    </row>
    <row r="128" spans="1:20" s="657" customFormat="1" ht="11.25">
      <c r="A128" s="766"/>
      <c r="B128" s="762" t="s">
        <v>5322</v>
      </c>
      <c r="C128" s="762" t="s">
        <v>5423</v>
      </c>
      <c r="D128" s="650"/>
      <c r="E128" s="650"/>
      <c r="F128" s="659"/>
      <c r="G128" s="652"/>
      <c r="H128" s="212"/>
      <c r="I128" s="660">
        <f>+ROUND('SP Min'!D257,0)</f>
        <v>25620113</v>
      </c>
      <c r="J128" s="716">
        <f>+ROUND('SP Min'!E257,0)</f>
        <v>58995434</v>
      </c>
      <c r="K128" s="727">
        <f t="shared" si="9"/>
        <v>-33375321</v>
      </c>
      <c r="L128" s="667">
        <f t="shared" si="8"/>
        <v>-0.56572718831087843</v>
      </c>
      <c r="M128" s="662"/>
      <c r="Q128" s="674"/>
      <c r="R128" s="674"/>
      <c r="S128" s="674"/>
      <c r="T128" s="674"/>
    </row>
    <row r="129" spans="1:20" s="657" customFormat="1" ht="11.25">
      <c r="A129" s="766"/>
      <c r="B129" s="762" t="s">
        <v>5323</v>
      </c>
      <c r="C129" s="762" t="s">
        <v>5424</v>
      </c>
      <c r="D129" s="650"/>
      <c r="E129" s="650"/>
      <c r="F129" s="659"/>
      <c r="G129" s="768"/>
      <c r="H129" s="212"/>
      <c r="I129" s="660">
        <f>+ROUND('SP Min'!D263,0)</f>
        <v>29181247</v>
      </c>
      <c r="J129" s="716">
        <f>+ROUND('SP Min'!E263,0)</f>
        <v>25716543</v>
      </c>
      <c r="K129" s="727">
        <f t="shared" si="9"/>
        <v>3464704</v>
      </c>
      <c r="L129" s="667">
        <f t="shared" si="8"/>
        <v>0.13472666213339796</v>
      </c>
      <c r="M129" s="662"/>
      <c r="Q129" s="674"/>
      <c r="R129" s="674"/>
      <c r="S129" s="674"/>
      <c r="T129" s="674"/>
    </row>
    <row r="130" spans="1:20" s="657" customFormat="1" ht="11.25">
      <c r="A130" s="849" t="s">
        <v>5388</v>
      </c>
      <c r="B130" s="850"/>
      <c r="C130" s="850"/>
      <c r="D130" s="850"/>
      <c r="E130" s="850"/>
      <c r="F130" s="850"/>
      <c r="G130" s="867"/>
      <c r="H130" s="850"/>
      <c r="I130" s="693">
        <f>SUM(I125:I129)</f>
        <v>65819973</v>
      </c>
      <c r="J130" s="693">
        <f>SUM(J125:J129)</f>
        <v>95761647</v>
      </c>
      <c r="K130" s="765">
        <f t="shared" si="9"/>
        <v>-29941674</v>
      </c>
      <c r="L130" s="178">
        <f t="shared" si="8"/>
        <v>-0.3126687451396904</v>
      </c>
      <c r="M130" s="662"/>
      <c r="Q130" s="674"/>
      <c r="R130" s="674"/>
      <c r="S130" s="674"/>
      <c r="T130" s="674"/>
    </row>
    <row r="131" spans="1:20" s="657" customFormat="1" ht="11.25">
      <c r="A131" s="766" t="s">
        <v>84</v>
      </c>
      <c r="B131" s="762" t="s">
        <v>5425</v>
      </c>
      <c r="C131" s="762"/>
      <c r="D131" s="650"/>
      <c r="E131" s="650"/>
      <c r="F131" s="659"/>
      <c r="G131" s="767"/>
      <c r="H131" s="212"/>
      <c r="I131" s="716"/>
      <c r="J131" s="716"/>
      <c r="K131" s="661">
        <f t="shared" si="9"/>
        <v>0</v>
      </c>
      <c r="L131" s="187" t="str">
        <f t="shared" si="8"/>
        <v xml:space="preserve">-    </v>
      </c>
      <c r="M131" s="662"/>
      <c r="Q131" s="674"/>
      <c r="R131" s="674"/>
      <c r="S131" s="674"/>
      <c r="T131" s="674"/>
    </row>
    <row r="132" spans="1:20" s="657" customFormat="1" ht="11.25">
      <c r="A132" s="766"/>
      <c r="B132" s="762" t="s">
        <v>86</v>
      </c>
      <c r="C132" s="762" t="s">
        <v>5426</v>
      </c>
      <c r="D132" s="650"/>
      <c r="E132" s="650"/>
      <c r="F132" s="659"/>
      <c r="G132" s="652"/>
      <c r="H132" s="212"/>
      <c r="I132" s="716">
        <f>+ROUND('SP Min'!D272,0)</f>
        <v>2310418</v>
      </c>
      <c r="J132" s="716">
        <f>+ROUND('SP Min'!E272,0)</f>
        <v>2786062</v>
      </c>
      <c r="K132" s="727">
        <f t="shared" si="9"/>
        <v>-475644</v>
      </c>
      <c r="L132" s="667">
        <f t="shared" si="8"/>
        <v>-0.17072269030624587</v>
      </c>
      <c r="M132" s="662"/>
      <c r="Q132" s="674"/>
      <c r="R132" s="674"/>
      <c r="S132" s="674"/>
      <c r="T132" s="674"/>
    </row>
    <row r="133" spans="1:20" s="657" customFormat="1" ht="11.25">
      <c r="A133" s="766"/>
      <c r="B133" s="762" t="s">
        <v>88</v>
      </c>
      <c r="C133" s="762" t="s">
        <v>5427</v>
      </c>
      <c r="D133" s="650"/>
      <c r="E133" s="650"/>
      <c r="F133" s="659"/>
      <c r="G133" s="768"/>
      <c r="H133" s="212"/>
      <c r="I133" s="716">
        <f>+ROUND('SP Min'!D273+'SP Min'!D274,0)</f>
        <v>0</v>
      </c>
      <c r="J133" s="716">
        <f>+ROUND('SP Min'!E273+'SP Min'!E274,0)</f>
        <v>0</v>
      </c>
      <c r="K133" s="727">
        <f t="shared" si="9"/>
        <v>0</v>
      </c>
      <c r="L133" s="667" t="str">
        <f t="shared" si="8"/>
        <v xml:space="preserve">-    </v>
      </c>
      <c r="M133" s="662"/>
      <c r="Q133" s="674"/>
      <c r="R133" s="674"/>
      <c r="S133" s="674"/>
      <c r="T133" s="674"/>
    </row>
    <row r="134" spans="1:20" s="657" customFormat="1" ht="11.25">
      <c r="A134" s="849" t="s">
        <v>5390</v>
      </c>
      <c r="B134" s="850"/>
      <c r="C134" s="850"/>
      <c r="D134" s="850"/>
      <c r="E134" s="850"/>
      <c r="F134" s="850"/>
      <c r="G134" s="852"/>
      <c r="H134" s="850"/>
      <c r="I134" s="693">
        <f>SUM(I132:I133)</f>
        <v>2310418</v>
      </c>
      <c r="J134" s="693">
        <f>SUM(J132:J133)</f>
        <v>2786062</v>
      </c>
      <c r="K134" s="765">
        <f t="shared" si="9"/>
        <v>-475644</v>
      </c>
      <c r="L134" s="178">
        <f t="shared" si="8"/>
        <v>-0.17072269030624587</v>
      </c>
      <c r="M134" s="662"/>
      <c r="Q134" s="674"/>
      <c r="R134" s="674"/>
      <c r="S134" s="674"/>
      <c r="T134" s="674"/>
    </row>
    <row r="135" spans="1:20" s="657" customFormat="1" ht="11.25">
      <c r="A135" s="769" t="s">
        <v>92</v>
      </c>
      <c r="B135" s="200" t="s">
        <v>5428</v>
      </c>
      <c r="C135" s="770"/>
      <c r="D135" s="770"/>
      <c r="E135" s="770"/>
      <c r="F135" s="651"/>
      <c r="G135" s="651"/>
      <c r="H135" s="651"/>
      <c r="I135" s="771"/>
      <c r="J135" s="771"/>
      <c r="K135" s="661">
        <f t="shared" si="9"/>
        <v>0</v>
      </c>
      <c r="L135" s="187" t="str">
        <f t="shared" si="8"/>
        <v xml:space="preserve">-    </v>
      </c>
      <c r="M135" s="662"/>
      <c r="Q135" s="674"/>
      <c r="R135" s="674"/>
      <c r="S135" s="674"/>
      <c r="T135" s="674"/>
    </row>
    <row r="136" spans="1:20" s="657" customFormat="1" ht="11.25">
      <c r="A136" s="648"/>
      <c r="B136" s="650"/>
      <c r="C136" s="650"/>
      <c r="D136" s="650"/>
      <c r="E136" s="650"/>
      <c r="F136" s="200"/>
      <c r="G136" s="772" t="s">
        <v>5334</v>
      </c>
      <c r="H136" s="773" t="s">
        <v>5335</v>
      </c>
      <c r="I136" s="774"/>
      <c r="J136" s="774"/>
      <c r="K136" s="661">
        <f t="shared" si="9"/>
        <v>0</v>
      </c>
      <c r="L136" s="187" t="str">
        <f t="shared" si="8"/>
        <v xml:space="preserve">-    </v>
      </c>
      <c r="M136" s="662"/>
      <c r="Q136" s="674"/>
      <c r="R136" s="674"/>
      <c r="S136" s="674"/>
      <c r="T136" s="674"/>
    </row>
    <row r="137" spans="1:20" s="657" customFormat="1" ht="11.25">
      <c r="A137" s="648"/>
      <c r="B137" s="762" t="s">
        <v>86</v>
      </c>
      <c r="C137" s="200" t="s">
        <v>5429</v>
      </c>
      <c r="D137" s="650"/>
      <c r="E137" s="650"/>
      <c r="F137" s="200"/>
      <c r="G137" s="217"/>
      <c r="H137" s="212"/>
      <c r="I137" s="716">
        <f>+ROUND('SP Min'!D276,0)</f>
        <v>0</v>
      </c>
      <c r="J137" s="716">
        <f>+ROUND('SP Min'!E276,0)</f>
        <v>0</v>
      </c>
      <c r="K137" s="727">
        <f t="shared" si="9"/>
        <v>0</v>
      </c>
      <c r="L137" s="667" t="str">
        <f t="shared" si="8"/>
        <v xml:space="preserve">-    </v>
      </c>
      <c r="M137" s="662"/>
      <c r="Q137" s="674"/>
      <c r="R137" s="674"/>
      <c r="S137" s="674"/>
      <c r="T137" s="674"/>
    </row>
    <row r="138" spans="1:20" s="657" customFormat="1" ht="11.25">
      <c r="A138" s="648"/>
      <c r="B138" s="762" t="s">
        <v>88</v>
      </c>
      <c r="C138" s="775" t="s">
        <v>5430</v>
      </c>
      <c r="D138" s="650"/>
      <c r="E138" s="650"/>
      <c r="F138" s="651"/>
      <c r="G138" s="217"/>
      <c r="H138" s="217"/>
      <c r="I138" s="716">
        <f>+ROUND('SP Min'!D277,0)</f>
        <v>0</v>
      </c>
      <c r="J138" s="716">
        <f>+ROUND('SP Min'!E277,0)</f>
        <v>0</v>
      </c>
      <c r="K138" s="727">
        <f t="shared" si="9"/>
        <v>0</v>
      </c>
      <c r="L138" s="667" t="str">
        <f t="shared" si="8"/>
        <v xml:space="preserve">-    </v>
      </c>
      <c r="M138" s="662"/>
      <c r="Q138" s="674"/>
      <c r="R138" s="674"/>
      <c r="S138" s="674"/>
      <c r="T138" s="674"/>
    </row>
    <row r="139" spans="1:20" s="657" customFormat="1" ht="11.25">
      <c r="A139" s="648"/>
      <c r="B139" s="762" t="s">
        <v>116</v>
      </c>
      <c r="C139" s="200" t="s">
        <v>5431</v>
      </c>
      <c r="D139" s="650"/>
      <c r="E139" s="650"/>
      <c r="F139" s="651"/>
      <c r="G139" s="776"/>
      <c r="H139" s="201"/>
      <c r="I139" s="716">
        <f>+ROUND('SP Min'!D283,0)</f>
        <v>51635334</v>
      </c>
      <c r="J139" s="716">
        <f>+ROUND('SP Min'!E283,0)</f>
        <v>37150115</v>
      </c>
      <c r="K139" s="727">
        <f t="shared" si="9"/>
        <v>14485219</v>
      </c>
      <c r="L139" s="667">
        <f t="shared" si="8"/>
        <v>0.38991047537807083</v>
      </c>
      <c r="M139" s="662"/>
      <c r="Q139" s="674"/>
      <c r="R139" s="674"/>
      <c r="S139" s="674"/>
      <c r="T139" s="674"/>
    </row>
    <row r="140" spans="1:20" s="657" customFormat="1" ht="11.25">
      <c r="A140" s="648"/>
      <c r="B140" s="762" t="s">
        <v>5322</v>
      </c>
      <c r="C140" s="775" t="s">
        <v>5432</v>
      </c>
      <c r="D140" s="650"/>
      <c r="E140" s="650"/>
      <c r="F140" s="200"/>
      <c r="G140" s="776"/>
      <c r="H140" s="688"/>
      <c r="I140" s="716">
        <f>+ROUND('SP Min'!D294,0)</f>
        <v>4150649</v>
      </c>
      <c r="J140" s="716">
        <f>+ROUND('SP Min'!E294,0)</f>
        <v>4101945</v>
      </c>
      <c r="K140" s="727">
        <f>+I140-J140</f>
        <v>48704</v>
      </c>
      <c r="L140" s="667">
        <f t="shared" si="8"/>
        <v>1.1873391769026645E-2</v>
      </c>
      <c r="M140" s="662"/>
      <c r="Q140" s="674"/>
      <c r="R140" s="674"/>
      <c r="S140" s="674"/>
      <c r="T140" s="674"/>
    </row>
    <row r="141" spans="1:20" s="657" customFormat="1" ht="11.25">
      <c r="A141" s="648"/>
      <c r="B141" s="762" t="s">
        <v>5323</v>
      </c>
      <c r="C141" s="200" t="s">
        <v>5433</v>
      </c>
      <c r="D141" s="650"/>
      <c r="E141" s="650"/>
      <c r="F141" s="651"/>
      <c r="G141" s="776"/>
      <c r="H141" s="201"/>
      <c r="I141" s="777">
        <f>I142+I143+I144+I145+I146+I147</f>
        <v>120520097</v>
      </c>
      <c r="J141" s="759">
        <f>J142+J143+J144+J145+J146+J147</f>
        <v>69739894</v>
      </c>
      <c r="K141" s="727">
        <f t="shared" si="9"/>
        <v>50780203</v>
      </c>
      <c r="L141" s="667">
        <f t="shared" si="8"/>
        <v>0.72813708320233461</v>
      </c>
      <c r="M141" s="662"/>
      <c r="Q141" s="674"/>
      <c r="R141" s="674"/>
      <c r="S141" s="674"/>
      <c r="T141" s="674"/>
    </row>
    <row r="142" spans="1:20" s="668" customFormat="1" ht="18" customHeight="1">
      <c r="A142" s="648"/>
      <c r="B142" s="650"/>
      <c r="C142" s="664" t="s">
        <v>5327</v>
      </c>
      <c r="D142" s="853" t="s">
        <v>5434</v>
      </c>
      <c r="E142" s="853"/>
      <c r="F142" s="854"/>
      <c r="G142" s="778"/>
      <c r="H142" s="779"/>
      <c r="I142" s="713">
        <f>+ROUND('SP Min'!D297+'SP Min'!D300+'SP Min'!D301+'SP Min'!D304+'SP Min'!D305,0)</f>
        <v>19404266</v>
      </c>
      <c r="J142" s="713">
        <f>+ROUND('SP Min'!E297+'SP Min'!E300+'SP Min'!E301+'SP Min'!E304+'SP Min'!E305,0)</f>
        <v>17440421</v>
      </c>
      <c r="K142" s="727">
        <f t="shared" si="9"/>
        <v>1963845</v>
      </c>
      <c r="L142" s="667">
        <f t="shared" si="8"/>
        <v>0.11260307305655064</v>
      </c>
      <c r="M142" s="662"/>
      <c r="Q142" s="672"/>
      <c r="R142" s="672"/>
      <c r="S142" s="672"/>
      <c r="T142" s="672"/>
    </row>
    <row r="143" spans="1:20" s="668" customFormat="1" ht="22.5" customHeight="1">
      <c r="A143" s="648"/>
      <c r="B143" s="650"/>
      <c r="C143" s="664" t="s">
        <v>5328</v>
      </c>
      <c r="D143" s="853" t="s">
        <v>5435</v>
      </c>
      <c r="E143" s="853"/>
      <c r="F143" s="854"/>
      <c r="G143" s="727"/>
      <c r="H143" s="779"/>
      <c r="I143" s="713">
        <f>+ROUND('SP Min'!D298,0)</f>
        <v>0</v>
      </c>
      <c r="J143" s="713">
        <f>+ROUND('SP Min'!E298,0)</f>
        <v>0</v>
      </c>
      <c r="K143" s="727">
        <f t="shared" si="9"/>
        <v>0</v>
      </c>
      <c r="L143" s="667" t="str">
        <f t="shared" si="8"/>
        <v xml:space="preserve">-    </v>
      </c>
      <c r="M143" s="662"/>
      <c r="Q143" s="672"/>
      <c r="R143" s="672"/>
      <c r="S143" s="672"/>
      <c r="T143" s="672"/>
    </row>
    <row r="144" spans="1:20" s="668" customFormat="1" ht="22.5" customHeight="1">
      <c r="A144" s="648"/>
      <c r="B144" s="650"/>
      <c r="C144" s="664" t="s">
        <v>5339</v>
      </c>
      <c r="D144" s="853" t="s">
        <v>5436</v>
      </c>
      <c r="E144" s="853"/>
      <c r="F144" s="854"/>
      <c r="G144" s="727"/>
      <c r="H144" s="779"/>
      <c r="I144" s="713">
        <f>+ROUND('SP Min'!D299,0)</f>
        <v>0</v>
      </c>
      <c r="J144" s="713">
        <f>+ROUND('SP Min'!E299,0)</f>
        <v>0</v>
      </c>
      <c r="K144" s="727">
        <f t="shared" si="9"/>
        <v>0</v>
      </c>
      <c r="L144" s="667" t="str">
        <f t="shared" si="8"/>
        <v xml:space="preserve">-    </v>
      </c>
      <c r="M144" s="662"/>
      <c r="Q144" s="672"/>
      <c r="R144" s="672"/>
      <c r="S144" s="672"/>
      <c r="T144" s="672"/>
    </row>
    <row r="145" spans="1:20" s="668" customFormat="1" ht="11.25">
      <c r="A145" s="648"/>
      <c r="B145" s="650"/>
      <c r="C145" s="664" t="s">
        <v>5340</v>
      </c>
      <c r="D145" s="853" t="s">
        <v>5437</v>
      </c>
      <c r="E145" s="853"/>
      <c r="F145" s="854"/>
      <c r="G145" s="778"/>
      <c r="H145" s="779"/>
      <c r="I145" s="671">
        <f>+ROUND('SP Min'!D302+'SP Min'!D303,0)</f>
        <v>100226089</v>
      </c>
      <c r="J145" s="671">
        <f>+ROUND('SP Min'!E302+'SP Min'!E303,0)-1</f>
        <v>51249630</v>
      </c>
      <c r="K145" s="727">
        <f t="shared" si="9"/>
        <v>48976459</v>
      </c>
      <c r="L145" s="667">
        <f t="shared" si="8"/>
        <v>0.95564512368186849</v>
      </c>
      <c r="M145" s="662"/>
      <c r="Q145" s="672"/>
      <c r="R145" s="672"/>
      <c r="S145" s="672"/>
      <c r="T145" s="672"/>
    </row>
    <row r="146" spans="1:20" s="668" customFormat="1" ht="21.6" customHeight="1">
      <c r="A146" s="648"/>
      <c r="B146" s="650"/>
      <c r="C146" s="664" t="s">
        <v>5438</v>
      </c>
      <c r="D146" s="853" t="s">
        <v>5439</v>
      </c>
      <c r="E146" s="853"/>
      <c r="F146" s="854"/>
      <c r="G146" s="778"/>
      <c r="H146" s="779"/>
      <c r="I146" s="713">
        <f>+ROUND('SP Min'!D307,0)</f>
        <v>0</v>
      </c>
      <c r="J146" s="713">
        <f>+ROUND('SP Min'!E307,0)</f>
        <v>0</v>
      </c>
      <c r="K146" s="727">
        <f t="shared" si="9"/>
        <v>0</v>
      </c>
      <c r="L146" s="667" t="str">
        <f t="shared" si="8"/>
        <v xml:space="preserve">-    </v>
      </c>
      <c r="M146" s="662"/>
      <c r="Q146" s="672"/>
      <c r="R146" s="672"/>
      <c r="S146" s="672"/>
      <c r="T146" s="672"/>
    </row>
    <row r="147" spans="1:20" s="668" customFormat="1" ht="11.25">
      <c r="A147" s="648"/>
      <c r="B147" s="650"/>
      <c r="C147" s="664" t="s">
        <v>5440</v>
      </c>
      <c r="D147" s="853" t="s">
        <v>5441</v>
      </c>
      <c r="E147" s="853"/>
      <c r="F147" s="854"/>
      <c r="G147" s="778"/>
      <c r="H147" s="779"/>
      <c r="I147" s="713">
        <f>+ROUND('SP Min'!D306,0)</f>
        <v>889742</v>
      </c>
      <c r="J147" s="713">
        <f>+ROUND('SP Min'!E306,0)</f>
        <v>1049843</v>
      </c>
      <c r="K147" s="727">
        <f t="shared" si="9"/>
        <v>-160101</v>
      </c>
      <c r="L147" s="667">
        <f t="shared" si="8"/>
        <v>-0.15249994522990581</v>
      </c>
      <c r="M147" s="662"/>
      <c r="Q147" s="672"/>
      <c r="R147" s="672"/>
      <c r="S147" s="672"/>
      <c r="T147" s="672"/>
    </row>
    <row r="148" spans="1:20" s="657" customFormat="1" ht="11.25">
      <c r="A148" s="648"/>
      <c r="B148" s="762" t="s">
        <v>5330</v>
      </c>
      <c r="C148" s="762" t="s">
        <v>5442</v>
      </c>
      <c r="D148" s="762"/>
      <c r="E148" s="650"/>
      <c r="F148" s="200"/>
      <c r="G148" s="776"/>
      <c r="H148" s="212"/>
      <c r="I148" s="716">
        <f>+ROUND('SP Min'!D313,0)</f>
        <v>1700</v>
      </c>
      <c r="J148" s="716">
        <f>+ROUND('SP Min'!E313,0)</f>
        <v>1700</v>
      </c>
      <c r="K148" s="661">
        <f t="shared" si="9"/>
        <v>0</v>
      </c>
      <c r="L148" s="656">
        <f t="shared" si="8"/>
        <v>0</v>
      </c>
      <c r="M148" s="662"/>
      <c r="Q148" s="674"/>
      <c r="R148" s="674"/>
      <c r="S148" s="674"/>
      <c r="T148" s="674"/>
    </row>
    <row r="149" spans="1:20" s="657" customFormat="1" ht="11.25">
      <c r="A149" s="648"/>
      <c r="B149" s="762" t="s">
        <v>5331</v>
      </c>
      <c r="C149" s="200" t="s">
        <v>5443</v>
      </c>
      <c r="D149" s="762"/>
      <c r="E149" s="650"/>
      <c r="F149" s="200"/>
      <c r="G149" s="776"/>
      <c r="H149" s="211"/>
      <c r="I149" s="660">
        <f>+ROUND('SP Min'!D317,0)</f>
        <v>69723239</v>
      </c>
      <c r="J149" s="716">
        <f>+ROUND('SP Min'!E317,0)</f>
        <v>72791409</v>
      </c>
      <c r="K149" s="661">
        <f t="shared" si="9"/>
        <v>-3068170</v>
      </c>
      <c r="L149" s="656">
        <f t="shared" si="8"/>
        <v>-4.2150166374716004E-2</v>
      </c>
      <c r="M149" s="662"/>
      <c r="Q149" s="674"/>
      <c r="R149" s="674"/>
      <c r="S149" s="674"/>
      <c r="T149" s="674"/>
    </row>
    <row r="150" spans="1:20" s="657" customFormat="1" ht="11.25">
      <c r="A150" s="648"/>
      <c r="B150" s="762" t="s">
        <v>5332</v>
      </c>
      <c r="C150" s="200" t="s">
        <v>5444</v>
      </c>
      <c r="D150" s="762"/>
      <c r="E150" s="650"/>
      <c r="F150" s="200"/>
      <c r="G150" s="778"/>
      <c r="H150" s="212"/>
      <c r="I150" s="660">
        <f>+ROUND('SP Min'!D324,0)</f>
        <v>0</v>
      </c>
      <c r="J150" s="716">
        <f>+ROUND('SP Min'!E324,0)</f>
        <v>0</v>
      </c>
      <c r="K150" s="661">
        <f t="shared" si="9"/>
        <v>0</v>
      </c>
      <c r="L150" s="656" t="str">
        <f t="shared" si="8"/>
        <v xml:space="preserve">-    </v>
      </c>
      <c r="M150" s="662"/>
      <c r="Q150" s="674"/>
      <c r="R150" s="674"/>
      <c r="S150" s="674"/>
      <c r="T150" s="674"/>
    </row>
    <row r="151" spans="1:20" s="657" customFormat="1" ht="11.25">
      <c r="A151" s="648"/>
      <c r="B151" s="762" t="s">
        <v>5333</v>
      </c>
      <c r="C151" s="200" t="s">
        <v>5445</v>
      </c>
      <c r="D151" s="762"/>
      <c r="E151" s="650"/>
      <c r="F151" s="780"/>
      <c r="G151" s="776"/>
      <c r="H151" s="212"/>
      <c r="I151" s="660">
        <f>+ROUND('SP Min'!D325,0)</f>
        <v>17305831</v>
      </c>
      <c r="J151" s="716">
        <f>+ROUND('SP Min'!E325,0)</f>
        <v>9365277</v>
      </c>
      <c r="K151" s="661">
        <f t="shared" si="9"/>
        <v>7940554</v>
      </c>
      <c r="L151" s="656">
        <f t="shared" si="8"/>
        <v>0.84787177143826076</v>
      </c>
      <c r="M151" s="662"/>
      <c r="Q151" s="674"/>
      <c r="R151" s="674"/>
      <c r="S151" s="674"/>
      <c r="T151" s="674"/>
    </row>
    <row r="152" spans="1:20" s="657" customFormat="1" ht="11.25">
      <c r="A152" s="781"/>
      <c r="B152" s="782" t="s">
        <v>5446</v>
      </c>
      <c r="C152" s="200" t="s">
        <v>5447</v>
      </c>
      <c r="D152" s="782"/>
      <c r="E152" s="635"/>
      <c r="F152" s="780"/>
      <c r="G152" s="778"/>
      <c r="H152" s="208"/>
      <c r="I152" s="660">
        <f>+ROUND('SP Min'!D328,0)</f>
        <v>0</v>
      </c>
      <c r="J152" s="716">
        <f>+ROUND('SP Min'!E328,0)</f>
        <v>0</v>
      </c>
      <c r="K152" s="661">
        <f t="shared" si="9"/>
        <v>0</v>
      </c>
      <c r="L152" s="656" t="str">
        <f t="shared" si="8"/>
        <v xml:space="preserve">-    </v>
      </c>
      <c r="M152" s="662"/>
      <c r="Q152" s="674"/>
      <c r="R152" s="674"/>
      <c r="S152" s="674"/>
      <c r="T152" s="674"/>
    </row>
    <row r="153" spans="1:20" s="657" customFormat="1" ht="11.25">
      <c r="A153" s="648"/>
      <c r="B153" s="762" t="s">
        <v>5448</v>
      </c>
      <c r="C153" s="200" t="s">
        <v>5449</v>
      </c>
      <c r="D153" s="762"/>
      <c r="E153" s="650"/>
      <c r="F153" s="200"/>
      <c r="G153" s="776"/>
      <c r="H153" s="212"/>
      <c r="I153" s="660">
        <f>+ROUND(+'SP Min'!D326,0)</f>
        <v>26653318</v>
      </c>
      <c r="J153" s="716">
        <f>+ROUND(+'SP Min'!E326,0)</f>
        <v>10942373</v>
      </c>
      <c r="K153" s="661">
        <f t="shared" si="9"/>
        <v>15710945</v>
      </c>
      <c r="L153" s="656">
        <f t="shared" si="8"/>
        <v>1.4357895677656025</v>
      </c>
      <c r="M153" s="662"/>
      <c r="Q153" s="674"/>
      <c r="R153" s="674"/>
      <c r="S153" s="674"/>
      <c r="T153" s="674"/>
    </row>
    <row r="154" spans="1:20" s="657" customFormat="1" ht="11.25">
      <c r="A154" s="648"/>
      <c r="B154" s="762" t="s">
        <v>5450</v>
      </c>
      <c r="C154" s="200" t="s">
        <v>5451</v>
      </c>
      <c r="D154" s="762"/>
      <c r="E154" s="650"/>
      <c r="F154" s="651"/>
      <c r="G154" s="783"/>
      <c r="H154" s="784"/>
      <c r="I154" s="660">
        <f>+ROUND('SP Min'!D331+'SP Min'!D329+'SP Min'!D330,0)</f>
        <v>61430418</v>
      </c>
      <c r="J154" s="716">
        <f>+ROUND('SP Min'!E331+'SP Min'!E329+'SP Min'!E330,0)</f>
        <v>61918144</v>
      </c>
      <c r="K154" s="661">
        <f t="shared" si="9"/>
        <v>-487726</v>
      </c>
      <c r="L154" s="656">
        <f t="shared" si="8"/>
        <v>-7.8769479912059372E-3</v>
      </c>
      <c r="M154" s="662"/>
      <c r="Q154" s="674"/>
      <c r="R154" s="674"/>
      <c r="S154" s="674"/>
      <c r="T154" s="674"/>
    </row>
    <row r="155" spans="1:20" s="657" customFormat="1" ht="11.25">
      <c r="A155" s="868" t="s">
        <v>5398</v>
      </c>
      <c r="B155" s="869"/>
      <c r="C155" s="869"/>
      <c r="D155" s="869"/>
      <c r="E155" s="869"/>
      <c r="F155" s="869"/>
      <c r="G155" s="870"/>
      <c r="H155" s="871"/>
      <c r="I155" s="693">
        <f>SUM(I137:I141)+SUM(I148:I154)</f>
        <v>351420586</v>
      </c>
      <c r="J155" s="693">
        <f>SUM(J137:J141)+SUM(J148:J154)</f>
        <v>266010857</v>
      </c>
      <c r="K155" s="765">
        <f t="shared" si="9"/>
        <v>85409729</v>
      </c>
      <c r="L155" s="178">
        <f t="shared" si="8"/>
        <v>0.32107610179234153</v>
      </c>
      <c r="M155" s="662"/>
      <c r="Q155" s="674"/>
      <c r="R155" s="674"/>
      <c r="S155" s="674"/>
      <c r="T155" s="674"/>
    </row>
    <row r="156" spans="1:20" s="657" customFormat="1" ht="11.25">
      <c r="A156" s="766" t="s">
        <v>97</v>
      </c>
      <c r="B156" s="200" t="s">
        <v>5452</v>
      </c>
      <c r="C156" s="762"/>
      <c r="D156" s="762"/>
      <c r="E156" s="650"/>
      <c r="F156" s="651"/>
      <c r="G156" s="767"/>
      <c r="H156" s="212"/>
      <c r="I156" s="759"/>
      <c r="J156" s="759"/>
      <c r="K156" s="661">
        <f t="shared" si="9"/>
        <v>0</v>
      </c>
      <c r="L156" s="187" t="str">
        <f t="shared" si="8"/>
        <v xml:space="preserve">-    </v>
      </c>
      <c r="M156" s="662"/>
      <c r="Q156" s="674"/>
      <c r="R156" s="674"/>
      <c r="S156" s="674"/>
      <c r="T156" s="674"/>
    </row>
    <row r="157" spans="1:20" s="657" customFormat="1" ht="11.25">
      <c r="A157" s="766"/>
      <c r="B157" s="762" t="s">
        <v>86</v>
      </c>
      <c r="C157" s="200" t="s">
        <v>5106</v>
      </c>
      <c r="D157" s="762"/>
      <c r="E157" s="650"/>
      <c r="F157" s="659"/>
      <c r="G157" s="652"/>
      <c r="H157" s="212"/>
      <c r="I157" s="716">
        <f>+ROUND(+'SP Min'!D333,0)</f>
        <v>0</v>
      </c>
      <c r="J157" s="716">
        <f>+ROUND(+'SP Min'!E333,0)</f>
        <v>5849</v>
      </c>
      <c r="K157" s="727">
        <f t="shared" si="9"/>
        <v>-5849</v>
      </c>
      <c r="L157" s="667">
        <f t="shared" si="8"/>
        <v>-1</v>
      </c>
      <c r="M157" s="662"/>
      <c r="Q157" s="674"/>
      <c r="R157" s="674"/>
      <c r="S157" s="674"/>
      <c r="T157" s="674"/>
    </row>
    <row r="158" spans="1:20" s="657" customFormat="1" ht="11.25">
      <c r="A158" s="766"/>
      <c r="B158" s="762" t="s">
        <v>88</v>
      </c>
      <c r="C158" s="200" t="s">
        <v>5116</v>
      </c>
      <c r="D158" s="762"/>
      <c r="E158" s="650"/>
      <c r="F158" s="651"/>
      <c r="G158" s="768"/>
      <c r="H158" s="212"/>
      <c r="I158" s="716">
        <f>+ROUND(+'SP Min'!D336,0)</f>
        <v>16</v>
      </c>
      <c r="J158" s="716">
        <f>+ROUND(+'SP Min'!E336,0)</f>
        <v>0</v>
      </c>
      <c r="K158" s="727">
        <f t="shared" si="9"/>
        <v>16</v>
      </c>
      <c r="L158" s="667" t="str">
        <f t="shared" si="8"/>
        <v xml:space="preserve">-    </v>
      </c>
      <c r="M158" s="662"/>
      <c r="Q158" s="674"/>
      <c r="R158" s="674"/>
      <c r="S158" s="674"/>
      <c r="T158" s="674"/>
    </row>
    <row r="159" spans="1:20" s="657" customFormat="1" ht="11.25">
      <c r="A159" s="868" t="s">
        <v>5453</v>
      </c>
      <c r="B159" s="869"/>
      <c r="C159" s="869"/>
      <c r="D159" s="869"/>
      <c r="E159" s="869"/>
      <c r="F159" s="869"/>
      <c r="G159" s="872"/>
      <c r="H159" s="871"/>
      <c r="I159" s="693">
        <f>SUM(I157:I158)</f>
        <v>16</v>
      </c>
      <c r="J159" s="693">
        <f>SUM(J157:J158)</f>
        <v>5849</v>
      </c>
      <c r="K159" s="765">
        <f t="shared" si="9"/>
        <v>-5833</v>
      </c>
      <c r="L159" s="178">
        <f t="shared" si="8"/>
        <v>-0.9972644896563515</v>
      </c>
      <c r="M159" s="662"/>
      <c r="Q159" s="674"/>
      <c r="R159" s="674"/>
      <c r="S159" s="674"/>
      <c r="T159" s="674"/>
    </row>
    <row r="160" spans="1:20" s="657" customFormat="1" ht="12" thickBot="1">
      <c r="A160" s="648"/>
      <c r="B160" s="650"/>
      <c r="C160" s="650"/>
      <c r="D160" s="650"/>
      <c r="E160" s="650"/>
      <c r="F160" s="659"/>
      <c r="G160" s="767"/>
      <c r="H160" s="212"/>
      <c r="I160" s="759"/>
      <c r="J160" s="759"/>
      <c r="K160" s="661">
        <f t="shared" si="9"/>
        <v>0</v>
      </c>
      <c r="L160" s="187" t="str">
        <f t="shared" si="8"/>
        <v xml:space="preserve">-    </v>
      </c>
      <c r="M160" s="662"/>
      <c r="Q160" s="674"/>
      <c r="R160" s="674"/>
      <c r="S160" s="674"/>
      <c r="T160" s="674"/>
    </row>
    <row r="161" spans="1:20" s="657" customFormat="1" ht="12" thickBot="1">
      <c r="A161" s="829" t="s">
        <v>5454</v>
      </c>
      <c r="B161" s="830"/>
      <c r="C161" s="830"/>
      <c r="D161" s="830"/>
      <c r="E161" s="830"/>
      <c r="F161" s="830"/>
      <c r="G161" s="830"/>
      <c r="H161" s="873"/>
      <c r="I161" s="730">
        <f>I123+I130+I134+I155+I159</f>
        <v>983398871</v>
      </c>
      <c r="J161" s="730">
        <f>J123+J130+J134+J155+J159</f>
        <v>939263732</v>
      </c>
      <c r="K161" s="785">
        <f t="shared" si="9"/>
        <v>44135139</v>
      </c>
      <c r="L161" s="179">
        <f t="shared" si="8"/>
        <v>4.6989080378970705E-2</v>
      </c>
      <c r="M161" s="662"/>
      <c r="Q161" s="674"/>
      <c r="R161" s="674"/>
      <c r="S161" s="674"/>
      <c r="T161" s="674"/>
    </row>
    <row r="162" spans="1:20" s="733" customFormat="1" ht="11.25">
      <c r="A162" s="766" t="s">
        <v>5455</v>
      </c>
      <c r="B162" s="200" t="s">
        <v>5392</v>
      </c>
      <c r="C162" s="762"/>
      <c r="D162" s="762"/>
      <c r="E162" s="762"/>
      <c r="F162" s="782"/>
      <c r="G162" s="701"/>
      <c r="H162" s="722"/>
      <c r="I162" s="723"/>
      <c r="J162" s="723"/>
      <c r="K162" s="661" t="s">
        <v>3634</v>
      </c>
      <c r="L162" s="187" t="s">
        <v>3634</v>
      </c>
      <c r="M162" s="662"/>
      <c r="Q162" s="734"/>
      <c r="R162" s="734"/>
      <c r="S162" s="734"/>
      <c r="T162" s="734"/>
    </row>
    <row r="163" spans="1:20" s="733" customFormat="1" ht="11.25">
      <c r="A163" s="766"/>
      <c r="B163" s="762" t="s">
        <v>5393</v>
      </c>
      <c r="C163" s="200" t="s">
        <v>5394</v>
      </c>
      <c r="D163" s="762"/>
      <c r="E163" s="762"/>
      <c r="F163" s="659"/>
      <c r="G163" s="701"/>
      <c r="H163" s="722"/>
      <c r="I163" s="716">
        <f>+ROUND(+'SP Min'!D342,0)</f>
        <v>0</v>
      </c>
      <c r="J163" s="716">
        <f>+ROUND(+'SP Min'!E342,0)</f>
        <v>0</v>
      </c>
      <c r="K163" s="727">
        <f t="shared" si="9"/>
        <v>0</v>
      </c>
      <c r="L163" s="667" t="str">
        <f t="shared" si="8"/>
        <v xml:space="preserve">-    </v>
      </c>
      <c r="M163" s="662"/>
      <c r="Q163" s="734"/>
      <c r="R163" s="734"/>
      <c r="S163" s="734"/>
      <c r="T163" s="734"/>
    </row>
    <row r="164" spans="1:20" s="733" customFormat="1" ht="11.25">
      <c r="A164" s="766"/>
      <c r="B164" s="762" t="s">
        <v>88</v>
      </c>
      <c r="C164" s="659" t="s">
        <v>5395</v>
      </c>
      <c r="D164" s="762"/>
      <c r="E164" s="762"/>
      <c r="F164" s="782"/>
      <c r="G164" s="701"/>
      <c r="H164" s="722"/>
      <c r="I164" s="716">
        <f>+ROUND(+'SP Min'!D343,0)</f>
        <v>546695</v>
      </c>
      <c r="J164" s="716">
        <f>+ROUND(+'SP Min'!E343,0)</f>
        <v>539195</v>
      </c>
      <c r="K164" s="727">
        <f t="shared" si="9"/>
        <v>7500</v>
      </c>
      <c r="L164" s="667">
        <f t="shared" si="8"/>
        <v>1.3909624532868443E-2</v>
      </c>
      <c r="M164" s="662"/>
      <c r="Q164" s="734"/>
      <c r="R164" s="734"/>
      <c r="S164" s="734"/>
      <c r="T164" s="734"/>
    </row>
    <row r="165" spans="1:20" s="733" customFormat="1" ht="11.25">
      <c r="A165" s="766"/>
      <c r="B165" s="659" t="s">
        <v>116</v>
      </c>
      <c r="C165" s="762" t="s">
        <v>5396</v>
      </c>
      <c r="D165" s="762"/>
      <c r="E165" s="762"/>
      <c r="F165" s="782"/>
      <c r="G165" s="701"/>
      <c r="H165" s="722"/>
      <c r="I165" s="716">
        <f>+ROUND(+'SP Min'!D344,0)</f>
        <v>2749381</v>
      </c>
      <c r="J165" s="716">
        <f>+ROUND(+'SP Min'!E344,0)</f>
        <v>2749381</v>
      </c>
      <c r="K165" s="727">
        <f t="shared" si="9"/>
        <v>0</v>
      </c>
      <c r="L165" s="667">
        <f t="shared" si="8"/>
        <v>0</v>
      </c>
      <c r="M165" s="662"/>
      <c r="Q165" s="734"/>
      <c r="R165" s="734"/>
      <c r="S165" s="734"/>
      <c r="T165" s="734"/>
    </row>
    <row r="166" spans="1:20" s="733" customFormat="1" ht="11.25">
      <c r="A166" s="766"/>
      <c r="B166" s="762" t="s">
        <v>5322</v>
      </c>
      <c r="C166" s="200" t="s">
        <v>5397</v>
      </c>
      <c r="D166" s="762"/>
      <c r="E166" s="762"/>
      <c r="F166" s="659"/>
      <c r="G166" s="724"/>
      <c r="H166" s="722"/>
      <c r="I166" s="716">
        <f>+ROUND(+'SP Min'!D345+'SP Min'!D346,0)</f>
        <v>34803097</v>
      </c>
      <c r="J166" s="660">
        <f>+ROUND(+'SP Min'!E345+'SP Min'!E346,0)-1</f>
        <v>34916202</v>
      </c>
      <c r="K166" s="727">
        <f t="shared" si="9"/>
        <v>-113105</v>
      </c>
      <c r="L166" s="667">
        <f t="shared" si="8"/>
        <v>-3.2393271181098103E-3</v>
      </c>
      <c r="M166" s="662"/>
      <c r="Q166" s="734"/>
      <c r="R166" s="734"/>
      <c r="S166" s="734"/>
      <c r="T166" s="734"/>
    </row>
    <row r="167" spans="1:20" s="657" customFormat="1" ht="12" thickBot="1">
      <c r="A167" s="855" t="s">
        <v>5456</v>
      </c>
      <c r="B167" s="856"/>
      <c r="C167" s="856"/>
      <c r="D167" s="856"/>
      <c r="E167" s="856"/>
      <c r="F167" s="856"/>
      <c r="G167" s="857"/>
      <c r="H167" s="858"/>
      <c r="I167" s="736">
        <f>SUM(I163:I166)</f>
        <v>38099173</v>
      </c>
      <c r="J167" s="736">
        <f>SUM(J163:J166)</f>
        <v>38204778</v>
      </c>
      <c r="K167" s="737">
        <f t="shared" si="9"/>
        <v>-105605</v>
      </c>
      <c r="L167" s="738">
        <f t="shared" si="8"/>
        <v>-2.7641830558470986E-3</v>
      </c>
      <c r="M167" s="662"/>
      <c r="Q167" s="674"/>
      <c r="R167" s="674"/>
      <c r="S167" s="674"/>
      <c r="T167" s="674"/>
    </row>
    <row r="168" spans="1:20" s="668" customFormat="1" ht="11.25">
      <c r="A168" s="786"/>
      <c r="B168" s="786"/>
      <c r="C168" s="786"/>
      <c r="D168" s="786"/>
      <c r="E168" s="786"/>
      <c r="F168" s="742"/>
      <c r="I168" s="787"/>
      <c r="J168" s="787"/>
      <c r="K168" s="788"/>
      <c r="L168" s="789"/>
    </row>
    <row r="169" spans="1:20" s="668" customFormat="1" ht="11.25">
      <c r="A169" s="786"/>
      <c r="B169" s="786"/>
      <c r="C169" s="786"/>
      <c r="D169" s="786"/>
      <c r="E169" s="786"/>
      <c r="F169" s="790" t="s">
        <v>3634</v>
      </c>
      <c r="I169" s="787"/>
      <c r="J169" s="787"/>
      <c r="K169" s="788"/>
      <c r="L169" s="789"/>
    </row>
    <row r="170" spans="1:20" s="668" customFormat="1" ht="11.25">
      <c r="A170" s="786"/>
      <c r="B170" s="786"/>
      <c r="C170" s="786"/>
      <c r="D170" s="786"/>
      <c r="E170" s="786"/>
      <c r="F170" s="742"/>
      <c r="I170" s="787"/>
      <c r="J170" s="787"/>
      <c r="K170" s="788"/>
      <c r="L170" s="789"/>
    </row>
    <row r="171" spans="1:20" s="668" customFormat="1" ht="11.25">
      <c r="A171" s="786"/>
      <c r="B171" s="786"/>
      <c r="C171" s="786"/>
      <c r="D171" s="786"/>
      <c r="E171" s="786"/>
      <c r="F171" s="742"/>
      <c r="I171" s="787"/>
      <c r="J171" s="787"/>
      <c r="K171" s="788"/>
      <c r="L171" s="789"/>
    </row>
    <row r="172" spans="1:20" s="668" customFormat="1" ht="11.25">
      <c r="A172" s="786"/>
      <c r="B172" s="786"/>
      <c r="C172" s="786"/>
      <c r="D172" s="786"/>
      <c r="E172" s="786"/>
      <c r="F172" s="742"/>
      <c r="I172" s="787"/>
      <c r="J172" s="787"/>
      <c r="K172" s="788"/>
      <c r="L172" s="789"/>
    </row>
    <row r="173" spans="1:20" s="668" customFormat="1" ht="11.25">
      <c r="A173" s="786"/>
      <c r="B173" s="786"/>
      <c r="C173" s="786"/>
      <c r="D173" s="786"/>
      <c r="E173" s="786"/>
      <c r="F173" s="742"/>
      <c r="I173" s="787"/>
      <c r="J173" s="787"/>
      <c r="K173" s="788"/>
      <c r="L173" s="789"/>
    </row>
    <row r="174" spans="1:20" s="668" customFormat="1" ht="11.25">
      <c r="A174" s="786"/>
      <c r="B174" s="786"/>
      <c r="C174" s="786"/>
      <c r="D174" s="786"/>
      <c r="E174" s="786"/>
      <c r="F174" s="742"/>
      <c r="I174" s="787"/>
      <c r="J174" s="787"/>
      <c r="K174" s="788"/>
      <c r="L174" s="789"/>
    </row>
    <row r="175" spans="1:20" s="668" customFormat="1" ht="11.25">
      <c r="A175" s="786"/>
      <c r="B175" s="786"/>
      <c r="C175" s="786"/>
      <c r="D175" s="786"/>
      <c r="E175" s="786"/>
      <c r="F175" s="742"/>
      <c r="I175" s="787"/>
      <c r="J175" s="787"/>
      <c r="K175" s="788"/>
      <c r="L175" s="789"/>
    </row>
    <row r="176" spans="1:20" s="668" customFormat="1" ht="11.25">
      <c r="A176" s="786"/>
      <c r="B176" s="786"/>
      <c r="C176" s="786"/>
      <c r="D176" s="786"/>
      <c r="E176" s="786"/>
      <c r="F176" s="742"/>
      <c r="I176" s="787"/>
      <c r="J176" s="787"/>
      <c r="K176" s="788"/>
      <c r="L176" s="789"/>
    </row>
    <row r="177" spans="1:12" s="668" customFormat="1" ht="11.25">
      <c r="A177" s="786"/>
      <c r="B177" s="786"/>
      <c r="C177" s="786"/>
      <c r="D177" s="786"/>
      <c r="E177" s="786"/>
      <c r="F177" s="742"/>
      <c r="I177" s="787"/>
      <c r="J177" s="787"/>
      <c r="K177" s="788"/>
      <c r="L177" s="789"/>
    </row>
    <row r="178" spans="1:12" s="668" customFormat="1" ht="11.25">
      <c r="A178" s="786"/>
      <c r="B178" s="786"/>
      <c r="C178" s="786"/>
      <c r="D178" s="786"/>
      <c r="E178" s="786"/>
      <c r="F178" s="742"/>
      <c r="I178" s="787"/>
      <c r="J178" s="787"/>
      <c r="K178" s="788"/>
      <c r="L178" s="789"/>
    </row>
    <row r="179" spans="1:12" s="668" customFormat="1" ht="11.25">
      <c r="A179" s="786"/>
      <c r="B179" s="786"/>
      <c r="C179" s="786"/>
      <c r="D179" s="786"/>
      <c r="E179" s="786"/>
      <c r="F179" s="742"/>
      <c r="I179" s="787"/>
      <c r="J179" s="787"/>
      <c r="K179" s="788"/>
      <c r="L179" s="789"/>
    </row>
    <row r="180" spans="1:12" s="668" customFormat="1" ht="11.25">
      <c r="A180" s="786"/>
      <c r="B180" s="786"/>
      <c r="C180" s="786"/>
      <c r="D180" s="786"/>
      <c r="E180" s="786"/>
      <c r="F180" s="742"/>
      <c r="I180" s="787"/>
      <c r="J180" s="787"/>
      <c r="K180" s="788"/>
      <c r="L180" s="789"/>
    </row>
    <row r="181" spans="1:12" s="668" customFormat="1" ht="11.25">
      <c r="A181" s="786"/>
      <c r="B181" s="786"/>
      <c r="C181" s="786"/>
      <c r="D181" s="786"/>
      <c r="E181" s="786"/>
      <c r="F181" s="742"/>
      <c r="I181" s="787"/>
      <c r="J181" s="787"/>
      <c r="K181" s="788"/>
      <c r="L181" s="789"/>
    </row>
    <row r="182" spans="1:12" s="668" customFormat="1" ht="11.25">
      <c r="A182" s="786"/>
      <c r="B182" s="786"/>
      <c r="C182" s="786"/>
      <c r="D182" s="786"/>
      <c r="E182" s="786"/>
      <c r="F182" s="742"/>
      <c r="I182" s="787"/>
      <c r="J182" s="787"/>
      <c r="K182" s="788"/>
      <c r="L182" s="789"/>
    </row>
    <row r="183" spans="1:12" s="668" customFormat="1" ht="11.25">
      <c r="A183" s="786"/>
      <c r="B183" s="786"/>
      <c r="C183" s="786"/>
      <c r="D183" s="786"/>
      <c r="E183" s="786"/>
      <c r="F183" s="742"/>
      <c r="I183" s="787"/>
      <c r="J183" s="787"/>
      <c r="K183" s="788"/>
      <c r="L183" s="789"/>
    </row>
    <row r="184" spans="1:12" s="668" customFormat="1" ht="11.25">
      <c r="A184" s="786"/>
      <c r="B184" s="786"/>
      <c r="C184" s="786"/>
      <c r="D184" s="786"/>
      <c r="E184" s="786"/>
      <c r="F184" s="742"/>
      <c r="I184" s="787"/>
      <c r="J184" s="787"/>
      <c r="K184" s="788"/>
      <c r="L184" s="789"/>
    </row>
    <row r="185" spans="1:12" s="668" customFormat="1" ht="11.25">
      <c r="A185" s="786"/>
      <c r="B185" s="786"/>
      <c r="C185" s="786"/>
      <c r="D185" s="786"/>
      <c r="E185" s="786"/>
      <c r="F185" s="742"/>
      <c r="I185" s="787"/>
      <c r="J185" s="787"/>
      <c r="K185" s="788"/>
      <c r="L185" s="789"/>
    </row>
    <row r="186" spans="1:12" s="668" customFormat="1" ht="11.25">
      <c r="A186" s="786"/>
      <c r="B186" s="786"/>
      <c r="C186" s="786"/>
      <c r="D186" s="786"/>
      <c r="E186" s="786"/>
      <c r="F186" s="742"/>
      <c r="I186" s="787"/>
      <c r="J186" s="787"/>
      <c r="K186" s="788"/>
      <c r="L186" s="789"/>
    </row>
    <row r="187" spans="1:12" s="668" customFormat="1" ht="11.25">
      <c r="A187" s="786"/>
      <c r="B187" s="786"/>
      <c r="C187" s="786"/>
      <c r="D187" s="786"/>
      <c r="E187" s="786"/>
      <c r="F187" s="742"/>
      <c r="I187" s="787"/>
      <c r="J187" s="787"/>
      <c r="K187" s="788"/>
      <c r="L187" s="789"/>
    </row>
    <row r="188" spans="1:12" s="668" customFormat="1" ht="11.25">
      <c r="A188" s="786"/>
      <c r="B188" s="786"/>
      <c r="C188" s="786"/>
      <c r="D188" s="786"/>
      <c r="E188" s="786"/>
      <c r="F188" s="742"/>
      <c r="I188" s="787"/>
      <c r="J188" s="787"/>
      <c r="K188" s="788"/>
      <c r="L188" s="789"/>
    </row>
    <row r="189" spans="1:12" s="668" customFormat="1" ht="11.25">
      <c r="A189" s="786"/>
      <c r="B189" s="786"/>
      <c r="C189" s="786"/>
      <c r="D189" s="786"/>
      <c r="E189" s="786"/>
      <c r="F189" s="742"/>
      <c r="I189" s="787"/>
      <c r="J189" s="787"/>
      <c r="K189" s="788"/>
      <c r="L189" s="789"/>
    </row>
    <row r="190" spans="1:12" s="668" customFormat="1" ht="11.25">
      <c r="A190" s="786"/>
      <c r="B190" s="786"/>
      <c r="C190" s="786"/>
      <c r="D190" s="786"/>
      <c r="E190" s="786"/>
      <c r="F190" s="742"/>
      <c r="I190" s="787"/>
      <c r="J190" s="787"/>
      <c r="K190" s="788"/>
      <c r="L190" s="789"/>
    </row>
    <row r="191" spans="1:12" s="668" customFormat="1" ht="11.25">
      <c r="A191" s="786"/>
      <c r="B191" s="786"/>
      <c r="C191" s="786"/>
      <c r="D191" s="786"/>
      <c r="E191" s="786"/>
      <c r="F191" s="742"/>
      <c r="I191" s="787"/>
      <c r="J191" s="787"/>
      <c r="K191" s="788"/>
      <c r="L191" s="789"/>
    </row>
    <row r="192" spans="1:12" s="668" customFormat="1" ht="11.25">
      <c r="A192" s="786"/>
      <c r="B192" s="786"/>
      <c r="C192" s="786"/>
      <c r="D192" s="786"/>
      <c r="E192" s="786"/>
      <c r="F192" s="742"/>
      <c r="I192" s="787"/>
      <c r="J192" s="787"/>
      <c r="K192" s="788"/>
      <c r="L192" s="789"/>
    </row>
    <row r="193" spans="1:12" s="668" customFormat="1" ht="11.25">
      <c r="A193" s="786"/>
      <c r="B193" s="786"/>
      <c r="C193" s="786"/>
      <c r="D193" s="786"/>
      <c r="E193" s="786"/>
      <c r="F193" s="742"/>
      <c r="I193" s="787"/>
      <c r="J193" s="787"/>
      <c r="K193" s="788"/>
      <c r="L193" s="789"/>
    </row>
    <row r="194" spans="1:12" s="668" customFormat="1" ht="11.25">
      <c r="A194" s="786"/>
      <c r="B194" s="786"/>
      <c r="C194" s="786"/>
      <c r="D194" s="786"/>
      <c r="E194" s="786"/>
      <c r="F194" s="742"/>
      <c r="I194" s="787"/>
      <c r="J194" s="787"/>
      <c r="K194" s="788"/>
      <c r="L194" s="789"/>
    </row>
    <row r="195" spans="1:12" s="668" customFormat="1" ht="11.25">
      <c r="A195" s="786"/>
      <c r="B195" s="786"/>
      <c r="C195" s="786"/>
      <c r="D195" s="786"/>
      <c r="E195" s="786"/>
      <c r="F195" s="742"/>
      <c r="I195" s="787"/>
      <c r="J195" s="787"/>
      <c r="K195" s="788"/>
      <c r="L195" s="789"/>
    </row>
    <row r="196" spans="1:12" s="668" customFormat="1" ht="11.25">
      <c r="A196" s="786"/>
      <c r="B196" s="786"/>
      <c r="C196" s="786"/>
      <c r="D196" s="786"/>
      <c r="E196" s="786"/>
      <c r="F196" s="742"/>
      <c r="I196" s="787"/>
      <c r="J196" s="787"/>
      <c r="K196" s="788"/>
      <c r="L196" s="789"/>
    </row>
    <row r="197" spans="1:12" s="668" customFormat="1" ht="11.25">
      <c r="A197" s="786"/>
      <c r="B197" s="786"/>
      <c r="C197" s="786"/>
      <c r="D197" s="786"/>
      <c r="E197" s="786"/>
      <c r="F197" s="742"/>
      <c r="I197" s="787"/>
      <c r="J197" s="787"/>
      <c r="K197" s="788"/>
      <c r="L197" s="789"/>
    </row>
    <row r="198" spans="1:12" s="668" customFormat="1" ht="11.25">
      <c r="A198" s="786"/>
      <c r="B198" s="786"/>
      <c r="C198" s="786"/>
      <c r="D198" s="786"/>
      <c r="E198" s="786"/>
      <c r="F198" s="742"/>
      <c r="I198" s="787"/>
      <c r="J198" s="787"/>
      <c r="K198" s="788"/>
      <c r="L198" s="789"/>
    </row>
    <row r="199" spans="1:12" s="668" customFormat="1" ht="11.25">
      <c r="A199" s="786"/>
      <c r="B199" s="786"/>
      <c r="C199" s="786"/>
      <c r="D199" s="786"/>
      <c r="E199" s="786"/>
      <c r="F199" s="742"/>
      <c r="I199" s="787"/>
      <c r="J199" s="787"/>
      <c r="K199" s="788"/>
      <c r="L199" s="789"/>
    </row>
    <row r="200" spans="1:12" s="668" customFormat="1" ht="11.25">
      <c r="A200" s="786"/>
      <c r="B200" s="786"/>
      <c r="C200" s="786"/>
      <c r="D200" s="786"/>
      <c r="E200" s="786"/>
      <c r="F200" s="742"/>
      <c r="I200" s="787"/>
      <c r="J200" s="787"/>
      <c r="K200" s="788"/>
      <c r="L200" s="789"/>
    </row>
    <row r="201" spans="1:12" s="668" customFormat="1" ht="11.25">
      <c r="A201" s="786"/>
      <c r="B201" s="786"/>
      <c r="C201" s="786"/>
      <c r="D201" s="786"/>
      <c r="E201" s="786"/>
      <c r="F201" s="742"/>
      <c r="I201" s="787"/>
      <c r="J201" s="787"/>
      <c r="K201" s="788"/>
      <c r="L201" s="789"/>
    </row>
    <row r="202" spans="1:12" s="668" customFormat="1" ht="11.25">
      <c r="A202" s="786"/>
      <c r="B202" s="786"/>
      <c r="C202" s="786"/>
      <c r="D202" s="786"/>
      <c r="E202" s="786"/>
      <c r="F202" s="742"/>
      <c r="I202" s="787"/>
      <c r="J202" s="787"/>
      <c r="K202" s="788"/>
      <c r="L202" s="789"/>
    </row>
    <row r="203" spans="1:12" s="668" customFormat="1" ht="11.25">
      <c r="A203" s="786"/>
      <c r="B203" s="786"/>
      <c r="C203" s="786"/>
      <c r="D203" s="786"/>
      <c r="E203" s="786"/>
      <c r="F203" s="742"/>
      <c r="I203" s="787"/>
      <c r="J203" s="787"/>
      <c r="K203" s="788"/>
      <c r="L203" s="789"/>
    </row>
    <row r="204" spans="1:12" s="668" customFormat="1" ht="11.25">
      <c r="A204" s="786"/>
      <c r="B204" s="786"/>
      <c r="C204" s="786"/>
      <c r="D204" s="786"/>
      <c r="E204" s="786"/>
      <c r="F204" s="742"/>
      <c r="I204" s="787"/>
      <c r="J204" s="787"/>
      <c r="K204" s="788"/>
      <c r="L204" s="789"/>
    </row>
    <row r="205" spans="1:12" s="668" customFormat="1" ht="11.25">
      <c r="A205" s="786"/>
      <c r="B205" s="786"/>
      <c r="C205" s="786"/>
      <c r="D205" s="786"/>
      <c r="E205" s="786"/>
      <c r="F205" s="742"/>
      <c r="I205" s="787"/>
      <c r="J205" s="787"/>
      <c r="K205" s="788"/>
      <c r="L205" s="789"/>
    </row>
    <row r="206" spans="1:12" s="668" customFormat="1" ht="11.25">
      <c r="A206" s="786"/>
      <c r="B206" s="786"/>
      <c r="C206" s="786"/>
      <c r="D206" s="786"/>
      <c r="E206" s="786"/>
      <c r="F206" s="742"/>
      <c r="I206" s="787"/>
      <c r="J206" s="787"/>
      <c r="K206" s="788"/>
      <c r="L206" s="789"/>
    </row>
    <row r="207" spans="1:12" s="668" customFormat="1" ht="11.25">
      <c r="A207" s="786"/>
      <c r="B207" s="786"/>
      <c r="C207" s="786"/>
      <c r="D207" s="786"/>
      <c r="E207" s="786"/>
      <c r="F207" s="742"/>
      <c r="I207" s="787"/>
      <c r="J207" s="787"/>
      <c r="K207" s="788"/>
      <c r="L207" s="789"/>
    </row>
    <row r="208" spans="1:12" s="668" customFormat="1" ht="11.25">
      <c r="A208" s="786"/>
      <c r="B208" s="786"/>
      <c r="C208" s="786"/>
      <c r="D208" s="786"/>
      <c r="E208" s="786"/>
      <c r="F208" s="742"/>
      <c r="I208" s="787"/>
      <c r="J208" s="787"/>
      <c r="K208" s="788"/>
      <c r="L208" s="789"/>
    </row>
    <row r="209" spans="1:12" s="668" customFormat="1" ht="11.25">
      <c r="A209" s="786"/>
      <c r="B209" s="786"/>
      <c r="C209" s="786"/>
      <c r="D209" s="786"/>
      <c r="E209" s="786"/>
      <c r="F209" s="742"/>
      <c r="I209" s="787"/>
      <c r="J209" s="787"/>
      <c r="K209" s="788"/>
      <c r="L209" s="789"/>
    </row>
    <row r="210" spans="1:12" s="668" customFormat="1" ht="11.25">
      <c r="A210" s="786"/>
      <c r="B210" s="786"/>
      <c r="C210" s="786"/>
      <c r="D210" s="786"/>
      <c r="E210" s="786"/>
      <c r="F210" s="742"/>
      <c r="I210" s="787"/>
      <c r="J210" s="787"/>
      <c r="K210" s="788"/>
      <c r="L210" s="789"/>
    </row>
    <row r="211" spans="1:12" s="668" customFormat="1" ht="11.25">
      <c r="A211" s="786"/>
      <c r="B211" s="786"/>
      <c r="C211" s="786"/>
      <c r="D211" s="786"/>
      <c r="E211" s="786"/>
      <c r="F211" s="742"/>
      <c r="I211" s="787"/>
      <c r="J211" s="787"/>
      <c r="K211" s="788"/>
      <c r="L211" s="789"/>
    </row>
    <row r="212" spans="1:12" s="668" customFormat="1" ht="11.25">
      <c r="A212" s="786"/>
      <c r="B212" s="786"/>
      <c r="C212" s="786"/>
      <c r="D212" s="786"/>
      <c r="E212" s="786"/>
      <c r="F212" s="742"/>
      <c r="I212" s="787"/>
      <c r="J212" s="787"/>
      <c r="K212" s="788"/>
      <c r="L212" s="789"/>
    </row>
    <row r="213" spans="1:12" s="668" customFormat="1" ht="11.25">
      <c r="A213" s="786"/>
      <c r="B213" s="786"/>
      <c r="C213" s="786"/>
      <c r="D213" s="786"/>
      <c r="E213" s="786"/>
      <c r="F213" s="742"/>
      <c r="I213" s="787"/>
      <c r="J213" s="787"/>
      <c r="K213" s="788"/>
      <c r="L213" s="789"/>
    </row>
    <row r="214" spans="1:12" s="668" customFormat="1" ht="11.25">
      <c r="A214" s="786"/>
      <c r="B214" s="786"/>
      <c r="C214" s="786"/>
      <c r="D214" s="786"/>
      <c r="E214" s="786"/>
      <c r="F214" s="742"/>
      <c r="I214" s="787"/>
      <c r="J214" s="787"/>
      <c r="K214" s="788"/>
      <c r="L214" s="789"/>
    </row>
    <row r="215" spans="1:12" s="668" customFormat="1" ht="11.25">
      <c r="A215" s="786"/>
      <c r="B215" s="786"/>
      <c r="C215" s="786"/>
      <c r="D215" s="786"/>
      <c r="E215" s="786"/>
      <c r="F215" s="742"/>
      <c r="I215" s="787"/>
      <c r="J215" s="787"/>
      <c r="K215" s="788"/>
      <c r="L215" s="789"/>
    </row>
    <row r="216" spans="1:12" s="668" customFormat="1" ht="11.25">
      <c r="A216" s="786"/>
      <c r="B216" s="786"/>
      <c r="C216" s="786"/>
      <c r="D216" s="786"/>
      <c r="E216" s="786"/>
      <c r="F216" s="742"/>
      <c r="I216" s="787"/>
      <c r="J216" s="787"/>
      <c r="K216" s="788"/>
      <c r="L216" s="789"/>
    </row>
    <row r="217" spans="1:12">
      <c r="F217" s="639"/>
    </row>
    <row r="218" spans="1:12">
      <c r="F218" s="639"/>
    </row>
    <row r="219" spans="1:12">
      <c r="F219" s="639"/>
    </row>
    <row r="220" spans="1:12">
      <c r="F220" s="639"/>
    </row>
    <row r="221" spans="1:12">
      <c r="F221" s="639"/>
    </row>
    <row r="222" spans="1:12">
      <c r="F222" s="639"/>
    </row>
    <row r="223" spans="1:12">
      <c r="F223" s="639"/>
    </row>
    <row r="224" spans="1:12" s="668" customFormat="1">
      <c r="A224" s="791"/>
      <c r="B224" s="791"/>
      <c r="C224" s="791"/>
      <c r="D224" s="791"/>
      <c r="E224" s="791"/>
      <c r="F224" s="639"/>
      <c r="I224" s="787"/>
      <c r="J224" s="787"/>
      <c r="K224" s="788"/>
      <c r="L224" s="789"/>
    </row>
    <row r="225" spans="1:12" s="668" customFormat="1">
      <c r="A225" s="791"/>
      <c r="B225" s="791"/>
      <c r="C225" s="791"/>
      <c r="D225" s="791"/>
      <c r="E225" s="791"/>
      <c r="F225" s="639"/>
      <c r="I225" s="787"/>
      <c r="J225" s="787"/>
      <c r="K225" s="788"/>
      <c r="L225" s="789"/>
    </row>
    <row r="226" spans="1:12" s="668" customFormat="1">
      <c r="A226" s="791"/>
      <c r="B226" s="791"/>
      <c r="C226" s="791"/>
      <c r="D226" s="791"/>
      <c r="E226" s="791"/>
      <c r="F226" s="639"/>
      <c r="I226" s="787"/>
      <c r="J226" s="787"/>
      <c r="K226" s="788"/>
      <c r="L226" s="789"/>
    </row>
    <row r="227" spans="1:12" s="668" customFormat="1">
      <c r="A227" s="791"/>
      <c r="B227" s="791"/>
      <c r="C227" s="791"/>
      <c r="D227" s="791"/>
      <c r="E227" s="791"/>
      <c r="F227" s="639"/>
      <c r="I227" s="787"/>
      <c r="J227" s="787"/>
      <c r="K227" s="788"/>
      <c r="L227" s="789"/>
    </row>
    <row r="228" spans="1:12" s="668" customFormat="1">
      <c r="A228" s="791"/>
      <c r="B228" s="791"/>
      <c r="C228" s="791"/>
      <c r="D228" s="791"/>
      <c r="E228" s="791"/>
      <c r="F228" s="639"/>
      <c r="I228" s="787"/>
      <c r="J228" s="787"/>
      <c r="K228" s="788"/>
      <c r="L228" s="789"/>
    </row>
    <row r="229" spans="1:12" s="668" customFormat="1">
      <c r="A229" s="791"/>
      <c r="B229" s="791"/>
      <c r="C229" s="791"/>
      <c r="D229" s="791"/>
      <c r="E229" s="791"/>
      <c r="F229" s="639"/>
      <c r="I229" s="787"/>
      <c r="J229" s="787"/>
      <c r="K229" s="788"/>
      <c r="L229" s="789"/>
    </row>
    <row r="230" spans="1:12" s="668" customFormat="1">
      <c r="A230" s="791"/>
      <c r="B230" s="791"/>
      <c r="C230" s="791"/>
      <c r="D230" s="791"/>
      <c r="E230" s="791"/>
      <c r="F230" s="639"/>
      <c r="I230" s="787"/>
      <c r="J230" s="787"/>
      <c r="K230" s="788"/>
      <c r="L230" s="789"/>
    </row>
    <row r="231" spans="1:12" s="668" customFormat="1">
      <c r="A231" s="791"/>
      <c r="B231" s="791"/>
      <c r="C231" s="791"/>
      <c r="D231" s="791"/>
      <c r="E231" s="791"/>
      <c r="F231" s="639"/>
      <c r="I231" s="787"/>
      <c r="J231" s="787"/>
      <c r="K231" s="788"/>
      <c r="L231" s="789"/>
    </row>
    <row r="232" spans="1:12" s="668" customFormat="1">
      <c r="A232" s="791"/>
      <c r="B232" s="791"/>
      <c r="C232" s="791"/>
      <c r="D232" s="791"/>
      <c r="E232" s="791"/>
      <c r="F232" s="639"/>
      <c r="I232" s="787"/>
      <c r="J232" s="787"/>
      <c r="K232" s="788"/>
      <c r="L232" s="789"/>
    </row>
    <row r="233" spans="1:12" s="668" customFormat="1">
      <c r="A233" s="791"/>
      <c r="B233" s="791"/>
      <c r="C233" s="791"/>
      <c r="D233" s="791"/>
      <c r="E233" s="791"/>
      <c r="F233" s="639"/>
      <c r="I233" s="787"/>
      <c r="J233" s="787"/>
      <c r="K233" s="788"/>
      <c r="L233" s="789"/>
    </row>
    <row r="234" spans="1:12" s="668" customFormat="1">
      <c r="A234" s="791"/>
      <c r="B234" s="791"/>
      <c r="C234" s="791"/>
      <c r="D234" s="791"/>
      <c r="E234" s="791"/>
      <c r="F234" s="639"/>
      <c r="I234" s="787"/>
      <c r="J234" s="787"/>
      <c r="K234" s="788"/>
      <c r="L234" s="789"/>
    </row>
    <row r="235" spans="1:12" s="668" customFormat="1">
      <c r="A235" s="791"/>
      <c r="B235" s="791"/>
      <c r="C235" s="791"/>
      <c r="D235" s="791"/>
      <c r="E235" s="791"/>
      <c r="F235" s="639"/>
      <c r="I235" s="787"/>
      <c r="J235" s="787"/>
      <c r="K235" s="788"/>
      <c r="L235" s="789"/>
    </row>
    <row r="236" spans="1:12" s="668" customFormat="1">
      <c r="A236" s="791"/>
      <c r="B236" s="791"/>
      <c r="C236" s="791"/>
      <c r="D236" s="791"/>
      <c r="E236" s="791"/>
      <c r="F236" s="639"/>
      <c r="I236" s="787"/>
      <c r="J236" s="787"/>
      <c r="K236" s="788"/>
      <c r="L236" s="789"/>
    </row>
    <row r="237" spans="1:12" s="668" customFormat="1">
      <c r="A237" s="791"/>
      <c r="B237" s="791"/>
      <c r="C237" s="791"/>
      <c r="D237" s="791"/>
      <c r="E237" s="791"/>
      <c r="F237" s="639"/>
      <c r="I237" s="787"/>
      <c r="J237" s="787"/>
      <c r="K237" s="788"/>
      <c r="L237" s="789"/>
    </row>
    <row r="238" spans="1:12" s="668" customFormat="1">
      <c r="A238" s="791"/>
      <c r="B238" s="791"/>
      <c r="C238" s="791"/>
      <c r="D238" s="791"/>
      <c r="E238" s="791"/>
      <c r="F238" s="639"/>
      <c r="I238" s="787"/>
      <c r="J238" s="787"/>
      <c r="K238" s="788"/>
      <c r="L238" s="789"/>
    </row>
    <row r="239" spans="1:12" s="668" customFormat="1">
      <c r="A239" s="791"/>
      <c r="B239" s="791"/>
      <c r="C239" s="791"/>
      <c r="D239" s="791"/>
      <c r="E239" s="791"/>
      <c r="F239" s="639"/>
      <c r="I239" s="787"/>
      <c r="J239" s="787"/>
      <c r="K239" s="788"/>
      <c r="L239" s="789"/>
    </row>
    <row r="240" spans="1:12" s="668" customFormat="1">
      <c r="A240" s="791"/>
      <c r="B240" s="791"/>
      <c r="C240" s="791"/>
      <c r="D240" s="791"/>
      <c r="E240" s="791"/>
      <c r="F240" s="639"/>
      <c r="I240" s="787"/>
      <c r="J240" s="787"/>
      <c r="K240" s="788"/>
      <c r="L240" s="789"/>
    </row>
    <row r="241" spans="1:12" s="668" customFormat="1">
      <c r="A241" s="791"/>
      <c r="B241" s="791"/>
      <c r="C241" s="791"/>
      <c r="D241" s="791"/>
      <c r="E241" s="791"/>
      <c r="F241" s="639"/>
      <c r="I241" s="787"/>
      <c r="J241" s="787"/>
      <c r="K241" s="788"/>
      <c r="L241" s="789"/>
    </row>
    <row r="242" spans="1:12" s="668" customFormat="1">
      <c r="A242" s="791"/>
      <c r="B242" s="791"/>
      <c r="C242" s="791"/>
      <c r="D242" s="791"/>
      <c r="E242" s="791"/>
      <c r="F242" s="639"/>
      <c r="I242" s="787"/>
      <c r="J242" s="787"/>
      <c r="K242" s="788"/>
      <c r="L242" s="789"/>
    </row>
    <row r="243" spans="1:12" s="668" customFormat="1">
      <c r="A243" s="791"/>
      <c r="B243" s="791"/>
      <c r="C243" s="791"/>
      <c r="D243" s="791"/>
      <c r="E243" s="791"/>
      <c r="F243" s="639"/>
      <c r="I243" s="787"/>
      <c r="J243" s="787"/>
      <c r="K243" s="788"/>
      <c r="L243" s="789"/>
    </row>
    <row r="244" spans="1:12" s="668" customFormat="1">
      <c r="A244" s="791"/>
      <c r="B244" s="791"/>
      <c r="C244" s="791"/>
      <c r="D244" s="791"/>
      <c r="E244" s="791"/>
      <c r="F244" s="639"/>
      <c r="I244" s="787"/>
      <c r="J244" s="787"/>
      <c r="K244" s="788"/>
      <c r="L244" s="789"/>
    </row>
    <row r="245" spans="1:12" s="668" customFormat="1">
      <c r="A245" s="791"/>
      <c r="B245" s="791"/>
      <c r="C245" s="791"/>
      <c r="D245" s="791"/>
      <c r="E245" s="791"/>
      <c r="F245" s="639"/>
      <c r="I245" s="787"/>
      <c r="J245" s="787"/>
      <c r="K245" s="788"/>
      <c r="L245" s="789"/>
    </row>
    <row r="246" spans="1:12" s="668" customFormat="1">
      <c r="A246" s="791"/>
      <c r="B246" s="791"/>
      <c r="C246" s="791"/>
      <c r="D246" s="791"/>
      <c r="E246" s="791"/>
      <c r="F246" s="639"/>
      <c r="I246" s="787"/>
      <c r="J246" s="787"/>
      <c r="K246" s="788"/>
      <c r="L246" s="789"/>
    </row>
    <row r="247" spans="1:12" s="668" customFormat="1">
      <c r="A247" s="791"/>
      <c r="B247" s="791"/>
      <c r="C247" s="791"/>
      <c r="D247" s="791"/>
      <c r="E247" s="791"/>
      <c r="F247" s="639"/>
      <c r="I247" s="787"/>
      <c r="J247" s="787"/>
      <c r="K247" s="788"/>
      <c r="L247" s="789"/>
    </row>
    <row r="248" spans="1:12" s="668" customFormat="1">
      <c r="A248" s="791"/>
      <c r="B248" s="791"/>
      <c r="C248" s="791"/>
      <c r="D248" s="791"/>
      <c r="E248" s="791"/>
      <c r="F248" s="639"/>
      <c r="I248" s="787"/>
      <c r="J248" s="787"/>
      <c r="K248" s="788"/>
      <c r="L248" s="789"/>
    </row>
    <row r="249" spans="1:12" s="668" customFormat="1">
      <c r="A249" s="791"/>
      <c r="B249" s="791"/>
      <c r="C249" s="791"/>
      <c r="D249" s="791"/>
      <c r="E249" s="791"/>
      <c r="F249" s="639"/>
      <c r="I249" s="787"/>
      <c r="J249" s="787"/>
      <c r="K249" s="788"/>
      <c r="L249" s="789"/>
    </row>
    <row r="250" spans="1:12" s="668" customFormat="1">
      <c r="A250" s="791"/>
      <c r="B250" s="791"/>
      <c r="C250" s="791"/>
      <c r="D250" s="791"/>
      <c r="E250" s="791"/>
      <c r="F250" s="639"/>
      <c r="I250" s="787"/>
      <c r="J250" s="787"/>
      <c r="K250" s="788"/>
      <c r="L250" s="789"/>
    </row>
    <row r="251" spans="1:12" s="668" customFormat="1">
      <c r="A251" s="791"/>
      <c r="B251" s="791"/>
      <c r="C251" s="791"/>
      <c r="D251" s="791"/>
      <c r="E251" s="791"/>
      <c r="F251" s="639"/>
      <c r="I251" s="787"/>
      <c r="J251" s="787"/>
      <c r="K251" s="788"/>
      <c r="L251" s="789"/>
    </row>
    <row r="252" spans="1:12" s="668" customFormat="1">
      <c r="A252" s="791"/>
      <c r="B252" s="791"/>
      <c r="C252" s="791"/>
      <c r="D252" s="791"/>
      <c r="E252" s="791"/>
      <c r="F252" s="639"/>
      <c r="I252" s="787"/>
      <c r="J252" s="787"/>
      <c r="K252" s="788"/>
      <c r="L252" s="789"/>
    </row>
    <row r="253" spans="1:12" s="668" customFormat="1">
      <c r="A253" s="791"/>
      <c r="B253" s="791"/>
      <c r="C253" s="791"/>
      <c r="D253" s="791"/>
      <c r="E253" s="791"/>
      <c r="F253" s="639"/>
      <c r="I253" s="787"/>
      <c r="J253" s="787"/>
      <c r="K253" s="788"/>
      <c r="L253" s="789"/>
    </row>
    <row r="254" spans="1:12" s="668" customFormat="1">
      <c r="A254" s="791"/>
      <c r="B254" s="791"/>
      <c r="C254" s="791"/>
      <c r="D254" s="791"/>
      <c r="E254" s="791"/>
      <c r="F254" s="639"/>
      <c r="I254" s="787"/>
      <c r="J254" s="787"/>
      <c r="K254" s="788"/>
      <c r="L254" s="789"/>
    </row>
    <row r="255" spans="1:12" s="668" customFormat="1">
      <c r="A255" s="791"/>
      <c r="B255" s="791"/>
      <c r="C255" s="791"/>
      <c r="D255" s="791"/>
      <c r="E255" s="791"/>
      <c r="F255" s="639"/>
      <c r="I255" s="787"/>
      <c r="J255" s="787"/>
      <c r="K255" s="788"/>
      <c r="L255" s="789"/>
    </row>
    <row r="256" spans="1:12" s="668" customFormat="1">
      <c r="A256" s="791"/>
      <c r="B256" s="791"/>
      <c r="C256" s="791"/>
      <c r="D256" s="791"/>
      <c r="E256" s="791"/>
      <c r="F256" s="639"/>
      <c r="I256" s="787"/>
      <c r="J256" s="787"/>
      <c r="K256" s="788"/>
      <c r="L256" s="789"/>
    </row>
    <row r="257" spans="1:12" s="668" customFormat="1">
      <c r="A257" s="791"/>
      <c r="B257" s="791"/>
      <c r="C257" s="791"/>
      <c r="D257" s="791"/>
      <c r="E257" s="791"/>
      <c r="F257" s="639"/>
      <c r="I257" s="787"/>
      <c r="J257" s="787"/>
      <c r="K257" s="788"/>
      <c r="L257" s="789"/>
    </row>
    <row r="258" spans="1:12" s="668" customFormat="1">
      <c r="A258" s="791"/>
      <c r="B258" s="791"/>
      <c r="C258" s="791"/>
      <c r="D258" s="791"/>
      <c r="E258" s="791"/>
      <c r="F258" s="639"/>
      <c r="I258" s="787"/>
      <c r="J258" s="787"/>
      <c r="K258" s="788"/>
      <c r="L258" s="789"/>
    </row>
    <row r="259" spans="1:12" s="668" customFormat="1">
      <c r="A259" s="791"/>
      <c r="B259" s="791"/>
      <c r="C259" s="791"/>
      <c r="D259" s="791"/>
      <c r="E259" s="791"/>
      <c r="F259" s="639"/>
      <c r="I259" s="787"/>
      <c r="J259" s="787"/>
      <c r="K259" s="788"/>
      <c r="L259" s="789"/>
    </row>
    <row r="260" spans="1:12" s="668" customFormat="1">
      <c r="A260" s="791"/>
      <c r="B260" s="791"/>
      <c r="C260" s="791"/>
      <c r="D260" s="791"/>
      <c r="E260" s="791"/>
      <c r="F260" s="639"/>
      <c r="I260" s="787"/>
      <c r="J260" s="787"/>
      <c r="K260" s="788"/>
      <c r="L260" s="789"/>
    </row>
    <row r="261" spans="1:12" s="668" customFormat="1">
      <c r="A261" s="791"/>
      <c r="B261" s="791"/>
      <c r="C261" s="791"/>
      <c r="D261" s="791"/>
      <c r="E261" s="791"/>
      <c r="F261" s="639"/>
      <c r="I261" s="787"/>
      <c r="J261" s="787"/>
      <c r="K261" s="788"/>
      <c r="L261" s="789"/>
    </row>
    <row r="262" spans="1:12" s="668" customFormat="1">
      <c r="A262" s="791"/>
      <c r="B262" s="791"/>
      <c r="C262" s="791"/>
      <c r="D262" s="791"/>
      <c r="E262" s="791"/>
      <c r="F262" s="639"/>
      <c r="I262" s="787"/>
      <c r="J262" s="787"/>
      <c r="K262" s="788"/>
      <c r="L262" s="789"/>
    </row>
    <row r="263" spans="1:12" s="668" customFormat="1">
      <c r="A263" s="791"/>
      <c r="B263" s="791"/>
      <c r="C263" s="791"/>
      <c r="D263" s="791"/>
      <c r="E263" s="791"/>
      <c r="F263" s="639"/>
      <c r="I263" s="787"/>
      <c r="J263" s="787"/>
      <c r="K263" s="788"/>
      <c r="L263" s="789"/>
    </row>
    <row r="264" spans="1:12" s="668" customFormat="1">
      <c r="A264" s="791"/>
      <c r="B264" s="791"/>
      <c r="C264" s="791"/>
      <c r="D264" s="791"/>
      <c r="E264" s="791"/>
      <c r="F264" s="639"/>
      <c r="I264" s="787"/>
      <c r="J264" s="787"/>
      <c r="K264" s="788"/>
      <c r="L264" s="789"/>
    </row>
    <row r="265" spans="1:12" s="668" customFormat="1">
      <c r="A265" s="791"/>
      <c r="B265" s="791"/>
      <c r="C265" s="791"/>
      <c r="D265" s="791"/>
      <c r="E265" s="791"/>
      <c r="F265" s="639"/>
      <c r="I265" s="787"/>
      <c r="J265" s="787"/>
      <c r="K265" s="788"/>
      <c r="L265" s="789"/>
    </row>
    <row r="266" spans="1:12" s="668" customFormat="1">
      <c r="A266" s="791"/>
      <c r="B266" s="791"/>
      <c r="C266" s="791"/>
      <c r="D266" s="791"/>
      <c r="E266" s="791"/>
      <c r="F266" s="639"/>
      <c r="I266" s="787"/>
      <c r="J266" s="787"/>
      <c r="K266" s="788"/>
      <c r="L266" s="789"/>
    </row>
    <row r="267" spans="1:12" s="668" customFormat="1">
      <c r="A267" s="791"/>
      <c r="B267" s="791"/>
      <c r="C267" s="791"/>
      <c r="D267" s="791"/>
      <c r="E267" s="791"/>
      <c r="F267" s="639"/>
      <c r="I267" s="787"/>
      <c r="J267" s="787"/>
      <c r="K267" s="788"/>
      <c r="L267" s="789"/>
    </row>
    <row r="268" spans="1:12" s="668" customFormat="1">
      <c r="A268" s="791"/>
      <c r="B268" s="791"/>
      <c r="C268" s="791"/>
      <c r="D268" s="791"/>
      <c r="E268" s="791"/>
      <c r="F268" s="639"/>
      <c r="I268" s="787"/>
      <c r="J268" s="787"/>
      <c r="K268" s="788"/>
      <c r="L268" s="789"/>
    </row>
    <row r="269" spans="1:12" s="668" customFormat="1">
      <c r="A269" s="791"/>
      <c r="B269" s="791"/>
      <c r="C269" s="791"/>
      <c r="D269" s="791"/>
      <c r="E269" s="791"/>
      <c r="F269" s="639"/>
      <c r="I269" s="787"/>
      <c r="J269" s="787"/>
      <c r="K269" s="788"/>
      <c r="L269" s="789"/>
    </row>
    <row r="270" spans="1:12" s="668" customFormat="1">
      <c r="A270" s="791"/>
      <c r="B270" s="791"/>
      <c r="C270" s="791"/>
      <c r="D270" s="791"/>
      <c r="E270" s="791"/>
      <c r="F270" s="639"/>
      <c r="I270" s="787"/>
      <c r="J270" s="787"/>
      <c r="K270" s="788"/>
      <c r="L270" s="789"/>
    </row>
    <row r="271" spans="1:12" s="668" customFormat="1">
      <c r="A271" s="791"/>
      <c r="B271" s="791"/>
      <c r="C271" s="791"/>
      <c r="D271" s="791"/>
      <c r="E271" s="791"/>
      <c r="F271" s="639"/>
      <c r="I271" s="787"/>
      <c r="J271" s="787"/>
      <c r="K271" s="788"/>
      <c r="L271" s="789"/>
    </row>
    <row r="272" spans="1:12" s="668" customFormat="1">
      <c r="A272" s="791"/>
      <c r="B272" s="791"/>
      <c r="C272" s="791"/>
      <c r="D272" s="791"/>
      <c r="E272" s="791"/>
      <c r="F272" s="639"/>
      <c r="I272" s="787"/>
      <c r="J272" s="787"/>
      <c r="K272" s="788"/>
      <c r="L272" s="789"/>
    </row>
    <row r="273" spans="1:12" s="668" customFormat="1">
      <c r="A273" s="791"/>
      <c r="B273" s="791"/>
      <c r="C273" s="791"/>
      <c r="D273" s="791"/>
      <c r="E273" s="791"/>
      <c r="F273" s="639"/>
      <c r="I273" s="787"/>
      <c r="J273" s="787"/>
      <c r="K273" s="788"/>
      <c r="L273" s="789"/>
    </row>
    <row r="274" spans="1:12" s="668" customFormat="1">
      <c r="A274" s="791"/>
      <c r="B274" s="791"/>
      <c r="C274" s="791"/>
      <c r="D274" s="791"/>
      <c r="E274" s="791"/>
      <c r="F274" s="639"/>
      <c r="I274" s="787"/>
      <c r="J274" s="787"/>
      <c r="K274" s="788"/>
      <c r="L274" s="789"/>
    </row>
    <row r="275" spans="1:12" s="668" customFormat="1">
      <c r="A275" s="791"/>
      <c r="B275" s="791"/>
      <c r="C275" s="791"/>
      <c r="D275" s="791"/>
      <c r="E275" s="791"/>
      <c r="F275" s="639"/>
      <c r="I275" s="787"/>
      <c r="J275" s="787"/>
      <c r="K275" s="788"/>
      <c r="L275" s="789"/>
    </row>
    <row r="276" spans="1:12" s="668" customFormat="1">
      <c r="A276" s="791"/>
      <c r="B276" s="791"/>
      <c r="C276" s="791"/>
      <c r="D276" s="791"/>
      <c r="E276" s="791"/>
      <c r="F276" s="639"/>
      <c r="I276" s="787"/>
      <c r="J276" s="787"/>
      <c r="K276" s="788"/>
      <c r="L276" s="789"/>
    </row>
    <row r="277" spans="1:12" s="668" customFormat="1">
      <c r="A277" s="791"/>
      <c r="B277" s="791"/>
      <c r="C277" s="791"/>
      <c r="D277" s="791"/>
      <c r="E277" s="791"/>
      <c r="F277" s="639"/>
      <c r="I277" s="787"/>
      <c r="J277" s="787"/>
      <c r="K277" s="788"/>
      <c r="L277" s="789"/>
    </row>
    <row r="278" spans="1:12" s="668" customFormat="1">
      <c r="A278" s="791"/>
      <c r="B278" s="791"/>
      <c r="C278" s="791"/>
      <c r="D278" s="791"/>
      <c r="E278" s="791"/>
      <c r="F278" s="639"/>
      <c r="I278" s="787"/>
      <c r="J278" s="787"/>
      <c r="K278" s="788"/>
      <c r="L278" s="789"/>
    </row>
    <row r="279" spans="1:12" s="668" customFormat="1">
      <c r="A279" s="791"/>
      <c r="B279" s="791"/>
      <c r="C279" s="791"/>
      <c r="D279" s="791"/>
      <c r="E279" s="791"/>
      <c r="F279" s="639"/>
      <c r="I279" s="787"/>
      <c r="J279" s="787"/>
      <c r="K279" s="788"/>
      <c r="L279" s="789"/>
    </row>
    <row r="280" spans="1:12" s="668" customFormat="1">
      <c r="A280" s="791"/>
      <c r="B280" s="791"/>
      <c r="C280" s="791"/>
      <c r="D280" s="791"/>
      <c r="E280" s="791"/>
      <c r="F280" s="639"/>
      <c r="I280" s="787"/>
      <c r="J280" s="787"/>
      <c r="K280" s="788"/>
      <c r="L280" s="789"/>
    </row>
  </sheetData>
  <mergeCells count="32">
    <mergeCell ref="A167:H167"/>
    <mergeCell ref="D145:F145"/>
    <mergeCell ref="D146:F146"/>
    <mergeCell ref="D147:F147"/>
    <mergeCell ref="A155:H155"/>
    <mergeCell ref="A159:H159"/>
    <mergeCell ref="A161:H161"/>
    <mergeCell ref="D144:F144"/>
    <mergeCell ref="A98:H98"/>
    <mergeCell ref="A101:J101"/>
    <mergeCell ref="K101:L101"/>
    <mergeCell ref="A103:H104"/>
    <mergeCell ref="I103:I104"/>
    <mergeCell ref="J103:J104"/>
    <mergeCell ref="K103:L103"/>
    <mergeCell ref="A123:H123"/>
    <mergeCell ref="A130:H130"/>
    <mergeCell ref="A134:H134"/>
    <mergeCell ref="D142:F142"/>
    <mergeCell ref="D143:F143"/>
    <mergeCell ref="A92:H92"/>
    <mergeCell ref="A1:J1"/>
    <mergeCell ref="K1:L1"/>
    <mergeCell ref="A3:H4"/>
    <mergeCell ref="I3:I4"/>
    <mergeCell ref="J3:J4"/>
    <mergeCell ref="K3:L3"/>
    <mergeCell ref="C28:F28"/>
    <mergeCell ref="A37:H37"/>
    <mergeCell ref="C46:F46"/>
    <mergeCell ref="A86:H86"/>
    <mergeCell ref="A90:H90"/>
  </mergeCells>
  <printOptions horizontalCentered="1"/>
  <pageMargins left="0" right="0" top="0.19685039370078741" bottom="0.19685039370078741" header="0.31496062992125984" footer="0.31496062992125984"/>
  <pageSetup paperSize="9" scale="80" orientation="portrait" r:id="rId1"/>
  <rowBreaks count="1" manualBreakCount="1">
    <brk id="9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8"/>
  <sheetViews>
    <sheetView workbookViewId="0"/>
  </sheetViews>
  <sheetFormatPr defaultColWidth="9.140625" defaultRowHeight="19.5"/>
  <cols>
    <col min="1" max="1" width="7.5703125" style="76" customWidth="1"/>
    <col min="2" max="2" width="12" style="76" customWidth="1"/>
    <col min="3" max="3" width="79.5703125" style="73" customWidth="1"/>
    <col min="4" max="4" width="30.85546875" style="429" bestFit="1" customWidth="1"/>
    <col min="5" max="5" width="24.28515625" style="73" bestFit="1" customWidth="1"/>
    <col min="6" max="6" width="2.7109375" style="460" customWidth="1"/>
    <col min="7" max="7" width="2.7109375" style="593" customWidth="1"/>
    <col min="8" max="8" width="2.7109375" style="73" customWidth="1"/>
    <col min="9" max="9" width="3.28515625" style="73" customWidth="1"/>
    <col min="10" max="10" width="3.5703125" style="73" customWidth="1"/>
    <col min="11" max="11" width="6.28515625" style="73" customWidth="1"/>
    <col min="12" max="14" width="3" style="73" customWidth="1"/>
    <col min="15" max="22" width="2.7109375" style="73" customWidth="1"/>
    <col min="23" max="23" width="3.28515625" style="73" customWidth="1"/>
    <col min="24" max="24" width="9.140625" style="73" customWidth="1"/>
    <col min="25" max="193" width="9.140625" style="73"/>
    <col min="194" max="201" width="9.140625" style="73" customWidth="1"/>
    <col min="202" max="202" width="10.140625" style="73" customWidth="1"/>
    <col min="203" max="203" width="1" style="73" customWidth="1"/>
    <col min="204" max="206" width="3.28515625" style="73" customWidth="1"/>
    <col min="207" max="207" width="1.85546875" style="73" customWidth="1"/>
    <col min="208" max="208" width="17.85546875" style="73" customWidth="1"/>
    <col min="209" max="209" width="1.85546875" style="73" customWidth="1"/>
    <col min="210" max="212" width="3.28515625" style="73" customWidth="1"/>
    <col min="213" max="213" width="2.85546875" style="73" customWidth="1"/>
    <col min="214" max="214" width="1.85546875" style="73" customWidth="1"/>
    <col min="215" max="215" width="19.7109375" style="73" customWidth="1"/>
    <col min="216" max="216" width="1.85546875" style="73" customWidth="1"/>
    <col min="217" max="219" width="3" style="73" customWidth="1"/>
    <col min="220" max="220" width="4.42578125" style="73" customWidth="1"/>
    <col min="221" max="222" width="3" style="73" customWidth="1"/>
    <col min="223" max="228" width="3.28515625" style="73" customWidth="1"/>
    <col min="229" max="230" width="9.140625" style="73" customWidth="1"/>
    <col min="231" max="234" width="3.28515625" style="73" customWidth="1"/>
    <col min="235" max="235" width="4.140625" style="73" customWidth="1"/>
    <col min="236" max="236" width="1.7109375" style="73" customWidth="1"/>
    <col min="237" max="241" width="3.28515625" style="73" customWidth="1"/>
    <col min="242" max="242" width="1.7109375" style="73" customWidth="1"/>
    <col min="243" max="247" width="3.28515625" style="73" customWidth="1"/>
    <col min="248" max="253" width="9.140625" style="73" customWidth="1"/>
    <col min="254" max="254" width="1.7109375" style="73" customWidth="1"/>
    <col min="255" max="259" width="3.28515625" style="73" customWidth="1"/>
    <col min="260" max="260" width="1.7109375" style="73" customWidth="1"/>
    <col min="261" max="261" width="16.5703125" style="73" bestFit="1" customWidth="1"/>
    <col min="262" max="263" width="10.28515625" style="73" customWidth="1"/>
    <col min="264" max="264" width="18" style="73" bestFit="1" customWidth="1"/>
    <col min="265" max="449" width="9.140625" style="73"/>
    <col min="450" max="457" width="9.140625" style="73" customWidth="1"/>
    <col min="458" max="458" width="10.140625" style="73" customWidth="1"/>
    <col min="459" max="459" width="1" style="73" customWidth="1"/>
    <col min="460" max="462" width="3.28515625" style="73" customWidth="1"/>
    <col min="463" max="463" width="1.85546875" style="73" customWidth="1"/>
    <col min="464" max="464" width="17.85546875" style="73" customWidth="1"/>
    <col min="465" max="465" width="1.85546875" style="73" customWidth="1"/>
    <col min="466" max="468" width="3.28515625" style="73" customWidth="1"/>
    <col min="469" max="469" width="2.85546875" style="73" customWidth="1"/>
    <col min="470" max="470" width="1.85546875" style="73" customWidth="1"/>
    <col min="471" max="471" width="19.7109375" style="73" customWidth="1"/>
    <col min="472" max="472" width="1.85546875" style="73" customWidth="1"/>
    <col min="473" max="475" width="3" style="73" customWidth="1"/>
    <col min="476" max="476" width="4.42578125" style="73" customWidth="1"/>
    <col min="477" max="478" width="3" style="73" customWidth="1"/>
    <col min="479" max="484" width="3.28515625" style="73" customWidth="1"/>
    <col min="485" max="486" width="9.140625" style="73" customWidth="1"/>
    <col min="487" max="490" width="3.28515625" style="73" customWidth="1"/>
    <col min="491" max="491" width="4.140625" style="73" customWidth="1"/>
    <col min="492" max="492" width="1.7109375" style="73" customWidth="1"/>
    <col min="493" max="497" width="3.28515625" style="73" customWidth="1"/>
    <col min="498" max="498" width="1.7109375" style="73" customWidth="1"/>
    <col min="499" max="503" width="3.28515625" style="73" customWidth="1"/>
    <col min="504" max="509" width="9.140625" style="73" customWidth="1"/>
    <col min="510" max="510" width="1.7109375" style="73" customWidth="1"/>
    <col min="511" max="515" width="3.28515625" style="73" customWidth="1"/>
    <col min="516" max="516" width="1.7109375" style="73" customWidth="1"/>
    <col min="517" max="517" width="16.5703125" style="73" bestFit="1" customWidth="1"/>
    <col min="518" max="519" width="10.28515625" style="73" customWidth="1"/>
    <col min="520" max="520" width="18" style="73" bestFit="1" customWidth="1"/>
    <col min="521" max="705" width="9.140625" style="73"/>
    <col min="706" max="713" width="9.140625" style="73" customWidth="1"/>
    <col min="714" max="714" width="10.140625" style="73" customWidth="1"/>
    <col min="715" max="715" width="1" style="73" customWidth="1"/>
    <col min="716" max="718" width="3.28515625" style="73" customWidth="1"/>
    <col min="719" max="719" width="1.85546875" style="73" customWidth="1"/>
    <col min="720" max="720" width="17.85546875" style="73" customWidth="1"/>
    <col min="721" max="721" width="1.85546875" style="73" customWidth="1"/>
    <col min="722" max="724" width="3.28515625" style="73" customWidth="1"/>
    <col min="725" max="725" width="2.85546875" style="73" customWidth="1"/>
    <col min="726" max="726" width="1.85546875" style="73" customWidth="1"/>
    <col min="727" max="727" width="19.7109375" style="73" customWidth="1"/>
    <col min="728" max="728" width="1.85546875" style="73" customWidth="1"/>
    <col min="729" max="731" width="3" style="73" customWidth="1"/>
    <col min="732" max="732" width="4.42578125" style="73" customWidth="1"/>
    <col min="733" max="734" width="3" style="73" customWidth="1"/>
    <col min="735" max="740" width="3.28515625" style="73" customWidth="1"/>
    <col min="741" max="742" width="9.140625" style="73" customWidth="1"/>
    <col min="743" max="746" width="3.28515625" style="73" customWidth="1"/>
    <col min="747" max="747" width="4.140625" style="73" customWidth="1"/>
    <col min="748" max="748" width="1.7109375" style="73" customWidth="1"/>
    <col min="749" max="753" width="3.28515625" style="73" customWidth="1"/>
    <col min="754" max="754" width="1.7109375" style="73" customWidth="1"/>
    <col min="755" max="759" width="3.28515625" style="73" customWidth="1"/>
    <col min="760" max="765" width="9.140625" style="73" customWidth="1"/>
    <col min="766" max="766" width="1.7109375" style="73" customWidth="1"/>
    <col min="767" max="771" width="3.28515625" style="73" customWidth="1"/>
    <col min="772" max="772" width="1.7109375" style="73" customWidth="1"/>
    <col min="773" max="773" width="16.5703125" style="73" bestFit="1" customWidth="1"/>
    <col min="774" max="775" width="10.28515625" style="73" customWidth="1"/>
    <col min="776" max="776" width="18" style="73" bestFit="1" customWidth="1"/>
    <col min="777" max="961" width="9.140625" style="73"/>
    <col min="962" max="969" width="9.140625" style="73" customWidth="1"/>
    <col min="970" max="970" width="10.140625" style="73" customWidth="1"/>
    <col min="971" max="971" width="1" style="73" customWidth="1"/>
    <col min="972" max="974" width="3.28515625" style="73" customWidth="1"/>
    <col min="975" max="975" width="1.85546875" style="73" customWidth="1"/>
    <col min="976" max="976" width="17.85546875" style="73" customWidth="1"/>
    <col min="977" max="977" width="1.85546875" style="73" customWidth="1"/>
    <col min="978" max="980" width="3.28515625" style="73" customWidth="1"/>
    <col min="981" max="981" width="2.85546875" style="73" customWidth="1"/>
    <col min="982" max="982" width="1.85546875" style="73" customWidth="1"/>
    <col min="983" max="983" width="19.7109375" style="73" customWidth="1"/>
    <col min="984" max="984" width="1.85546875" style="73" customWidth="1"/>
    <col min="985" max="987" width="3" style="73" customWidth="1"/>
    <col min="988" max="988" width="4.42578125" style="73" customWidth="1"/>
    <col min="989" max="990" width="3" style="73" customWidth="1"/>
    <col min="991" max="996" width="3.28515625" style="73" customWidth="1"/>
    <col min="997" max="998" width="9.140625" style="73" customWidth="1"/>
    <col min="999" max="1002" width="3.28515625" style="73" customWidth="1"/>
    <col min="1003" max="1003" width="4.140625" style="73" customWidth="1"/>
    <col min="1004" max="1004" width="1.7109375" style="73" customWidth="1"/>
    <col min="1005" max="1009" width="3.28515625" style="73" customWidth="1"/>
    <col min="1010" max="1010" width="1.7109375" style="73" customWidth="1"/>
    <col min="1011" max="1015" width="3.28515625" style="73" customWidth="1"/>
    <col min="1016" max="1021" width="9.140625" style="73" customWidth="1"/>
    <col min="1022" max="1022" width="1.7109375" style="73" customWidth="1"/>
    <col min="1023" max="1027" width="3.28515625" style="73" customWidth="1"/>
    <col min="1028" max="1028" width="1.7109375" style="73" customWidth="1"/>
    <col min="1029" max="1029" width="16.5703125" style="73" bestFit="1" customWidth="1"/>
    <col min="1030" max="1031" width="10.28515625" style="73" customWidth="1"/>
    <col min="1032" max="1032" width="18" style="73" bestFit="1" customWidth="1"/>
    <col min="1033" max="1217" width="9.140625" style="73"/>
    <col min="1218" max="1225" width="9.140625" style="73" customWidth="1"/>
    <col min="1226" max="1226" width="10.140625" style="73" customWidth="1"/>
    <col min="1227" max="1227" width="1" style="73" customWidth="1"/>
    <col min="1228" max="1230" width="3.28515625" style="73" customWidth="1"/>
    <col min="1231" max="1231" width="1.85546875" style="73" customWidth="1"/>
    <col min="1232" max="1232" width="17.85546875" style="73" customWidth="1"/>
    <col min="1233" max="1233" width="1.85546875" style="73" customWidth="1"/>
    <col min="1234" max="1236" width="3.28515625" style="73" customWidth="1"/>
    <col min="1237" max="1237" width="2.85546875" style="73" customWidth="1"/>
    <col min="1238" max="1238" width="1.85546875" style="73" customWidth="1"/>
    <col min="1239" max="1239" width="19.7109375" style="73" customWidth="1"/>
    <col min="1240" max="1240" width="1.85546875" style="73" customWidth="1"/>
    <col min="1241" max="1243" width="3" style="73" customWidth="1"/>
    <col min="1244" max="1244" width="4.42578125" style="73" customWidth="1"/>
    <col min="1245" max="1246" width="3" style="73" customWidth="1"/>
    <col min="1247" max="1252" width="3.28515625" style="73" customWidth="1"/>
    <col min="1253" max="1254" width="9.140625" style="73" customWidth="1"/>
    <col min="1255" max="1258" width="3.28515625" style="73" customWidth="1"/>
    <col min="1259" max="1259" width="4.140625" style="73" customWidth="1"/>
    <col min="1260" max="1260" width="1.7109375" style="73" customWidth="1"/>
    <col min="1261" max="1265" width="3.28515625" style="73" customWidth="1"/>
    <col min="1266" max="1266" width="1.7109375" style="73" customWidth="1"/>
    <col min="1267" max="1271" width="3.28515625" style="73" customWidth="1"/>
    <col min="1272" max="1277" width="9.140625" style="73" customWidth="1"/>
    <col min="1278" max="1278" width="1.7109375" style="73" customWidth="1"/>
    <col min="1279" max="1283" width="3.28515625" style="73" customWidth="1"/>
    <col min="1284" max="1284" width="1.7109375" style="73" customWidth="1"/>
    <col min="1285" max="1285" width="16.5703125" style="73" bestFit="1" customWidth="1"/>
    <col min="1286" max="1287" width="10.28515625" style="73" customWidth="1"/>
    <col min="1288" max="1288" width="18" style="73" bestFit="1" customWidth="1"/>
    <col min="1289" max="1473" width="9.140625" style="73"/>
    <col min="1474" max="1481" width="9.140625" style="73" customWidth="1"/>
    <col min="1482" max="1482" width="10.140625" style="73" customWidth="1"/>
    <col min="1483" max="1483" width="1" style="73" customWidth="1"/>
    <col min="1484" max="1486" width="3.28515625" style="73" customWidth="1"/>
    <col min="1487" max="1487" width="1.85546875" style="73" customWidth="1"/>
    <col min="1488" max="1488" width="17.85546875" style="73" customWidth="1"/>
    <col min="1489" max="1489" width="1.85546875" style="73" customWidth="1"/>
    <col min="1490" max="1492" width="3.28515625" style="73" customWidth="1"/>
    <col min="1493" max="1493" width="2.85546875" style="73" customWidth="1"/>
    <col min="1494" max="1494" width="1.85546875" style="73" customWidth="1"/>
    <col min="1495" max="1495" width="19.7109375" style="73" customWidth="1"/>
    <col min="1496" max="1496" width="1.85546875" style="73" customWidth="1"/>
    <col min="1497" max="1499" width="3" style="73" customWidth="1"/>
    <col min="1500" max="1500" width="4.42578125" style="73" customWidth="1"/>
    <col min="1501" max="1502" width="3" style="73" customWidth="1"/>
    <col min="1503" max="1508" width="3.28515625" style="73" customWidth="1"/>
    <col min="1509" max="1510" width="9.140625" style="73" customWidth="1"/>
    <col min="1511" max="1514" width="3.28515625" style="73" customWidth="1"/>
    <col min="1515" max="1515" width="4.140625" style="73" customWidth="1"/>
    <col min="1516" max="1516" width="1.7109375" style="73" customWidth="1"/>
    <col min="1517" max="1521" width="3.28515625" style="73" customWidth="1"/>
    <col min="1522" max="1522" width="1.7109375" style="73" customWidth="1"/>
    <col min="1523" max="1527" width="3.28515625" style="73" customWidth="1"/>
    <col min="1528" max="1533" width="9.140625" style="73" customWidth="1"/>
    <col min="1534" max="1534" width="1.7109375" style="73" customWidth="1"/>
    <col min="1535" max="1539" width="3.28515625" style="73" customWidth="1"/>
    <col min="1540" max="1540" width="1.7109375" style="73" customWidth="1"/>
    <col min="1541" max="1541" width="16.5703125" style="73" bestFit="1" customWidth="1"/>
    <col min="1542" max="1543" width="10.28515625" style="73" customWidth="1"/>
    <col min="1544" max="1544" width="18" style="73" bestFit="1" customWidth="1"/>
    <col min="1545" max="1729" width="9.140625" style="73"/>
    <col min="1730" max="1737" width="9.140625" style="73" customWidth="1"/>
    <col min="1738" max="1738" width="10.140625" style="73" customWidth="1"/>
    <col min="1739" max="1739" width="1" style="73" customWidth="1"/>
    <col min="1740" max="1742" width="3.28515625" style="73" customWidth="1"/>
    <col min="1743" max="1743" width="1.85546875" style="73" customWidth="1"/>
    <col min="1744" max="1744" width="17.85546875" style="73" customWidth="1"/>
    <col min="1745" max="1745" width="1.85546875" style="73" customWidth="1"/>
    <col min="1746" max="1748" width="3.28515625" style="73" customWidth="1"/>
    <col min="1749" max="1749" width="2.85546875" style="73" customWidth="1"/>
    <col min="1750" max="1750" width="1.85546875" style="73" customWidth="1"/>
    <col min="1751" max="1751" width="19.7109375" style="73" customWidth="1"/>
    <col min="1752" max="1752" width="1.85546875" style="73" customWidth="1"/>
    <col min="1753" max="1755" width="3" style="73" customWidth="1"/>
    <col min="1756" max="1756" width="4.42578125" style="73" customWidth="1"/>
    <col min="1757" max="1758" width="3" style="73" customWidth="1"/>
    <col min="1759" max="1764" width="3.28515625" style="73" customWidth="1"/>
    <col min="1765" max="1766" width="9.140625" style="73" customWidth="1"/>
    <col min="1767" max="1770" width="3.28515625" style="73" customWidth="1"/>
    <col min="1771" max="1771" width="4.140625" style="73" customWidth="1"/>
    <col min="1772" max="1772" width="1.7109375" style="73" customWidth="1"/>
    <col min="1773" max="1777" width="3.28515625" style="73" customWidth="1"/>
    <col min="1778" max="1778" width="1.7109375" style="73" customWidth="1"/>
    <col min="1779" max="1783" width="3.28515625" style="73" customWidth="1"/>
    <col min="1784" max="1789" width="9.140625" style="73" customWidth="1"/>
    <col min="1790" max="1790" width="1.7109375" style="73" customWidth="1"/>
    <col min="1791" max="1795" width="3.28515625" style="73" customWidth="1"/>
    <col min="1796" max="1796" width="1.7109375" style="73" customWidth="1"/>
    <col min="1797" max="1797" width="16.5703125" style="73" bestFit="1" customWidth="1"/>
    <col min="1798" max="1799" width="10.28515625" style="73" customWidth="1"/>
    <col min="1800" max="1800" width="18" style="73" bestFit="1" customWidth="1"/>
    <col min="1801" max="1985" width="9.140625" style="73"/>
    <col min="1986" max="1993" width="9.140625" style="73" customWidth="1"/>
    <col min="1994" max="1994" width="10.140625" style="73" customWidth="1"/>
    <col min="1995" max="1995" width="1" style="73" customWidth="1"/>
    <col min="1996" max="1998" width="3.28515625" style="73" customWidth="1"/>
    <col min="1999" max="1999" width="1.85546875" style="73" customWidth="1"/>
    <col min="2000" max="2000" width="17.85546875" style="73" customWidth="1"/>
    <col min="2001" max="2001" width="1.85546875" style="73" customWidth="1"/>
    <col min="2002" max="2004" width="3.28515625" style="73" customWidth="1"/>
    <col min="2005" max="2005" width="2.85546875" style="73" customWidth="1"/>
    <col min="2006" max="2006" width="1.85546875" style="73" customWidth="1"/>
    <col min="2007" max="2007" width="19.7109375" style="73" customWidth="1"/>
    <col min="2008" max="2008" width="1.85546875" style="73" customWidth="1"/>
    <col min="2009" max="2011" width="3" style="73" customWidth="1"/>
    <col min="2012" max="2012" width="4.42578125" style="73" customWidth="1"/>
    <col min="2013" max="2014" width="3" style="73" customWidth="1"/>
    <col min="2015" max="2020" width="3.28515625" style="73" customWidth="1"/>
    <col min="2021" max="2022" width="9.140625" style="73" customWidth="1"/>
    <col min="2023" max="2026" width="3.28515625" style="73" customWidth="1"/>
    <col min="2027" max="2027" width="4.140625" style="73" customWidth="1"/>
    <col min="2028" max="2028" width="1.7109375" style="73" customWidth="1"/>
    <col min="2029" max="2033" width="3.28515625" style="73" customWidth="1"/>
    <col min="2034" max="2034" width="1.7109375" style="73" customWidth="1"/>
    <col min="2035" max="2039" width="3.28515625" style="73" customWidth="1"/>
    <col min="2040" max="2045" width="9.140625" style="73" customWidth="1"/>
    <col min="2046" max="2046" width="1.7109375" style="73" customWidth="1"/>
    <col min="2047" max="2051" width="3.28515625" style="73" customWidth="1"/>
    <col min="2052" max="2052" width="1.7109375" style="73" customWidth="1"/>
    <col min="2053" max="2053" width="16.5703125" style="73" bestFit="1" customWidth="1"/>
    <col min="2054" max="2055" width="10.28515625" style="73" customWidth="1"/>
    <col min="2056" max="2056" width="18" style="73" bestFit="1" customWidth="1"/>
    <col min="2057" max="2241" width="9.140625" style="73"/>
    <col min="2242" max="2249" width="9.140625" style="73" customWidth="1"/>
    <col min="2250" max="2250" width="10.140625" style="73" customWidth="1"/>
    <col min="2251" max="2251" width="1" style="73" customWidth="1"/>
    <col min="2252" max="2254" width="3.28515625" style="73" customWidth="1"/>
    <col min="2255" max="2255" width="1.85546875" style="73" customWidth="1"/>
    <col min="2256" max="2256" width="17.85546875" style="73" customWidth="1"/>
    <col min="2257" max="2257" width="1.85546875" style="73" customWidth="1"/>
    <col min="2258" max="2260" width="3.28515625" style="73" customWidth="1"/>
    <col min="2261" max="2261" width="2.85546875" style="73" customWidth="1"/>
    <col min="2262" max="2262" width="1.85546875" style="73" customWidth="1"/>
    <col min="2263" max="2263" width="19.7109375" style="73" customWidth="1"/>
    <col min="2264" max="2264" width="1.85546875" style="73" customWidth="1"/>
    <col min="2265" max="2267" width="3" style="73" customWidth="1"/>
    <col min="2268" max="2268" width="4.42578125" style="73" customWidth="1"/>
    <col min="2269" max="2270" width="3" style="73" customWidth="1"/>
    <col min="2271" max="2276" width="3.28515625" style="73" customWidth="1"/>
    <col min="2277" max="2278" width="9.140625" style="73" customWidth="1"/>
    <col min="2279" max="2282" width="3.28515625" style="73" customWidth="1"/>
    <col min="2283" max="2283" width="4.140625" style="73" customWidth="1"/>
    <col min="2284" max="2284" width="1.7109375" style="73" customWidth="1"/>
    <col min="2285" max="2289" width="3.28515625" style="73" customWidth="1"/>
    <col min="2290" max="2290" width="1.7109375" style="73" customWidth="1"/>
    <col min="2291" max="2295" width="3.28515625" style="73" customWidth="1"/>
    <col min="2296" max="2301" width="9.140625" style="73" customWidth="1"/>
    <col min="2302" max="2302" width="1.7109375" style="73" customWidth="1"/>
    <col min="2303" max="2307" width="3.28515625" style="73" customWidth="1"/>
    <col min="2308" max="2308" width="1.7109375" style="73" customWidth="1"/>
    <col min="2309" max="2309" width="16.5703125" style="73" bestFit="1" customWidth="1"/>
    <col min="2310" max="2311" width="10.28515625" style="73" customWidth="1"/>
    <col min="2312" max="2312" width="18" style="73" bestFit="1" customWidth="1"/>
    <col min="2313" max="2497" width="9.140625" style="73"/>
    <col min="2498" max="2505" width="9.140625" style="73" customWidth="1"/>
    <col min="2506" max="2506" width="10.140625" style="73" customWidth="1"/>
    <col min="2507" max="2507" width="1" style="73" customWidth="1"/>
    <col min="2508" max="2510" width="3.28515625" style="73" customWidth="1"/>
    <col min="2511" max="2511" width="1.85546875" style="73" customWidth="1"/>
    <col min="2512" max="2512" width="17.85546875" style="73" customWidth="1"/>
    <col min="2513" max="2513" width="1.85546875" style="73" customWidth="1"/>
    <col min="2514" max="2516" width="3.28515625" style="73" customWidth="1"/>
    <col min="2517" max="2517" width="2.85546875" style="73" customWidth="1"/>
    <col min="2518" max="2518" width="1.85546875" style="73" customWidth="1"/>
    <col min="2519" max="2519" width="19.7109375" style="73" customWidth="1"/>
    <col min="2520" max="2520" width="1.85546875" style="73" customWidth="1"/>
    <col min="2521" max="2523" width="3" style="73" customWidth="1"/>
    <col min="2524" max="2524" width="4.42578125" style="73" customWidth="1"/>
    <col min="2525" max="2526" width="3" style="73" customWidth="1"/>
    <col min="2527" max="2532" width="3.28515625" style="73" customWidth="1"/>
    <col min="2533" max="2534" width="9.140625" style="73" customWidth="1"/>
    <col min="2535" max="2538" width="3.28515625" style="73" customWidth="1"/>
    <col min="2539" max="2539" width="4.140625" style="73" customWidth="1"/>
    <col min="2540" max="2540" width="1.7109375" style="73" customWidth="1"/>
    <col min="2541" max="2545" width="3.28515625" style="73" customWidth="1"/>
    <col min="2546" max="2546" width="1.7109375" style="73" customWidth="1"/>
    <col min="2547" max="2551" width="3.28515625" style="73" customWidth="1"/>
    <col min="2552" max="2557" width="9.140625" style="73" customWidth="1"/>
    <col min="2558" max="2558" width="1.7109375" style="73" customWidth="1"/>
    <col min="2559" max="2563" width="3.28515625" style="73" customWidth="1"/>
    <col min="2564" max="2564" width="1.7109375" style="73" customWidth="1"/>
    <col min="2565" max="2565" width="16.5703125" style="73" bestFit="1" customWidth="1"/>
    <col min="2566" max="2567" width="10.28515625" style="73" customWidth="1"/>
    <col min="2568" max="2568" width="18" style="73" bestFit="1" customWidth="1"/>
    <col min="2569" max="2753" width="9.140625" style="73"/>
    <col min="2754" max="2761" width="9.140625" style="73" customWidth="1"/>
    <col min="2762" max="2762" width="10.140625" style="73" customWidth="1"/>
    <col min="2763" max="2763" width="1" style="73" customWidth="1"/>
    <col min="2764" max="2766" width="3.28515625" style="73" customWidth="1"/>
    <col min="2767" max="2767" width="1.85546875" style="73" customWidth="1"/>
    <col min="2768" max="2768" width="17.85546875" style="73" customWidth="1"/>
    <col min="2769" max="2769" width="1.85546875" style="73" customWidth="1"/>
    <col min="2770" max="2772" width="3.28515625" style="73" customWidth="1"/>
    <col min="2773" max="2773" width="2.85546875" style="73" customWidth="1"/>
    <col min="2774" max="2774" width="1.85546875" style="73" customWidth="1"/>
    <col min="2775" max="2775" width="19.7109375" style="73" customWidth="1"/>
    <col min="2776" max="2776" width="1.85546875" style="73" customWidth="1"/>
    <col min="2777" max="2779" width="3" style="73" customWidth="1"/>
    <col min="2780" max="2780" width="4.42578125" style="73" customWidth="1"/>
    <col min="2781" max="2782" width="3" style="73" customWidth="1"/>
    <col min="2783" max="2788" width="3.28515625" style="73" customWidth="1"/>
    <col min="2789" max="2790" width="9.140625" style="73" customWidth="1"/>
    <col min="2791" max="2794" width="3.28515625" style="73" customWidth="1"/>
    <col min="2795" max="2795" width="4.140625" style="73" customWidth="1"/>
    <col min="2796" max="2796" width="1.7109375" style="73" customWidth="1"/>
    <col min="2797" max="2801" width="3.28515625" style="73" customWidth="1"/>
    <col min="2802" max="2802" width="1.7109375" style="73" customWidth="1"/>
    <col min="2803" max="2807" width="3.28515625" style="73" customWidth="1"/>
    <col min="2808" max="2813" width="9.140625" style="73" customWidth="1"/>
    <col min="2814" max="2814" width="1.7109375" style="73" customWidth="1"/>
    <col min="2815" max="2819" width="3.28515625" style="73" customWidth="1"/>
    <col min="2820" max="2820" width="1.7109375" style="73" customWidth="1"/>
    <col min="2821" max="2821" width="16.5703125" style="73" bestFit="1" customWidth="1"/>
    <col min="2822" max="2823" width="10.28515625" style="73" customWidth="1"/>
    <col min="2824" max="2824" width="18" style="73" bestFit="1" customWidth="1"/>
    <col min="2825" max="3009" width="9.140625" style="73"/>
    <col min="3010" max="3017" width="9.140625" style="73" customWidth="1"/>
    <col min="3018" max="3018" width="10.140625" style="73" customWidth="1"/>
    <col min="3019" max="3019" width="1" style="73" customWidth="1"/>
    <col min="3020" max="3022" width="3.28515625" style="73" customWidth="1"/>
    <col min="3023" max="3023" width="1.85546875" style="73" customWidth="1"/>
    <col min="3024" max="3024" width="17.85546875" style="73" customWidth="1"/>
    <col min="3025" max="3025" width="1.85546875" style="73" customWidth="1"/>
    <col min="3026" max="3028" width="3.28515625" style="73" customWidth="1"/>
    <col min="3029" max="3029" width="2.85546875" style="73" customWidth="1"/>
    <col min="3030" max="3030" width="1.85546875" style="73" customWidth="1"/>
    <col min="3031" max="3031" width="19.7109375" style="73" customWidth="1"/>
    <col min="3032" max="3032" width="1.85546875" style="73" customWidth="1"/>
    <col min="3033" max="3035" width="3" style="73" customWidth="1"/>
    <col min="3036" max="3036" width="4.42578125" style="73" customWidth="1"/>
    <col min="3037" max="3038" width="3" style="73" customWidth="1"/>
    <col min="3039" max="3044" width="3.28515625" style="73" customWidth="1"/>
    <col min="3045" max="3046" width="9.140625" style="73" customWidth="1"/>
    <col min="3047" max="3050" width="3.28515625" style="73" customWidth="1"/>
    <col min="3051" max="3051" width="4.140625" style="73" customWidth="1"/>
    <col min="3052" max="3052" width="1.7109375" style="73" customWidth="1"/>
    <col min="3053" max="3057" width="3.28515625" style="73" customWidth="1"/>
    <col min="3058" max="3058" width="1.7109375" style="73" customWidth="1"/>
    <col min="3059" max="3063" width="3.28515625" style="73" customWidth="1"/>
    <col min="3064" max="3069" width="9.140625" style="73" customWidth="1"/>
    <col min="3070" max="3070" width="1.7109375" style="73" customWidth="1"/>
    <col min="3071" max="3075" width="3.28515625" style="73" customWidth="1"/>
    <col min="3076" max="3076" width="1.7109375" style="73" customWidth="1"/>
    <col min="3077" max="3077" width="16.5703125" style="73" bestFit="1" customWidth="1"/>
    <col min="3078" max="3079" width="10.28515625" style="73" customWidth="1"/>
    <col min="3080" max="3080" width="18" style="73" bestFit="1" customWidth="1"/>
    <col min="3081" max="3265" width="9.140625" style="73"/>
    <col min="3266" max="3273" width="9.140625" style="73" customWidth="1"/>
    <col min="3274" max="3274" width="10.140625" style="73" customWidth="1"/>
    <col min="3275" max="3275" width="1" style="73" customWidth="1"/>
    <col min="3276" max="3278" width="3.28515625" style="73" customWidth="1"/>
    <col min="3279" max="3279" width="1.85546875" style="73" customWidth="1"/>
    <col min="3280" max="3280" width="17.85546875" style="73" customWidth="1"/>
    <col min="3281" max="3281" width="1.85546875" style="73" customWidth="1"/>
    <col min="3282" max="3284" width="3.28515625" style="73" customWidth="1"/>
    <col min="3285" max="3285" width="2.85546875" style="73" customWidth="1"/>
    <col min="3286" max="3286" width="1.85546875" style="73" customWidth="1"/>
    <col min="3287" max="3287" width="19.7109375" style="73" customWidth="1"/>
    <col min="3288" max="3288" width="1.85546875" style="73" customWidth="1"/>
    <col min="3289" max="3291" width="3" style="73" customWidth="1"/>
    <col min="3292" max="3292" width="4.42578125" style="73" customWidth="1"/>
    <col min="3293" max="3294" width="3" style="73" customWidth="1"/>
    <col min="3295" max="3300" width="3.28515625" style="73" customWidth="1"/>
    <col min="3301" max="3302" width="9.140625" style="73" customWidth="1"/>
    <col min="3303" max="3306" width="3.28515625" style="73" customWidth="1"/>
    <col min="3307" max="3307" width="4.140625" style="73" customWidth="1"/>
    <col min="3308" max="3308" width="1.7109375" style="73" customWidth="1"/>
    <col min="3309" max="3313" width="3.28515625" style="73" customWidth="1"/>
    <col min="3314" max="3314" width="1.7109375" style="73" customWidth="1"/>
    <col min="3315" max="3319" width="3.28515625" style="73" customWidth="1"/>
    <col min="3320" max="3325" width="9.140625" style="73" customWidth="1"/>
    <col min="3326" max="3326" width="1.7109375" style="73" customWidth="1"/>
    <col min="3327" max="3331" width="3.28515625" style="73" customWidth="1"/>
    <col min="3332" max="3332" width="1.7109375" style="73" customWidth="1"/>
    <col min="3333" max="3333" width="16.5703125" style="73" bestFit="1" customWidth="1"/>
    <col min="3334" max="3335" width="10.28515625" style="73" customWidth="1"/>
    <col min="3336" max="3336" width="18" style="73" bestFit="1" customWidth="1"/>
    <col min="3337" max="3521" width="9.140625" style="73"/>
    <col min="3522" max="3529" width="9.140625" style="73" customWidth="1"/>
    <col min="3530" max="3530" width="10.140625" style="73" customWidth="1"/>
    <col min="3531" max="3531" width="1" style="73" customWidth="1"/>
    <col min="3532" max="3534" width="3.28515625" style="73" customWidth="1"/>
    <col min="3535" max="3535" width="1.85546875" style="73" customWidth="1"/>
    <col min="3536" max="3536" width="17.85546875" style="73" customWidth="1"/>
    <col min="3537" max="3537" width="1.85546875" style="73" customWidth="1"/>
    <col min="3538" max="3540" width="3.28515625" style="73" customWidth="1"/>
    <col min="3541" max="3541" width="2.85546875" style="73" customWidth="1"/>
    <col min="3542" max="3542" width="1.85546875" style="73" customWidth="1"/>
    <col min="3543" max="3543" width="19.7109375" style="73" customWidth="1"/>
    <col min="3544" max="3544" width="1.85546875" style="73" customWidth="1"/>
    <col min="3545" max="3547" width="3" style="73" customWidth="1"/>
    <col min="3548" max="3548" width="4.42578125" style="73" customWidth="1"/>
    <col min="3549" max="3550" width="3" style="73" customWidth="1"/>
    <col min="3551" max="3556" width="3.28515625" style="73" customWidth="1"/>
    <col min="3557" max="3558" width="9.140625" style="73" customWidth="1"/>
    <col min="3559" max="3562" width="3.28515625" style="73" customWidth="1"/>
    <col min="3563" max="3563" width="4.140625" style="73" customWidth="1"/>
    <col min="3564" max="3564" width="1.7109375" style="73" customWidth="1"/>
    <col min="3565" max="3569" width="3.28515625" style="73" customWidth="1"/>
    <col min="3570" max="3570" width="1.7109375" style="73" customWidth="1"/>
    <col min="3571" max="3575" width="3.28515625" style="73" customWidth="1"/>
    <col min="3576" max="3581" width="9.140625" style="73" customWidth="1"/>
    <col min="3582" max="3582" width="1.7109375" style="73" customWidth="1"/>
    <col min="3583" max="3587" width="3.28515625" style="73" customWidth="1"/>
    <col min="3588" max="3588" width="1.7109375" style="73" customWidth="1"/>
    <col min="3589" max="3589" width="16.5703125" style="73" bestFit="1" customWidth="1"/>
    <col min="3590" max="3591" width="10.28515625" style="73" customWidth="1"/>
    <col min="3592" max="3592" width="18" style="73" bestFit="1" customWidth="1"/>
    <col min="3593" max="3777" width="9.140625" style="73"/>
    <col min="3778" max="3785" width="9.140625" style="73" customWidth="1"/>
    <col min="3786" max="3786" width="10.140625" style="73" customWidth="1"/>
    <col min="3787" max="3787" width="1" style="73" customWidth="1"/>
    <col min="3788" max="3790" width="3.28515625" style="73" customWidth="1"/>
    <col min="3791" max="3791" width="1.85546875" style="73" customWidth="1"/>
    <col min="3792" max="3792" width="17.85546875" style="73" customWidth="1"/>
    <col min="3793" max="3793" width="1.85546875" style="73" customWidth="1"/>
    <col min="3794" max="3796" width="3.28515625" style="73" customWidth="1"/>
    <col min="3797" max="3797" width="2.85546875" style="73" customWidth="1"/>
    <col min="3798" max="3798" width="1.85546875" style="73" customWidth="1"/>
    <col min="3799" max="3799" width="19.7109375" style="73" customWidth="1"/>
    <col min="3800" max="3800" width="1.85546875" style="73" customWidth="1"/>
    <col min="3801" max="3803" width="3" style="73" customWidth="1"/>
    <col min="3804" max="3804" width="4.42578125" style="73" customWidth="1"/>
    <col min="3805" max="3806" width="3" style="73" customWidth="1"/>
    <col min="3807" max="3812" width="3.28515625" style="73" customWidth="1"/>
    <col min="3813" max="3814" width="9.140625" style="73" customWidth="1"/>
    <col min="3815" max="3818" width="3.28515625" style="73" customWidth="1"/>
    <col min="3819" max="3819" width="4.140625" style="73" customWidth="1"/>
    <col min="3820" max="3820" width="1.7109375" style="73" customWidth="1"/>
    <col min="3821" max="3825" width="3.28515625" style="73" customWidth="1"/>
    <col min="3826" max="3826" width="1.7109375" style="73" customWidth="1"/>
    <col min="3827" max="3831" width="3.28515625" style="73" customWidth="1"/>
    <col min="3832" max="3837" width="9.140625" style="73" customWidth="1"/>
    <col min="3838" max="3838" width="1.7109375" style="73" customWidth="1"/>
    <col min="3839" max="3843" width="3.28515625" style="73" customWidth="1"/>
    <col min="3844" max="3844" width="1.7109375" style="73" customWidth="1"/>
    <col min="3845" max="3845" width="16.5703125" style="73" bestFit="1" customWidth="1"/>
    <col min="3846" max="3847" width="10.28515625" style="73" customWidth="1"/>
    <col min="3848" max="3848" width="18" style="73" bestFit="1" customWidth="1"/>
    <col min="3849" max="4033" width="9.140625" style="73"/>
    <col min="4034" max="4041" width="9.140625" style="73" customWidth="1"/>
    <col min="4042" max="4042" width="10.140625" style="73" customWidth="1"/>
    <col min="4043" max="4043" width="1" style="73" customWidth="1"/>
    <col min="4044" max="4046" width="3.28515625" style="73" customWidth="1"/>
    <col min="4047" max="4047" width="1.85546875" style="73" customWidth="1"/>
    <col min="4048" max="4048" width="17.85546875" style="73" customWidth="1"/>
    <col min="4049" max="4049" width="1.85546875" style="73" customWidth="1"/>
    <col min="4050" max="4052" width="3.28515625" style="73" customWidth="1"/>
    <col min="4053" max="4053" width="2.85546875" style="73" customWidth="1"/>
    <col min="4054" max="4054" width="1.85546875" style="73" customWidth="1"/>
    <col min="4055" max="4055" width="19.7109375" style="73" customWidth="1"/>
    <col min="4056" max="4056" width="1.85546875" style="73" customWidth="1"/>
    <col min="4057" max="4059" width="3" style="73" customWidth="1"/>
    <col min="4060" max="4060" width="4.42578125" style="73" customWidth="1"/>
    <col min="4061" max="4062" width="3" style="73" customWidth="1"/>
    <col min="4063" max="4068" width="3.28515625" style="73" customWidth="1"/>
    <col min="4069" max="4070" width="9.140625" style="73" customWidth="1"/>
    <col min="4071" max="4074" width="3.28515625" style="73" customWidth="1"/>
    <col min="4075" max="4075" width="4.140625" style="73" customWidth="1"/>
    <col min="4076" max="4076" width="1.7109375" style="73" customWidth="1"/>
    <col min="4077" max="4081" width="3.28515625" style="73" customWidth="1"/>
    <col min="4082" max="4082" width="1.7109375" style="73" customWidth="1"/>
    <col min="4083" max="4087" width="3.28515625" style="73" customWidth="1"/>
    <col min="4088" max="4093" width="9.140625" style="73" customWidth="1"/>
    <col min="4094" max="4094" width="1.7109375" style="73" customWidth="1"/>
    <col min="4095" max="4099" width="3.28515625" style="73" customWidth="1"/>
    <col min="4100" max="4100" width="1.7109375" style="73" customWidth="1"/>
    <col min="4101" max="4101" width="16.5703125" style="73" bestFit="1" customWidth="1"/>
    <col min="4102" max="4103" width="10.28515625" style="73" customWidth="1"/>
    <col min="4104" max="4104" width="18" style="73" bestFit="1" customWidth="1"/>
    <col min="4105" max="4289" width="9.140625" style="73"/>
    <col min="4290" max="4297" width="9.140625" style="73" customWidth="1"/>
    <col min="4298" max="4298" width="10.140625" style="73" customWidth="1"/>
    <col min="4299" max="4299" width="1" style="73" customWidth="1"/>
    <col min="4300" max="4302" width="3.28515625" style="73" customWidth="1"/>
    <col min="4303" max="4303" width="1.85546875" style="73" customWidth="1"/>
    <col min="4304" max="4304" width="17.85546875" style="73" customWidth="1"/>
    <col min="4305" max="4305" width="1.85546875" style="73" customWidth="1"/>
    <col min="4306" max="4308" width="3.28515625" style="73" customWidth="1"/>
    <col min="4309" max="4309" width="2.85546875" style="73" customWidth="1"/>
    <col min="4310" max="4310" width="1.85546875" style="73" customWidth="1"/>
    <col min="4311" max="4311" width="19.7109375" style="73" customWidth="1"/>
    <col min="4312" max="4312" width="1.85546875" style="73" customWidth="1"/>
    <col min="4313" max="4315" width="3" style="73" customWidth="1"/>
    <col min="4316" max="4316" width="4.42578125" style="73" customWidth="1"/>
    <col min="4317" max="4318" width="3" style="73" customWidth="1"/>
    <col min="4319" max="4324" width="3.28515625" style="73" customWidth="1"/>
    <col min="4325" max="4326" width="9.140625" style="73" customWidth="1"/>
    <col min="4327" max="4330" width="3.28515625" style="73" customWidth="1"/>
    <col min="4331" max="4331" width="4.140625" style="73" customWidth="1"/>
    <col min="4332" max="4332" width="1.7109375" style="73" customWidth="1"/>
    <col min="4333" max="4337" width="3.28515625" style="73" customWidth="1"/>
    <col min="4338" max="4338" width="1.7109375" style="73" customWidth="1"/>
    <col min="4339" max="4343" width="3.28515625" style="73" customWidth="1"/>
    <col min="4344" max="4349" width="9.140625" style="73" customWidth="1"/>
    <col min="4350" max="4350" width="1.7109375" style="73" customWidth="1"/>
    <col min="4351" max="4355" width="3.28515625" style="73" customWidth="1"/>
    <col min="4356" max="4356" width="1.7109375" style="73" customWidth="1"/>
    <col min="4357" max="4357" width="16.5703125" style="73" bestFit="1" customWidth="1"/>
    <col min="4358" max="4359" width="10.28515625" style="73" customWidth="1"/>
    <col min="4360" max="4360" width="18" style="73" bestFit="1" customWidth="1"/>
    <col min="4361" max="4545" width="9.140625" style="73"/>
    <col min="4546" max="4553" width="9.140625" style="73" customWidth="1"/>
    <col min="4554" max="4554" width="10.140625" style="73" customWidth="1"/>
    <col min="4555" max="4555" width="1" style="73" customWidth="1"/>
    <col min="4556" max="4558" width="3.28515625" style="73" customWidth="1"/>
    <col min="4559" max="4559" width="1.85546875" style="73" customWidth="1"/>
    <col min="4560" max="4560" width="17.85546875" style="73" customWidth="1"/>
    <col min="4561" max="4561" width="1.85546875" style="73" customWidth="1"/>
    <col min="4562" max="4564" width="3.28515625" style="73" customWidth="1"/>
    <col min="4565" max="4565" width="2.85546875" style="73" customWidth="1"/>
    <col min="4566" max="4566" width="1.85546875" style="73" customWidth="1"/>
    <col min="4567" max="4567" width="19.7109375" style="73" customWidth="1"/>
    <col min="4568" max="4568" width="1.85546875" style="73" customWidth="1"/>
    <col min="4569" max="4571" width="3" style="73" customWidth="1"/>
    <col min="4572" max="4572" width="4.42578125" style="73" customWidth="1"/>
    <col min="4573" max="4574" width="3" style="73" customWidth="1"/>
    <col min="4575" max="4580" width="3.28515625" style="73" customWidth="1"/>
    <col min="4581" max="4582" width="9.140625" style="73" customWidth="1"/>
    <col min="4583" max="4586" width="3.28515625" style="73" customWidth="1"/>
    <col min="4587" max="4587" width="4.140625" style="73" customWidth="1"/>
    <col min="4588" max="4588" width="1.7109375" style="73" customWidth="1"/>
    <col min="4589" max="4593" width="3.28515625" style="73" customWidth="1"/>
    <col min="4594" max="4594" width="1.7109375" style="73" customWidth="1"/>
    <col min="4595" max="4599" width="3.28515625" style="73" customWidth="1"/>
    <col min="4600" max="4605" width="9.140625" style="73" customWidth="1"/>
    <col min="4606" max="4606" width="1.7109375" style="73" customWidth="1"/>
    <col min="4607" max="4611" width="3.28515625" style="73" customWidth="1"/>
    <col min="4612" max="4612" width="1.7109375" style="73" customWidth="1"/>
    <col min="4613" max="4613" width="16.5703125" style="73" bestFit="1" customWidth="1"/>
    <col min="4614" max="4615" width="10.28515625" style="73" customWidth="1"/>
    <col min="4616" max="4616" width="18" style="73" bestFit="1" customWidth="1"/>
    <col min="4617" max="4801" width="9.140625" style="73"/>
    <col min="4802" max="4809" width="9.140625" style="73" customWidth="1"/>
    <col min="4810" max="4810" width="10.140625" style="73" customWidth="1"/>
    <col min="4811" max="4811" width="1" style="73" customWidth="1"/>
    <col min="4812" max="4814" width="3.28515625" style="73" customWidth="1"/>
    <col min="4815" max="4815" width="1.85546875" style="73" customWidth="1"/>
    <col min="4816" max="4816" width="17.85546875" style="73" customWidth="1"/>
    <col min="4817" max="4817" width="1.85546875" style="73" customWidth="1"/>
    <col min="4818" max="4820" width="3.28515625" style="73" customWidth="1"/>
    <col min="4821" max="4821" width="2.85546875" style="73" customWidth="1"/>
    <col min="4822" max="4822" width="1.85546875" style="73" customWidth="1"/>
    <col min="4823" max="4823" width="19.7109375" style="73" customWidth="1"/>
    <col min="4824" max="4824" width="1.85546875" style="73" customWidth="1"/>
    <col min="4825" max="4827" width="3" style="73" customWidth="1"/>
    <col min="4828" max="4828" width="4.42578125" style="73" customWidth="1"/>
    <col min="4829" max="4830" width="3" style="73" customWidth="1"/>
    <col min="4831" max="4836" width="3.28515625" style="73" customWidth="1"/>
    <col min="4837" max="4838" width="9.140625" style="73" customWidth="1"/>
    <col min="4839" max="4842" width="3.28515625" style="73" customWidth="1"/>
    <col min="4843" max="4843" width="4.140625" style="73" customWidth="1"/>
    <col min="4844" max="4844" width="1.7109375" style="73" customWidth="1"/>
    <col min="4845" max="4849" width="3.28515625" style="73" customWidth="1"/>
    <col min="4850" max="4850" width="1.7109375" style="73" customWidth="1"/>
    <col min="4851" max="4855" width="3.28515625" style="73" customWidth="1"/>
    <col min="4856" max="4861" width="9.140625" style="73" customWidth="1"/>
    <col min="4862" max="4862" width="1.7109375" style="73" customWidth="1"/>
    <col min="4863" max="4867" width="3.28515625" style="73" customWidth="1"/>
    <col min="4868" max="4868" width="1.7109375" style="73" customWidth="1"/>
    <col min="4869" max="4869" width="16.5703125" style="73" bestFit="1" customWidth="1"/>
    <col min="4870" max="4871" width="10.28515625" style="73" customWidth="1"/>
    <col min="4872" max="4872" width="18" style="73" bestFit="1" customWidth="1"/>
    <col min="4873" max="5057" width="9.140625" style="73"/>
    <col min="5058" max="5065" width="9.140625" style="73" customWidth="1"/>
    <col min="5066" max="5066" width="10.140625" style="73" customWidth="1"/>
    <col min="5067" max="5067" width="1" style="73" customWidth="1"/>
    <col min="5068" max="5070" width="3.28515625" style="73" customWidth="1"/>
    <col min="5071" max="5071" width="1.85546875" style="73" customWidth="1"/>
    <col min="5072" max="5072" width="17.85546875" style="73" customWidth="1"/>
    <col min="5073" max="5073" width="1.85546875" style="73" customWidth="1"/>
    <col min="5074" max="5076" width="3.28515625" style="73" customWidth="1"/>
    <col min="5077" max="5077" width="2.85546875" style="73" customWidth="1"/>
    <col min="5078" max="5078" width="1.85546875" style="73" customWidth="1"/>
    <col min="5079" max="5079" width="19.7109375" style="73" customWidth="1"/>
    <col min="5080" max="5080" width="1.85546875" style="73" customWidth="1"/>
    <col min="5081" max="5083" width="3" style="73" customWidth="1"/>
    <col min="5084" max="5084" width="4.42578125" style="73" customWidth="1"/>
    <col min="5085" max="5086" width="3" style="73" customWidth="1"/>
    <col min="5087" max="5092" width="3.28515625" style="73" customWidth="1"/>
    <col min="5093" max="5094" width="9.140625" style="73" customWidth="1"/>
    <col min="5095" max="5098" width="3.28515625" style="73" customWidth="1"/>
    <col min="5099" max="5099" width="4.140625" style="73" customWidth="1"/>
    <col min="5100" max="5100" width="1.7109375" style="73" customWidth="1"/>
    <col min="5101" max="5105" width="3.28515625" style="73" customWidth="1"/>
    <col min="5106" max="5106" width="1.7109375" style="73" customWidth="1"/>
    <col min="5107" max="5111" width="3.28515625" style="73" customWidth="1"/>
    <col min="5112" max="5117" width="9.140625" style="73" customWidth="1"/>
    <col min="5118" max="5118" width="1.7109375" style="73" customWidth="1"/>
    <col min="5119" max="5123" width="3.28515625" style="73" customWidth="1"/>
    <col min="5124" max="5124" width="1.7109375" style="73" customWidth="1"/>
    <col min="5125" max="5125" width="16.5703125" style="73" bestFit="1" customWidth="1"/>
    <col min="5126" max="5127" width="10.28515625" style="73" customWidth="1"/>
    <col min="5128" max="5128" width="18" style="73" bestFit="1" customWidth="1"/>
    <col min="5129" max="5313" width="9.140625" style="73"/>
    <col min="5314" max="5321" width="9.140625" style="73" customWidth="1"/>
    <col min="5322" max="5322" width="10.140625" style="73" customWidth="1"/>
    <col min="5323" max="5323" width="1" style="73" customWidth="1"/>
    <col min="5324" max="5326" width="3.28515625" style="73" customWidth="1"/>
    <col min="5327" max="5327" width="1.85546875" style="73" customWidth="1"/>
    <col min="5328" max="5328" width="17.85546875" style="73" customWidth="1"/>
    <col min="5329" max="5329" width="1.85546875" style="73" customWidth="1"/>
    <col min="5330" max="5332" width="3.28515625" style="73" customWidth="1"/>
    <col min="5333" max="5333" width="2.85546875" style="73" customWidth="1"/>
    <col min="5334" max="5334" width="1.85546875" style="73" customWidth="1"/>
    <col min="5335" max="5335" width="19.7109375" style="73" customWidth="1"/>
    <col min="5336" max="5336" width="1.85546875" style="73" customWidth="1"/>
    <col min="5337" max="5339" width="3" style="73" customWidth="1"/>
    <col min="5340" max="5340" width="4.42578125" style="73" customWidth="1"/>
    <col min="5341" max="5342" width="3" style="73" customWidth="1"/>
    <col min="5343" max="5348" width="3.28515625" style="73" customWidth="1"/>
    <col min="5349" max="5350" width="9.140625" style="73" customWidth="1"/>
    <col min="5351" max="5354" width="3.28515625" style="73" customWidth="1"/>
    <col min="5355" max="5355" width="4.140625" style="73" customWidth="1"/>
    <col min="5356" max="5356" width="1.7109375" style="73" customWidth="1"/>
    <col min="5357" max="5361" width="3.28515625" style="73" customWidth="1"/>
    <col min="5362" max="5362" width="1.7109375" style="73" customWidth="1"/>
    <col min="5363" max="5367" width="3.28515625" style="73" customWidth="1"/>
    <col min="5368" max="5373" width="9.140625" style="73" customWidth="1"/>
    <col min="5374" max="5374" width="1.7109375" style="73" customWidth="1"/>
    <col min="5375" max="5379" width="3.28515625" style="73" customWidth="1"/>
    <col min="5380" max="5380" width="1.7109375" style="73" customWidth="1"/>
    <col min="5381" max="5381" width="16.5703125" style="73" bestFit="1" customWidth="1"/>
    <col min="5382" max="5383" width="10.28515625" style="73" customWidth="1"/>
    <col min="5384" max="5384" width="18" style="73" bestFit="1" customWidth="1"/>
    <col min="5385" max="5569" width="9.140625" style="73"/>
    <col min="5570" max="5577" width="9.140625" style="73" customWidth="1"/>
    <col min="5578" max="5578" width="10.140625" style="73" customWidth="1"/>
    <col min="5579" max="5579" width="1" style="73" customWidth="1"/>
    <col min="5580" max="5582" width="3.28515625" style="73" customWidth="1"/>
    <col min="5583" max="5583" width="1.85546875" style="73" customWidth="1"/>
    <col min="5584" max="5584" width="17.85546875" style="73" customWidth="1"/>
    <col min="5585" max="5585" width="1.85546875" style="73" customWidth="1"/>
    <col min="5586" max="5588" width="3.28515625" style="73" customWidth="1"/>
    <col min="5589" max="5589" width="2.85546875" style="73" customWidth="1"/>
    <col min="5590" max="5590" width="1.85546875" style="73" customWidth="1"/>
    <col min="5591" max="5591" width="19.7109375" style="73" customWidth="1"/>
    <col min="5592" max="5592" width="1.85546875" style="73" customWidth="1"/>
    <col min="5593" max="5595" width="3" style="73" customWidth="1"/>
    <col min="5596" max="5596" width="4.42578125" style="73" customWidth="1"/>
    <col min="5597" max="5598" width="3" style="73" customWidth="1"/>
    <col min="5599" max="5604" width="3.28515625" style="73" customWidth="1"/>
    <col min="5605" max="5606" width="9.140625" style="73" customWidth="1"/>
    <col min="5607" max="5610" width="3.28515625" style="73" customWidth="1"/>
    <col min="5611" max="5611" width="4.140625" style="73" customWidth="1"/>
    <col min="5612" max="5612" width="1.7109375" style="73" customWidth="1"/>
    <col min="5613" max="5617" width="3.28515625" style="73" customWidth="1"/>
    <col min="5618" max="5618" width="1.7109375" style="73" customWidth="1"/>
    <col min="5619" max="5623" width="3.28515625" style="73" customWidth="1"/>
    <col min="5624" max="5629" width="9.140625" style="73" customWidth="1"/>
    <col min="5630" max="5630" width="1.7109375" style="73" customWidth="1"/>
    <col min="5631" max="5635" width="3.28515625" style="73" customWidth="1"/>
    <col min="5636" max="5636" width="1.7109375" style="73" customWidth="1"/>
    <col min="5637" max="5637" width="16.5703125" style="73" bestFit="1" customWidth="1"/>
    <col min="5638" max="5639" width="10.28515625" style="73" customWidth="1"/>
    <col min="5640" max="5640" width="18" style="73" bestFit="1" customWidth="1"/>
    <col min="5641" max="5825" width="9.140625" style="73"/>
    <col min="5826" max="5833" width="9.140625" style="73" customWidth="1"/>
    <col min="5834" max="5834" width="10.140625" style="73" customWidth="1"/>
    <col min="5835" max="5835" width="1" style="73" customWidth="1"/>
    <col min="5836" max="5838" width="3.28515625" style="73" customWidth="1"/>
    <col min="5839" max="5839" width="1.85546875" style="73" customWidth="1"/>
    <col min="5840" max="5840" width="17.85546875" style="73" customWidth="1"/>
    <col min="5841" max="5841" width="1.85546875" style="73" customWidth="1"/>
    <col min="5842" max="5844" width="3.28515625" style="73" customWidth="1"/>
    <col min="5845" max="5845" width="2.85546875" style="73" customWidth="1"/>
    <col min="5846" max="5846" width="1.85546875" style="73" customWidth="1"/>
    <col min="5847" max="5847" width="19.7109375" style="73" customWidth="1"/>
    <col min="5848" max="5848" width="1.85546875" style="73" customWidth="1"/>
    <col min="5849" max="5851" width="3" style="73" customWidth="1"/>
    <col min="5852" max="5852" width="4.42578125" style="73" customWidth="1"/>
    <col min="5853" max="5854" width="3" style="73" customWidth="1"/>
    <col min="5855" max="5860" width="3.28515625" style="73" customWidth="1"/>
    <col min="5861" max="5862" width="9.140625" style="73" customWidth="1"/>
    <col min="5863" max="5866" width="3.28515625" style="73" customWidth="1"/>
    <col min="5867" max="5867" width="4.140625" style="73" customWidth="1"/>
    <col min="5868" max="5868" width="1.7109375" style="73" customWidth="1"/>
    <col min="5869" max="5873" width="3.28515625" style="73" customWidth="1"/>
    <col min="5874" max="5874" width="1.7109375" style="73" customWidth="1"/>
    <col min="5875" max="5879" width="3.28515625" style="73" customWidth="1"/>
    <col min="5880" max="5885" width="9.140625" style="73" customWidth="1"/>
    <col min="5886" max="5886" width="1.7109375" style="73" customWidth="1"/>
    <col min="5887" max="5891" width="3.28515625" style="73" customWidth="1"/>
    <col min="5892" max="5892" width="1.7109375" style="73" customWidth="1"/>
    <col min="5893" max="5893" width="16.5703125" style="73" bestFit="1" customWidth="1"/>
    <col min="5894" max="5895" width="10.28515625" style="73" customWidth="1"/>
    <col min="5896" max="5896" width="18" style="73" bestFit="1" customWidth="1"/>
    <col min="5897" max="6081" width="9.140625" style="73"/>
    <col min="6082" max="6089" width="9.140625" style="73" customWidth="1"/>
    <col min="6090" max="6090" width="10.140625" style="73" customWidth="1"/>
    <col min="6091" max="6091" width="1" style="73" customWidth="1"/>
    <col min="6092" max="6094" width="3.28515625" style="73" customWidth="1"/>
    <col min="6095" max="6095" width="1.85546875" style="73" customWidth="1"/>
    <col min="6096" max="6096" width="17.85546875" style="73" customWidth="1"/>
    <col min="6097" max="6097" width="1.85546875" style="73" customWidth="1"/>
    <col min="6098" max="6100" width="3.28515625" style="73" customWidth="1"/>
    <col min="6101" max="6101" width="2.85546875" style="73" customWidth="1"/>
    <col min="6102" max="6102" width="1.85546875" style="73" customWidth="1"/>
    <col min="6103" max="6103" width="19.7109375" style="73" customWidth="1"/>
    <col min="6104" max="6104" width="1.85546875" style="73" customWidth="1"/>
    <col min="6105" max="6107" width="3" style="73" customWidth="1"/>
    <col min="6108" max="6108" width="4.42578125" style="73" customWidth="1"/>
    <col min="6109" max="6110" width="3" style="73" customWidth="1"/>
    <col min="6111" max="6116" width="3.28515625" style="73" customWidth="1"/>
    <col min="6117" max="6118" width="9.140625" style="73" customWidth="1"/>
    <col min="6119" max="6122" width="3.28515625" style="73" customWidth="1"/>
    <col min="6123" max="6123" width="4.140625" style="73" customWidth="1"/>
    <col min="6124" max="6124" width="1.7109375" style="73" customWidth="1"/>
    <col min="6125" max="6129" width="3.28515625" style="73" customWidth="1"/>
    <col min="6130" max="6130" width="1.7109375" style="73" customWidth="1"/>
    <col min="6131" max="6135" width="3.28515625" style="73" customWidth="1"/>
    <col min="6136" max="6141" width="9.140625" style="73" customWidth="1"/>
    <col min="6142" max="6142" width="1.7109375" style="73" customWidth="1"/>
    <col min="6143" max="6147" width="3.28515625" style="73" customWidth="1"/>
    <col min="6148" max="6148" width="1.7109375" style="73" customWidth="1"/>
    <col min="6149" max="6149" width="16.5703125" style="73" bestFit="1" customWidth="1"/>
    <col min="6150" max="6151" width="10.28515625" style="73" customWidth="1"/>
    <col min="6152" max="6152" width="18" style="73" bestFit="1" customWidth="1"/>
    <col min="6153" max="6337" width="9.140625" style="73"/>
    <col min="6338" max="6345" width="9.140625" style="73" customWidth="1"/>
    <col min="6346" max="6346" width="10.140625" style="73" customWidth="1"/>
    <col min="6347" max="6347" width="1" style="73" customWidth="1"/>
    <col min="6348" max="6350" width="3.28515625" style="73" customWidth="1"/>
    <col min="6351" max="6351" width="1.85546875" style="73" customWidth="1"/>
    <col min="6352" max="6352" width="17.85546875" style="73" customWidth="1"/>
    <col min="6353" max="6353" width="1.85546875" style="73" customWidth="1"/>
    <col min="6354" max="6356" width="3.28515625" style="73" customWidth="1"/>
    <col min="6357" max="6357" width="2.85546875" style="73" customWidth="1"/>
    <col min="6358" max="6358" width="1.85546875" style="73" customWidth="1"/>
    <col min="6359" max="6359" width="19.7109375" style="73" customWidth="1"/>
    <col min="6360" max="6360" width="1.85546875" style="73" customWidth="1"/>
    <col min="6361" max="6363" width="3" style="73" customWidth="1"/>
    <col min="6364" max="6364" width="4.42578125" style="73" customWidth="1"/>
    <col min="6365" max="6366" width="3" style="73" customWidth="1"/>
    <col min="6367" max="6372" width="3.28515625" style="73" customWidth="1"/>
    <col min="6373" max="6374" width="9.140625" style="73" customWidth="1"/>
    <col min="6375" max="6378" width="3.28515625" style="73" customWidth="1"/>
    <col min="6379" max="6379" width="4.140625" style="73" customWidth="1"/>
    <col min="6380" max="6380" width="1.7109375" style="73" customWidth="1"/>
    <col min="6381" max="6385" width="3.28515625" style="73" customWidth="1"/>
    <col min="6386" max="6386" width="1.7109375" style="73" customWidth="1"/>
    <col min="6387" max="6391" width="3.28515625" style="73" customWidth="1"/>
    <col min="6392" max="6397" width="9.140625" style="73" customWidth="1"/>
    <col min="6398" max="6398" width="1.7109375" style="73" customWidth="1"/>
    <col min="6399" max="6403" width="3.28515625" style="73" customWidth="1"/>
    <col min="6404" max="6404" width="1.7109375" style="73" customWidth="1"/>
    <col min="6405" max="6405" width="16.5703125" style="73" bestFit="1" customWidth="1"/>
    <col min="6406" max="6407" width="10.28515625" style="73" customWidth="1"/>
    <col min="6408" max="6408" width="18" style="73" bestFit="1" customWidth="1"/>
    <col min="6409" max="6593" width="9.140625" style="73"/>
    <col min="6594" max="6601" width="9.140625" style="73" customWidth="1"/>
    <col min="6602" max="6602" width="10.140625" style="73" customWidth="1"/>
    <col min="6603" max="6603" width="1" style="73" customWidth="1"/>
    <col min="6604" max="6606" width="3.28515625" style="73" customWidth="1"/>
    <col min="6607" max="6607" width="1.85546875" style="73" customWidth="1"/>
    <col min="6608" max="6608" width="17.85546875" style="73" customWidth="1"/>
    <col min="6609" max="6609" width="1.85546875" style="73" customWidth="1"/>
    <col min="6610" max="6612" width="3.28515625" style="73" customWidth="1"/>
    <col min="6613" max="6613" width="2.85546875" style="73" customWidth="1"/>
    <col min="6614" max="6614" width="1.85546875" style="73" customWidth="1"/>
    <col min="6615" max="6615" width="19.7109375" style="73" customWidth="1"/>
    <col min="6616" max="6616" width="1.85546875" style="73" customWidth="1"/>
    <col min="6617" max="6619" width="3" style="73" customWidth="1"/>
    <col min="6620" max="6620" width="4.42578125" style="73" customWidth="1"/>
    <col min="6621" max="6622" width="3" style="73" customWidth="1"/>
    <col min="6623" max="6628" width="3.28515625" style="73" customWidth="1"/>
    <col min="6629" max="6630" width="9.140625" style="73" customWidth="1"/>
    <col min="6631" max="6634" width="3.28515625" style="73" customWidth="1"/>
    <col min="6635" max="6635" width="4.140625" style="73" customWidth="1"/>
    <col min="6636" max="6636" width="1.7109375" style="73" customWidth="1"/>
    <col min="6637" max="6641" width="3.28515625" style="73" customWidth="1"/>
    <col min="6642" max="6642" width="1.7109375" style="73" customWidth="1"/>
    <col min="6643" max="6647" width="3.28515625" style="73" customWidth="1"/>
    <col min="6648" max="6653" width="9.140625" style="73" customWidth="1"/>
    <col min="6654" max="6654" width="1.7109375" style="73" customWidth="1"/>
    <col min="6655" max="6659" width="3.28515625" style="73" customWidth="1"/>
    <col min="6660" max="6660" width="1.7109375" style="73" customWidth="1"/>
    <col min="6661" max="6661" width="16.5703125" style="73" bestFit="1" customWidth="1"/>
    <col min="6662" max="6663" width="10.28515625" style="73" customWidth="1"/>
    <col min="6664" max="6664" width="18" style="73" bestFit="1" customWidth="1"/>
    <col min="6665" max="6849" width="9.140625" style="73"/>
    <col min="6850" max="6857" width="9.140625" style="73" customWidth="1"/>
    <col min="6858" max="6858" width="10.140625" style="73" customWidth="1"/>
    <col min="6859" max="6859" width="1" style="73" customWidth="1"/>
    <col min="6860" max="6862" width="3.28515625" style="73" customWidth="1"/>
    <col min="6863" max="6863" width="1.85546875" style="73" customWidth="1"/>
    <col min="6864" max="6864" width="17.85546875" style="73" customWidth="1"/>
    <col min="6865" max="6865" width="1.85546875" style="73" customWidth="1"/>
    <col min="6866" max="6868" width="3.28515625" style="73" customWidth="1"/>
    <col min="6869" max="6869" width="2.85546875" style="73" customWidth="1"/>
    <col min="6870" max="6870" width="1.85546875" style="73" customWidth="1"/>
    <col min="6871" max="6871" width="19.7109375" style="73" customWidth="1"/>
    <col min="6872" max="6872" width="1.85546875" style="73" customWidth="1"/>
    <col min="6873" max="6875" width="3" style="73" customWidth="1"/>
    <col min="6876" max="6876" width="4.42578125" style="73" customWidth="1"/>
    <col min="6877" max="6878" width="3" style="73" customWidth="1"/>
    <col min="6879" max="6884" width="3.28515625" style="73" customWidth="1"/>
    <col min="6885" max="6886" width="9.140625" style="73" customWidth="1"/>
    <col min="6887" max="6890" width="3.28515625" style="73" customWidth="1"/>
    <col min="6891" max="6891" width="4.140625" style="73" customWidth="1"/>
    <col min="6892" max="6892" width="1.7109375" style="73" customWidth="1"/>
    <col min="6893" max="6897" width="3.28515625" style="73" customWidth="1"/>
    <col min="6898" max="6898" width="1.7109375" style="73" customWidth="1"/>
    <col min="6899" max="6903" width="3.28515625" style="73" customWidth="1"/>
    <col min="6904" max="6909" width="9.140625" style="73" customWidth="1"/>
    <col min="6910" max="6910" width="1.7109375" style="73" customWidth="1"/>
    <col min="6911" max="6915" width="3.28515625" style="73" customWidth="1"/>
    <col min="6916" max="6916" width="1.7109375" style="73" customWidth="1"/>
    <col min="6917" max="6917" width="16.5703125" style="73" bestFit="1" customWidth="1"/>
    <col min="6918" max="6919" width="10.28515625" style="73" customWidth="1"/>
    <col min="6920" max="6920" width="18" style="73" bestFit="1" customWidth="1"/>
    <col min="6921" max="7105" width="9.140625" style="73"/>
    <col min="7106" max="7113" width="9.140625" style="73" customWidth="1"/>
    <col min="7114" max="7114" width="10.140625" style="73" customWidth="1"/>
    <col min="7115" max="7115" width="1" style="73" customWidth="1"/>
    <col min="7116" max="7118" width="3.28515625" style="73" customWidth="1"/>
    <col min="7119" max="7119" width="1.85546875" style="73" customWidth="1"/>
    <col min="7120" max="7120" width="17.85546875" style="73" customWidth="1"/>
    <col min="7121" max="7121" width="1.85546875" style="73" customWidth="1"/>
    <col min="7122" max="7124" width="3.28515625" style="73" customWidth="1"/>
    <col min="7125" max="7125" width="2.85546875" style="73" customWidth="1"/>
    <col min="7126" max="7126" width="1.85546875" style="73" customWidth="1"/>
    <col min="7127" max="7127" width="19.7109375" style="73" customWidth="1"/>
    <col min="7128" max="7128" width="1.85546875" style="73" customWidth="1"/>
    <col min="7129" max="7131" width="3" style="73" customWidth="1"/>
    <col min="7132" max="7132" width="4.42578125" style="73" customWidth="1"/>
    <col min="7133" max="7134" width="3" style="73" customWidth="1"/>
    <col min="7135" max="7140" width="3.28515625" style="73" customWidth="1"/>
    <col min="7141" max="7142" width="9.140625" style="73" customWidth="1"/>
    <col min="7143" max="7146" width="3.28515625" style="73" customWidth="1"/>
    <col min="7147" max="7147" width="4.140625" style="73" customWidth="1"/>
    <col min="7148" max="7148" width="1.7109375" style="73" customWidth="1"/>
    <col min="7149" max="7153" width="3.28515625" style="73" customWidth="1"/>
    <col min="7154" max="7154" width="1.7109375" style="73" customWidth="1"/>
    <col min="7155" max="7159" width="3.28515625" style="73" customWidth="1"/>
    <col min="7160" max="7165" width="9.140625" style="73" customWidth="1"/>
    <col min="7166" max="7166" width="1.7109375" style="73" customWidth="1"/>
    <col min="7167" max="7171" width="3.28515625" style="73" customWidth="1"/>
    <col min="7172" max="7172" width="1.7109375" style="73" customWidth="1"/>
    <col min="7173" max="7173" width="16.5703125" style="73" bestFit="1" customWidth="1"/>
    <col min="7174" max="7175" width="10.28515625" style="73" customWidth="1"/>
    <col min="7176" max="7176" width="18" style="73" bestFit="1" customWidth="1"/>
    <col min="7177" max="7361" width="9.140625" style="73"/>
    <col min="7362" max="7369" width="9.140625" style="73" customWidth="1"/>
    <col min="7370" max="7370" width="10.140625" style="73" customWidth="1"/>
    <col min="7371" max="7371" width="1" style="73" customWidth="1"/>
    <col min="7372" max="7374" width="3.28515625" style="73" customWidth="1"/>
    <col min="7375" max="7375" width="1.85546875" style="73" customWidth="1"/>
    <col min="7376" max="7376" width="17.85546875" style="73" customWidth="1"/>
    <col min="7377" max="7377" width="1.85546875" style="73" customWidth="1"/>
    <col min="7378" max="7380" width="3.28515625" style="73" customWidth="1"/>
    <col min="7381" max="7381" width="2.85546875" style="73" customWidth="1"/>
    <col min="7382" max="7382" width="1.85546875" style="73" customWidth="1"/>
    <col min="7383" max="7383" width="19.7109375" style="73" customWidth="1"/>
    <col min="7384" max="7384" width="1.85546875" style="73" customWidth="1"/>
    <col min="7385" max="7387" width="3" style="73" customWidth="1"/>
    <col min="7388" max="7388" width="4.42578125" style="73" customWidth="1"/>
    <col min="7389" max="7390" width="3" style="73" customWidth="1"/>
    <col min="7391" max="7396" width="3.28515625" style="73" customWidth="1"/>
    <col min="7397" max="7398" width="9.140625" style="73" customWidth="1"/>
    <col min="7399" max="7402" width="3.28515625" style="73" customWidth="1"/>
    <col min="7403" max="7403" width="4.140625" style="73" customWidth="1"/>
    <col min="7404" max="7404" width="1.7109375" style="73" customWidth="1"/>
    <col min="7405" max="7409" width="3.28515625" style="73" customWidth="1"/>
    <col min="7410" max="7410" width="1.7109375" style="73" customWidth="1"/>
    <col min="7411" max="7415" width="3.28515625" style="73" customWidth="1"/>
    <col min="7416" max="7421" width="9.140625" style="73" customWidth="1"/>
    <col min="7422" max="7422" width="1.7109375" style="73" customWidth="1"/>
    <col min="7423" max="7427" width="3.28515625" style="73" customWidth="1"/>
    <col min="7428" max="7428" width="1.7109375" style="73" customWidth="1"/>
    <col min="7429" max="7429" width="16.5703125" style="73" bestFit="1" customWidth="1"/>
    <col min="7430" max="7431" width="10.28515625" style="73" customWidth="1"/>
    <col min="7432" max="7432" width="18" style="73" bestFit="1" customWidth="1"/>
    <col min="7433" max="7617" width="9.140625" style="73"/>
    <col min="7618" max="7625" width="9.140625" style="73" customWidth="1"/>
    <col min="7626" max="7626" width="10.140625" style="73" customWidth="1"/>
    <col min="7627" max="7627" width="1" style="73" customWidth="1"/>
    <col min="7628" max="7630" width="3.28515625" style="73" customWidth="1"/>
    <col min="7631" max="7631" width="1.85546875" style="73" customWidth="1"/>
    <col min="7632" max="7632" width="17.85546875" style="73" customWidth="1"/>
    <col min="7633" max="7633" width="1.85546875" style="73" customWidth="1"/>
    <col min="7634" max="7636" width="3.28515625" style="73" customWidth="1"/>
    <col min="7637" max="7637" width="2.85546875" style="73" customWidth="1"/>
    <col min="7638" max="7638" width="1.85546875" style="73" customWidth="1"/>
    <col min="7639" max="7639" width="19.7109375" style="73" customWidth="1"/>
    <col min="7640" max="7640" width="1.85546875" style="73" customWidth="1"/>
    <col min="7641" max="7643" width="3" style="73" customWidth="1"/>
    <col min="7644" max="7644" width="4.42578125" style="73" customWidth="1"/>
    <col min="7645" max="7646" width="3" style="73" customWidth="1"/>
    <col min="7647" max="7652" width="3.28515625" style="73" customWidth="1"/>
    <col min="7653" max="7654" width="9.140625" style="73" customWidth="1"/>
    <col min="7655" max="7658" width="3.28515625" style="73" customWidth="1"/>
    <col min="7659" max="7659" width="4.140625" style="73" customWidth="1"/>
    <col min="7660" max="7660" width="1.7109375" style="73" customWidth="1"/>
    <col min="7661" max="7665" width="3.28515625" style="73" customWidth="1"/>
    <col min="7666" max="7666" width="1.7109375" style="73" customWidth="1"/>
    <col min="7667" max="7671" width="3.28515625" style="73" customWidth="1"/>
    <col min="7672" max="7677" width="9.140625" style="73" customWidth="1"/>
    <col min="7678" max="7678" width="1.7109375" style="73" customWidth="1"/>
    <col min="7679" max="7683" width="3.28515625" style="73" customWidth="1"/>
    <col min="7684" max="7684" width="1.7109375" style="73" customWidth="1"/>
    <col min="7685" max="7685" width="16.5703125" style="73" bestFit="1" customWidth="1"/>
    <col min="7686" max="7687" width="10.28515625" style="73" customWidth="1"/>
    <col min="7688" max="7688" width="18" style="73" bestFit="1" customWidth="1"/>
    <col min="7689" max="7873" width="9.140625" style="73"/>
    <col min="7874" max="7881" width="9.140625" style="73" customWidth="1"/>
    <col min="7882" max="7882" width="10.140625" style="73" customWidth="1"/>
    <col min="7883" max="7883" width="1" style="73" customWidth="1"/>
    <col min="7884" max="7886" width="3.28515625" style="73" customWidth="1"/>
    <col min="7887" max="7887" width="1.85546875" style="73" customWidth="1"/>
    <col min="7888" max="7888" width="17.85546875" style="73" customWidth="1"/>
    <col min="7889" max="7889" width="1.85546875" style="73" customWidth="1"/>
    <col min="7890" max="7892" width="3.28515625" style="73" customWidth="1"/>
    <col min="7893" max="7893" width="2.85546875" style="73" customWidth="1"/>
    <col min="7894" max="7894" width="1.85546875" style="73" customWidth="1"/>
    <col min="7895" max="7895" width="19.7109375" style="73" customWidth="1"/>
    <col min="7896" max="7896" width="1.85546875" style="73" customWidth="1"/>
    <col min="7897" max="7899" width="3" style="73" customWidth="1"/>
    <col min="7900" max="7900" width="4.42578125" style="73" customWidth="1"/>
    <col min="7901" max="7902" width="3" style="73" customWidth="1"/>
    <col min="7903" max="7908" width="3.28515625" style="73" customWidth="1"/>
    <col min="7909" max="7910" width="9.140625" style="73" customWidth="1"/>
    <col min="7911" max="7914" width="3.28515625" style="73" customWidth="1"/>
    <col min="7915" max="7915" width="4.140625" style="73" customWidth="1"/>
    <col min="7916" max="7916" width="1.7109375" style="73" customWidth="1"/>
    <col min="7917" max="7921" width="3.28515625" style="73" customWidth="1"/>
    <col min="7922" max="7922" width="1.7109375" style="73" customWidth="1"/>
    <col min="7923" max="7927" width="3.28515625" style="73" customWidth="1"/>
    <col min="7928" max="7933" width="9.140625" style="73" customWidth="1"/>
    <col min="7934" max="7934" width="1.7109375" style="73" customWidth="1"/>
    <col min="7935" max="7939" width="3.28515625" style="73" customWidth="1"/>
    <col min="7940" max="7940" width="1.7109375" style="73" customWidth="1"/>
    <col min="7941" max="7941" width="16.5703125" style="73" bestFit="1" customWidth="1"/>
    <col min="7942" max="7943" width="10.28515625" style="73" customWidth="1"/>
    <col min="7944" max="7944" width="18" style="73" bestFit="1" customWidth="1"/>
    <col min="7945" max="8129" width="9.140625" style="73"/>
    <col min="8130" max="8137" width="9.140625" style="73" customWidth="1"/>
    <col min="8138" max="8138" width="10.140625" style="73" customWidth="1"/>
    <col min="8139" max="8139" width="1" style="73" customWidth="1"/>
    <col min="8140" max="8142" width="3.28515625" style="73" customWidth="1"/>
    <col min="8143" max="8143" width="1.85546875" style="73" customWidth="1"/>
    <col min="8144" max="8144" width="17.85546875" style="73" customWidth="1"/>
    <col min="8145" max="8145" width="1.85546875" style="73" customWidth="1"/>
    <col min="8146" max="8148" width="3.28515625" style="73" customWidth="1"/>
    <col min="8149" max="8149" width="2.85546875" style="73" customWidth="1"/>
    <col min="8150" max="8150" width="1.85546875" style="73" customWidth="1"/>
    <col min="8151" max="8151" width="19.7109375" style="73" customWidth="1"/>
    <col min="8152" max="8152" width="1.85546875" style="73" customWidth="1"/>
    <col min="8153" max="8155" width="3" style="73" customWidth="1"/>
    <col min="8156" max="8156" width="4.42578125" style="73" customWidth="1"/>
    <col min="8157" max="8158" width="3" style="73" customWidth="1"/>
    <col min="8159" max="8164" width="3.28515625" style="73" customWidth="1"/>
    <col min="8165" max="8166" width="9.140625" style="73" customWidth="1"/>
    <col min="8167" max="8170" width="3.28515625" style="73" customWidth="1"/>
    <col min="8171" max="8171" width="4.140625" style="73" customWidth="1"/>
    <col min="8172" max="8172" width="1.7109375" style="73" customWidth="1"/>
    <col min="8173" max="8177" width="3.28515625" style="73" customWidth="1"/>
    <col min="8178" max="8178" width="1.7109375" style="73" customWidth="1"/>
    <col min="8179" max="8183" width="3.28515625" style="73" customWidth="1"/>
    <col min="8184" max="8189" width="9.140625" style="73" customWidth="1"/>
    <col min="8190" max="8190" width="1.7109375" style="73" customWidth="1"/>
    <col min="8191" max="8195" width="3.28515625" style="73" customWidth="1"/>
    <col min="8196" max="8196" width="1.7109375" style="73" customWidth="1"/>
    <col min="8197" max="8197" width="16.5703125" style="73" bestFit="1" customWidth="1"/>
    <col min="8198" max="8199" width="10.28515625" style="73" customWidth="1"/>
    <col min="8200" max="8200" width="18" style="73" bestFit="1" customWidth="1"/>
    <col min="8201" max="8385" width="9.140625" style="73"/>
    <col min="8386" max="8393" width="9.140625" style="73" customWidth="1"/>
    <col min="8394" max="8394" width="10.140625" style="73" customWidth="1"/>
    <col min="8395" max="8395" width="1" style="73" customWidth="1"/>
    <col min="8396" max="8398" width="3.28515625" style="73" customWidth="1"/>
    <col min="8399" max="8399" width="1.85546875" style="73" customWidth="1"/>
    <col min="8400" max="8400" width="17.85546875" style="73" customWidth="1"/>
    <col min="8401" max="8401" width="1.85546875" style="73" customWidth="1"/>
    <col min="8402" max="8404" width="3.28515625" style="73" customWidth="1"/>
    <col min="8405" max="8405" width="2.85546875" style="73" customWidth="1"/>
    <col min="8406" max="8406" width="1.85546875" style="73" customWidth="1"/>
    <col min="8407" max="8407" width="19.7109375" style="73" customWidth="1"/>
    <col min="8408" max="8408" width="1.85546875" style="73" customWidth="1"/>
    <col min="8409" max="8411" width="3" style="73" customWidth="1"/>
    <col min="8412" max="8412" width="4.42578125" style="73" customWidth="1"/>
    <col min="8413" max="8414" width="3" style="73" customWidth="1"/>
    <col min="8415" max="8420" width="3.28515625" style="73" customWidth="1"/>
    <col min="8421" max="8422" width="9.140625" style="73" customWidth="1"/>
    <col min="8423" max="8426" width="3.28515625" style="73" customWidth="1"/>
    <col min="8427" max="8427" width="4.140625" style="73" customWidth="1"/>
    <col min="8428" max="8428" width="1.7109375" style="73" customWidth="1"/>
    <col min="8429" max="8433" width="3.28515625" style="73" customWidth="1"/>
    <col min="8434" max="8434" width="1.7109375" style="73" customWidth="1"/>
    <col min="8435" max="8439" width="3.28515625" style="73" customWidth="1"/>
    <col min="8440" max="8445" width="9.140625" style="73" customWidth="1"/>
    <col min="8446" max="8446" width="1.7109375" style="73" customWidth="1"/>
    <col min="8447" max="8451" width="3.28515625" style="73" customWidth="1"/>
    <col min="8452" max="8452" width="1.7109375" style="73" customWidth="1"/>
    <col min="8453" max="8453" width="16.5703125" style="73" bestFit="1" customWidth="1"/>
    <col min="8454" max="8455" width="10.28515625" style="73" customWidth="1"/>
    <col min="8456" max="8456" width="18" style="73" bestFit="1" customWidth="1"/>
    <col min="8457" max="8641" width="9.140625" style="73"/>
    <col min="8642" max="8649" width="9.140625" style="73" customWidth="1"/>
    <col min="8650" max="8650" width="10.140625" style="73" customWidth="1"/>
    <col min="8651" max="8651" width="1" style="73" customWidth="1"/>
    <col min="8652" max="8654" width="3.28515625" style="73" customWidth="1"/>
    <col min="8655" max="8655" width="1.85546875" style="73" customWidth="1"/>
    <col min="8656" max="8656" width="17.85546875" style="73" customWidth="1"/>
    <col min="8657" max="8657" width="1.85546875" style="73" customWidth="1"/>
    <col min="8658" max="8660" width="3.28515625" style="73" customWidth="1"/>
    <col min="8661" max="8661" width="2.85546875" style="73" customWidth="1"/>
    <col min="8662" max="8662" width="1.85546875" style="73" customWidth="1"/>
    <col min="8663" max="8663" width="19.7109375" style="73" customWidth="1"/>
    <col min="8664" max="8664" width="1.85546875" style="73" customWidth="1"/>
    <col min="8665" max="8667" width="3" style="73" customWidth="1"/>
    <col min="8668" max="8668" width="4.42578125" style="73" customWidth="1"/>
    <col min="8669" max="8670" width="3" style="73" customWidth="1"/>
    <col min="8671" max="8676" width="3.28515625" style="73" customWidth="1"/>
    <col min="8677" max="8678" width="9.140625" style="73" customWidth="1"/>
    <col min="8679" max="8682" width="3.28515625" style="73" customWidth="1"/>
    <col min="8683" max="8683" width="4.140625" style="73" customWidth="1"/>
    <col min="8684" max="8684" width="1.7109375" style="73" customWidth="1"/>
    <col min="8685" max="8689" width="3.28515625" style="73" customWidth="1"/>
    <col min="8690" max="8690" width="1.7109375" style="73" customWidth="1"/>
    <col min="8691" max="8695" width="3.28515625" style="73" customWidth="1"/>
    <col min="8696" max="8701" width="9.140625" style="73" customWidth="1"/>
    <col min="8702" max="8702" width="1.7109375" style="73" customWidth="1"/>
    <col min="8703" max="8707" width="3.28515625" style="73" customWidth="1"/>
    <col min="8708" max="8708" width="1.7109375" style="73" customWidth="1"/>
    <col min="8709" max="8709" width="16.5703125" style="73" bestFit="1" customWidth="1"/>
    <col min="8710" max="8711" width="10.28515625" style="73" customWidth="1"/>
    <col min="8712" max="8712" width="18" style="73" bestFit="1" customWidth="1"/>
    <col min="8713" max="8897" width="9.140625" style="73"/>
    <col min="8898" max="8905" width="9.140625" style="73" customWidth="1"/>
    <col min="8906" max="8906" width="10.140625" style="73" customWidth="1"/>
    <col min="8907" max="8907" width="1" style="73" customWidth="1"/>
    <col min="8908" max="8910" width="3.28515625" style="73" customWidth="1"/>
    <col min="8911" max="8911" width="1.85546875" style="73" customWidth="1"/>
    <col min="8912" max="8912" width="17.85546875" style="73" customWidth="1"/>
    <col min="8913" max="8913" width="1.85546875" style="73" customWidth="1"/>
    <col min="8914" max="8916" width="3.28515625" style="73" customWidth="1"/>
    <col min="8917" max="8917" width="2.85546875" style="73" customWidth="1"/>
    <col min="8918" max="8918" width="1.85546875" style="73" customWidth="1"/>
    <col min="8919" max="8919" width="19.7109375" style="73" customWidth="1"/>
    <col min="8920" max="8920" width="1.85546875" style="73" customWidth="1"/>
    <col min="8921" max="8923" width="3" style="73" customWidth="1"/>
    <col min="8924" max="8924" width="4.42578125" style="73" customWidth="1"/>
    <col min="8925" max="8926" width="3" style="73" customWidth="1"/>
    <col min="8927" max="8932" width="3.28515625" style="73" customWidth="1"/>
    <col min="8933" max="8934" width="9.140625" style="73" customWidth="1"/>
    <col min="8935" max="8938" width="3.28515625" style="73" customWidth="1"/>
    <col min="8939" max="8939" width="4.140625" style="73" customWidth="1"/>
    <col min="8940" max="8940" width="1.7109375" style="73" customWidth="1"/>
    <col min="8941" max="8945" width="3.28515625" style="73" customWidth="1"/>
    <col min="8946" max="8946" width="1.7109375" style="73" customWidth="1"/>
    <col min="8947" max="8951" width="3.28515625" style="73" customWidth="1"/>
    <col min="8952" max="8957" width="9.140625" style="73" customWidth="1"/>
    <col min="8958" max="8958" width="1.7109375" style="73" customWidth="1"/>
    <col min="8959" max="8963" width="3.28515625" style="73" customWidth="1"/>
    <col min="8964" max="8964" width="1.7109375" style="73" customWidth="1"/>
    <col min="8965" max="8965" width="16.5703125" style="73" bestFit="1" customWidth="1"/>
    <col min="8966" max="8967" width="10.28515625" style="73" customWidth="1"/>
    <col min="8968" max="8968" width="18" style="73" bestFit="1" customWidth="1"/>
    <col min="8969" max="9153" width="9.140625" style="73"/>
    <col min="9154" max="9161" width="9.140625" style="73" customWidth="1"/>
    <col min="9162" max="9162" width="10.140625" style="73" customWidth="1"/>
    <col min="9163" max="9163" width="1" style="73" customWidth="1"/>
    <col min="9164" max="9166" width="3.28515625" style="73" customWidth="1"/>
    <col min="9167" max="9167" width="1.85546875" style="73" customWidth="1"/>
    <col min="9168" max="9168" width="17.85546875" style="73" customWidth="1"/>
    <col min="9169" max="9169" width="1.85546875" style="73" customWidth="1"/>
    <col min="9170" max="9172" width="3.28515625" style="73" customWidth="1"/>
    <col min="9173" max="9173" width="2.85546875" style="73" customWidth="1"/>
    <col min="9174" max="9174" width="1.85546875" style="73" customWidth="1"/>
    <col min="9175" max="9175" width="19.7109375" style="73" customWidth="1"/>
    <col min="9176" max="9176" width="1.85546875" style="73" customWidth="1"/>
    <col min="9177" max="9179" width="3" style="73" customWidth="1"/>
    <col min="9180" max="9180" width="4.42578125" style="73" customWidth="1"/>
    <col min="9181" max="9182" width="3" style="73" customWidth="1"/>
    <col min="9183" max="9188" width="3.28515625" style="73" customWidth="1"/>
    <col min="9189" max="9190" width="9.140625" style="73" customWidth="1"/>
    <col min="9191" max="9194" width="3.28515625" style="73" customWidth="1"/>
    <col min="9195" max="9195" width="4.140625" style="73" customWidth="1"/>
    <col min="9196" max="9196" width="1.7109375" style="73" customWidth="1"/>
    <col min="9197" max="9201" width="3.28515625" style="73" customWidth="1"/>
    <col min="9202" max="9202" width="1.7109375" style="73" customWidth="1"/>
    <col min="9203" max="9207" width="3.28515625" style="73" customWidth="1"/>
    <col min="9208" max="9213" width="9.140625" style="73" customWidth="1"/>
    <col min="9214" max="9214" width="1.7109375" style="73" customWidth="1"/>
    <col min="9215" max="9219" width="3.28515625" style="73" customWidth="1"/>
    <col min="9220" max="9220" width="1.7109375" style="73" customWidth="1"/>
    <col min="9221" max="9221" width="16.5703125" style="73" bestFit="1" customWidth="1"/>
    <col min="9222" max="9223" width="10.28515625" style="73" customWidth="1"/>
    <col min="9224" max="9224" width="18" style="73" bestFit="1" customWidth="1"/>
    <col min="9225" max="9409" width="9.140625" style="73"/>
    <col min="9410" max="9417" width="9.140625" style="73" customWidth="1"/>
    <col min="9418" max="9418" width="10.140625" style="73" customWidth="1"/>
    <col min="9419" max="9419" width="1" style="73" customWidth="1"/>
    <col min="9420" max="9422" width="3.28515625" style="73" customWidth="1"/>
    <col min="9423" max="9423" width="1.85546875" style="73" customWidth="1"/>
    <col min="9424" max="9424" width="17.85546875" style="73" customWidth="1"/>
    <col min="9425" max="9425" width="1.85546875" style="73" customWidth="1"/>
    <col min="9426" max="9428" width="3.28515625" style="73" customWidth="1"/>
    <col min="9429" max="9429" width="2.85546875" style="73" customWidth="1"/>
    <col min="9430" max="9430" width="1.85546875" style="73" customWidth="1"/>
    <col min="9431" max="9431" width="19.7109375" style="73" customWidth="1"/>
    <col min="9432" max="9432" width="1.85546875" style="73" customWidth="1"/>
    <col min="9433" max="9435" width="3" style="73" customWidth="1"/>
    <col min="9436" max="9436" width="4.42578125" style="73" customWidth="1"/>
    <col min="9437" max="9438" width="3" style="73" customWidth="1"/>
    <col min="9439" max="9444" width="3.28515625" style="73" customWidth="1"/>
    <col min="9445" max="9446" width="9.140625" style="73" customWidth="1"/>
    <col min="9447" max="9450" width="3.28515625" style="73" customWidth="1"/>
    <col min="9451" max="9451" width="4.140625" style="73" customWidth="1"/>
    <col min="9452" max="9452" width="1.7109375" style="73" customWidth="1"/>
    <col min="9453" max="9457" width="3.28515625" style="73" customWidth="1"/>
    <col min="9458" max="9458" width="1.7109375" style="73" customWidth="1"/>
    <col min="9459" max="9463" width="3.28515625" style="73" customWidth="1"/>
    <col min="9464" max="9469" width="9.140625" style="73" customWidth="1"/>
    <col min="9470" max="9470" width="1.7109375" style="73" customWidth="1"/>
    <col min="9471" max="9475" width="3.28515625" style="73" customWidth="1"/>
    <col min="9476" max="9476" width="1.7109375" style="73" customWidth="1"/>
    <col min="9477" max="9477" width="16.5703125" style="73" bestFit="1" customWidth="1"/>
    <col min="9478" max="9479" width="10.28515625" style="73" customWidth="1"/>
    <col min="9480" max="9480" width="18" style="73" bestFit="1" customWidth="1"/>
    <col min="9481" max="9665" width="9.140625" style="73"/>
    <col min="9666" max="9673" width="9.140625" style="73" customWidth="1"/>
    <col min="9674" max="9674" width="10.140625" style="73" customWidth="1"/>
    <col min="9675" max="9675" width="1" style="73" customWidth="1"/>
    <col min="9676" max="9678" width="3.28515625" style="73" customWidth="1"/>
    <col min="9679" max="9679" width="1.85546875" style="73" customWidth="1"/>
    <col min="9680" max="9680" width="17.85546875" style="73" customWidth="1"/>
    <col min="9681" max="9681" width="1.85546875" style="73" customWidth="1"/>
    <col min="9682" max="9684" width="3.28515625" style="73" customWidth="1"/>
    <col min="9685" max="9685" width="2.85546875" style="73" customWidth="1"/>
    <col min="9686" max="9686" width="1.85546875" style="73" customWidth="1"/>
    <col min="9687" max="9687" width="19.7109375" style="73" customWidth="1"/>
    <col min="9688" max="9688" width="1.85546875" style="73" customWidth="1"/>
    <col min="9689" max="9691" width="3" style="73" customWidth="1"/>
    <col min="9692" max="9692" width="4.42578125" style="73" customWidth="1"/>
    <col min="9693" max="9694" width="3" style="73" customWidth="1"/>
    <col min="9695" max="9700" width="3.28515625" style="73" customWidth="1"/>
    <col min="9701" max="9702" width="9.140625" style="73" customWidth="1"/>
    <col min="9703" max="9706" width="3.28515625" style="73" customWidth="1"/>
    <col min="9707" max="9707" width="4.140625" style="73" customWidth="1"/>
    <col min="9708" max="9708" width="1.7109375" style="73" customWidth="1"/>
    <col min="9709" max="9713" width="3.28515625" style="73" customWidth="1"/>
    <col min="9714" max="9714" width="1.7109375" style="73" customWidth="1"/>
    <col min="9715" max="9719" width="3.28515625" style="73" customWidth="1"/>
    <col min="9720" max="9725" width="9.140625" style="73" customWidth="1"/>
    <col min="9726" max="9726" width="1.7109375" style="73" customWidth="1"/>
    <col min="9727" max="9731" width="3.28515625" style="73" customWidth="1"/>
    <col min="9732" max="9732" width="1.7109375" style="73" customWidth="1"/>
    <col min="9733" max="9733" width="16.5703125" style="73" bestFit="1" customWidth="1"/>
    <col min="9734" max="9735" width="10.28515625" style="73" customWidth="1"/>
    <col min="9736" max="9736" width="18" style="73" bestFit="1" customWidth="1"/>
    <col min="9737" max="9921" width="9.140625" style="73"/>
    <col min="9922" max="9929" width="9.140625" style="73" customWidth="1"/>
    <col min="9930" max="9930" width="10.140625" style="73" customWidth="1"/>
    <col min="9931" max="9931" width="1" style="73" customWidth="1"/>
    <col min="9932" max="9934" width="3.28515625" style="73" customWidth="1"/>
    <col min="9935" max="9935" width="1.85546875" style="73" customWidth="1"/>
    <col min="9936" max="9936" width="17.85546875" style="73" customWidth="1"/>
    <col min="9937" max="9937" width="1.85546875" style="73" customWidth="1"/>
    <col min="9938" max="9940" width="3.28515625" style="73" customWidth="1"/>
    <col min="9941" max="9941" width="2.85546875" style="73" customWidth="1"/>
    <col min="9942" max="9942" width="1.85546875" style="73" customWidth="1"/>
    <col min="9943" max="9943" width="19.7109375" style="73" customWidth="1"/>
    <col min="9944" max="9944" width="1.85546875" style="73" customWidth="1"/>
    <col min="9945" max="9947" width="3" style="73" customWidth="1"/>
    <col min="9948" max="9948" width="4.42578125" style="73" customWidth="1"/>
    <col min="9949" max="9950" width="3" style="73" customWidth="1"/>
    <col min="9951" max="9956" width="3.28515625" style="73" customWidth="1"/>
    <col min="9957" max="9958" width="9.140625" style="73" customWidth="1"/>
    <col min="9959" max="9962" width="3.28515625" style="73" customWidth="1"/>
    <col min="9963" max="9963" width="4.140625" style="73" customWidth="1"/>
    <col min="9964" max="9964" width="1.7109375" style="73" customWidth="1"/>
    <col min="9965" max="9969" width="3.28515625" style="73" customWidth="1"/>
    <col min="9970" max="9970" width="1.7109375" style="73" customWidth="1"/>
    <col min="9971" max="9975" width="3.28515625" style="73" customWidth="1"/>
    <col min="9976" max="9981" width="9.140625" style="73" customWidth="1"/>
    <col min="9982" max="9982" width="1.7109375" style="73" customWidth="1"/>
    <col min="9983" max="9987" width="3.28515625" style="73" customWidth="1"/>
    <col min="9988" max="9988" width="1.7109375" style="73" customWidth="1"/>
    <col min="9989" max="9989" width="16.5703125" style="73" bestFit="1" customWidth="1"/>
    <col min="9990" max="9991" width="10.28515625" style="73" customWidth="1"/>
    <col min="9992" max="9992" width="18" style="73" bestFit="1" customWidth="1"/>
    <col min="9993" max="10177" width="9.140625" style="73"/>
    <col min="10178" max="10185" width="9.140625" style="73" customWidth="1"/>
    <col min="10186" max="10186" width="10.140625" style="73" customWidth="1"/>
    <col min="10187" max="10187" width="1" style="73" customWidth="1"/>
    <col min="10188" max="10190" width="3.28515625" style="73" customWidth="1"/>
    <col min="10191" max="10191" width="1.85546875" style="73" customWidth="1"/>
    <col min="10192" max="10192" width="17.85546875" style="73" customWidth="1"/>
    <col min="10193" max="10193" width="1.85546875" style="73" customWidth="1"/>
    <col min="10194" max="10196" width="3.28515625" style="73" customWidth="1"/>
    <col min="10197" max="10197" width="2.85546875" style="73" customWidth="1"/>
    <col min="10198" max="10198" width="1.85546875" style="73" customWidth="1"/>
    <col min="10199" max="10199" width="19.7109375" style="73" customWidth="1"/>
    <col min="10200" max="10200" width="1.85546875" style="73" customWidth="1"/>
    <col min="10201" max="10203" width="3" style="73" customWidth="1"/>
    <col min="10204" max="10204" width="4.42578125" style="73" customWidth="1"/>
    <col min="10205" max="10206" width="3" style="73" customWidth="1"/>
    <col min="10207" max="10212" width="3.28515625" style="73" customWidth="1"/>
    <col min="10213" max="10214" width="9.140625" style="73" customWidth="1"/>
    <col min="10215" max="10218" width="3.28515625" style="73" customWidth="1"/>
    <col min="10219" max="10219" width="4.140625" style="73" customWidth="1"/>
    <col min="10220" max="10220" width="1.7109375" style="73" customWidth="1"/>
    <col min="10221" max="10225" width="3.28515625" style="73" customWidth="1"/>
    <col min="10226" max="10226" width="1.7109375" style="73" customWidth="1"/>
    <col min="10227" max="10231" width="3.28515625" style="73" customWidth="1"/>
    <col min="10232" max="10237" width="9.140625" style="73" customWidth="1"/>
    <col min="10238" max="10238" width="1.7109375" style="73" customWidth="1"/>
    <col min="10239" max="10243" width="3.28515625" style="73" customWidth="1"/>
    <col min="10244" max="10244" width="1.7109375" style="73" customWidth="1"/>
    <col min="10245" max="10245" width="16.5703125" style="73" bestFit="1" customWidth="1"/>
    <col min="10246" max="10247" width="10.28515625" style="73" customWidth="1"/>
    <col min="10248" max="10248" width="18" style="73" bestFit="1" customWidth="1"/>
    <col min="10249" max="10433" width="9.140625" style="73"/>
    <col min="10434" max="10441" width="9.140625" style="73" customWidth="1"/>
    <col min="10442" max="10442" width="10.140625" style="73" customWidth="1"/>
    <col min="10443" max="10443" width="1" style="73" customWidth="1"/>
    <col min="10444" max="10446" width="3.28515625" style="73" customWidth="1"/>
    <col min="10447" max="10447" width="1.85546875" style="73" customWidth="1"/>
    <col min="10448" max="10448" width="17.85546875" style="73" customWidth="1"/>
    <col min="10449" max="10449" width="1.85546875" style="73" customWidth="1"/>
    <col min="10450" max="10452" width="3.28515625" style="73" customWidth="1"/>
    <col min="10453" max="10453" width="2.85546875" style="73" customWidth="1"/>
    <col min="10454" max="10454" width="1.85546875" style="73" customWidth="1"/>
    <col min="10455" max="10455" width="19.7109375" style="73" customWidth="1"/>
    <col min="10456" max="10456" width="1.85546875" style="73" customWidth="1"/>
    <col min="10457" max="10459" width="3" style="73" customWidth="1"/>
    <col min="10460" max="10460" width="4.42578125" style="73" customWidth="1"/>
    <col min="10461" max="10462" width="3" style="73" customWidth="1"/>
    <col min="10463" max="10468" width="3.28515625" style="73" customWidth="1"/>
    <col min="10469" max="10470" width="9.140625" style="73" customWidth="1"/>
    <col min="10471" max="10474" width="3.28515625" style="73" customWidth="1"/>
    <col min="10475" max="10475" width="4.140625" style="73" customWidth="1"/>
    <col min="10476" max="10476" width="1.7109375" style="73" customWidth="1"/>
    <col min="10477" max="10481" width="3.28515625" style="73" customWidth="1"/>
    <col min="10482" max="10482" width="1.7109375" style="73" customWidth="1"/>
    <col min="10483" max="10487" width="3.28515625" style="73" customWidth="1"/>
    <col min="10488" max="10493" width="9.140625" style="73" customWidth="1"/>
    <col min="10494" max="10494" width="1.7109375" style="73" customWidth="1"/>
    <col min="10495" max="10499" width="3.28515625" style="73" customWidth="1"/>
    <col min="10500" max="10500" width="1.7109375" style="73" customWidth="1"/>
    <col min="10501" max="10501" width="16.5703125" style="73" bestFit="1" customWidth="1"/>
    <col min="10502" max="10503" width="10.28515625" style="73" customWidth="1"/>
    <col min="10504" max="10504" width="18" style="73" bestFit="1" customWidth="1"/>
    <col min="10505" max="10689" width="9.140625" style="73"/>
    <col min="10690" max="10697" width="9.140625" style="73" customWidth="1"/>
    <col min="10698" max="10698" width="10.140625" style="73" customWidth="1"/>
    <col min="10699" max="10699" width="1" style="73" customWidth="1"/>
    <col min="10700" max="10702" width="3.28515625" style="73" customWidth="1"/>
    <col min="10703" max="10703" width="1.85546875" style="73" customWidth="1"/>
    <col min="10704" max="10704" width="17.85546875" style="73" customWidth="1"/>
    <col min="10705" max="10705" width="1.85546875" style="73" customWidth="1"/>
    <col min="10706" max="10708" width="3.28515625" style="73" customWidth="1"/>
    <col min="10709" max="10709" width="2.85546875" style="73" customWidth="1"/>
    <col min="10710" max="10710" width="1.85546875" style="73" customWidth="1"/>
    <col min="10711" max="10711" width="19.7109375" style="73" customWidth="1"/>
    <col min="10712" max="10712" width="1.85546875" style="73" customWidth="1"/>
    <col min="10713" max="10715" width="3" style="73" customWidth="1"/>
    <col min="10716" max="10716" width="4.42578125" style="73" customWidth="1"/>
    <col min="10717" max="10718" width="3" style="73" customWidth="1"/>
    <col min="10719" max="10724" width="3.28515625" style="73" customWidth="1"/>
    <col min="10725" max="10726" width="9.140625" style="73" customWidth="1"/>
    <col min="10727" max="10730" width="3.28515625" style="73" customWidth="1"/>
    <col min="10731" max="10731" width="4.140625" style="73" customWidth="1"/>
    <col min="10732" max="10732" width="1.7109375" style="73" customWidth="1"/>
    <col min="10733" max="10737" width="3.28515625" style="73" customWidth="1"/>
    <col min="10738" max="10738" width="1.7109375" style="73" customWidth="1"/>
    <col min="10739" max="10743" width="3.28515625" style="73" customWidth="1"/>
    <col min="10744" max="10749" width="9.140625" style="73" customWidth="1"/>
    <col min="10750" max="10750" width="1.7109375" style="73" customWidth="1"/>
    <col min="10751" max="10755" width="3.28515625" style="73" customWidth="1"/>
    <col min="10756" max="10756" width="1.7109375" style="73" customWidth="1"/>
    <col min="10757" max="10757" width="16.5703125" style="73" bestFit="1" customWidth="1"/>
    <col min="10758" max="10759" width="10.28515625" style="73" customWidth="1"/>
    <col min="10760" max="10760" width="18" style="73" bestFit="1" customWidth="1"/>
    <col min="10761" max="10945" width="9.140625" style="73"/>
    <col min="10946" max="10953" width="9.140625" style="73" customWidth="1"/>
    <col min="10954" max="10954" width="10.140625" style="73" customWidth="1"/>
    <col min="10955" max="10955" width="1" style="73" customWidth="1"/>
    <col min="10956" max="10958" width="3.28515625" style="73" customWidth="1"/>
    <col min="10959" max="10959" width="1.85546875" style="73" customWidth="1"/>
    <col min="10960" max="10960" width="17.85546875" style="73" customWidth="1"/>
    <col min="10961" max="10961" width="1.85546875" style="73" customWidth="1"/>
    <col min="10962" max="10964" width="3.28515625" style="73" customWidth="1"/>
    <col min="10965" max="10965" width="2.85546875" style="73" customWidth="1"/>
    <col min="10966" max="10966" width="1.85546875" style="73" customWidth="1"/>
    <col min="10967" max="10967" width="19.7109375" style="73" customWidth="1"/>
    <col min="10968" max="10968" width="1.85546875" style="73" customWidth="1"/>
    <col min="10969" max="10971" width="3" style="73" customWidth="1"/>
    <col min="10972" max="10972" width="4.42578125" style="73" customWidth="1"/>
    <col min="10973" max="10974" width="3" style="73" customWidth="1"/>
    <col min="10975" max="10980" width="3.28515625" style="73" customWidth="1"/>
    <col min="10981" max="10982" width="9.140625" style="73" customWidth="1"/>
    <col min="10983" max="10986" width="3.28515625" style="73" customWidth="1"/>
    <col min="10987" max="10987" width="4.140625" style="73" customWidth="1"/>
    <col min="10988" max="10988" width="1.7109375" style="73" customWidth="1"/>
    <col min="10989" max="10993" width="3.28515625" style="73" customWidth="1"/>
    <col min="10994" max="10994" width="1.7109375" style="73" customWidth="1"/>
    <col min="10995" max="10999" width="3.28515625" style="73" customWidth="1"/>
    <col min="11000" max="11005" width="9.140625" style="73" customWidth="1"/>
    <col min="11006" max="11006" width="1.7109375" style="73" customWidth="1"/>
    <col min="11007" max="11011" width="3.28515625" style="73" customWidth="1"/>
    <col min="11012" max="11012" width="1.7109375" style="73" customWidth="1"/>
    <col min="11013" max="11013" width="16.5703125" style="73" bestFit="1" customWidth="1"/>
    <col min="11014" max="11015" width="10.28515625" style="73" customWidth="1"/>
    <col min="11016" max="11016" width="18" style="73" bestFit="1" customWidth="1"/>
    <col min="11017" max="11201" width="9.140625" style="73"/>
    <col min="11202" max="11209" width="9.140625" style="73" customWidth="1"/>
    <col min="11210" max="11210" width="10.140625" style="73" customWidth="1"/>
    <col min="11211" max="11211" width="1" style="73" customWidth="1"/>
    <col min="11212" max="11214" width="3.28515625" style="73" customWidth="1"/>
    <col min="11215" max="11215" width="1.85546875" style="73" customWidth="1"/>
    <col min="11216" max="11216" width="17.85546875" style="73" customWidth="1"/>
    <col min="11217" max="11217" width="1.85546875" style="73" customWidth="1"/>
    <col min="11218" max="11220" width="3.28515625" style="73" customWidth="1"/>
    <col min="11221" max="11221" width="2.85546875" style="73" customWidth="1"/>
    <col min="11222" max="11222" width="1.85546875" style="73" customWidth="1"/>
    <col min="11223" max="11223" width="19.7109375" style="73" customWidth="1"/>
    <col min="11224" max="11224" width="1.85546875" style="73" customWidth="1"/>
    <col min="11225" max="11227" width="3" style="73" customWidth="1"/>
    <col min="11228" max="11228" width="4.42578125" style="73" customWidth="1"/>
    <col min="11229" max="11230" width="3" style="73" customWidth="1"/>
    <col min="11231" max="11236" width="3.28515625" style="73" customWidth="1"/>
    <col min="11237" max="11238" width="9.140625" style="73" customWidth="1"/>
    <col min="11239" max="11242" width="3.28515625" style="73" customWidth="1"/>
    <col min="11243" max="11243" width="4.140625" style="73" customWidth="1"/>
    <col min="11244" max="11244" width="1.7109375" style="73" customWidth="1"/>
    <col min="11245" max="11249" width="3.28515625" style="73" customWidth="1"/>
    <col min="11250" max="11250" width="1.7109375" style="73" customWidth="1"/>
    <col min="11251" max="11255" width="3.28515625" style="73" customWidth="1"/>
    <col min="11256" max="11261" width="9.140625" style="73" customWidth="1"/>
    <col min="11262" max="11262" width="1.7109375" style="73" customWidth="1"/>
    <col min="11263" max="11267" width="3.28515625" style="73" customWidth="1"/>
    <col min="11268" max="11268" width="1.7109375" style="73" customWidth="1"/>
    <col min="11269" max="11269" width="16.5703125" style="73" bestFit="1" customWidth="1"/>
    <col min="11270" max="11271" width="10.28515625" style="73" customWidth="1"/>
    <col min="11272" max="11272" width="18" style="73" bestFit="1" customWidth="1"/>
    <col min="11273" max="11457" width="9.140625" style="73"/>
    <col min="11458" max="11465" width="9.140625" style="73" customWidth="1"/>
    <col min="11466" max="11466" width="10.140625" style="73" customWidth="1"/>
    <col min="11467" max="11467" width="1" style="73" customWidth="1"/>
    <col min="11468" max="11470" width="3.28515625" style="73" customWidth="1"/>
    <col min="11471" max="11471" width="1.85546875" style="73" customWidth="1"/>
    <col min="11472" max="11472" width="17.85546875" style="73" customWidth="1"/>
    <col min="11473" max="11473" width="1.85546875" style="73" customWidth="1"/>
    <col min="11474" max="11476" width="3.28515625" style="73" customWidth="1"/>
    <col min="11477" max="11477" width="2.85546875" style="73" customWidth="1"/>
    <col min="11478" max="11478" width="1.85546875" style="73" customWidth="1"/>
    <col min="11479" max="11479" width="19.7109375" style="73" customWidth="1"/>
    <col min="11480" max="11480" width="1.85546875" style="73" customWidth="1"/>
    <col min="11481" max="11483" width="3" style="73" customWidth="1"/>
    <col min="11484" max="11484" width="4.42578125" style="73" customWidth="1"/>
    <col min="11485" max="11486" width="3" style="73" customWidth="1"/>
    <col min="11487" max="11492" width="3.28515625" style="73" customWidth="1"/>
    <col min="11493" max="11494" width="9.140625" style="73" customWidth="1"/>
    <col min="11495" max="11498" width="3.28515625" style="73" customWidth="1"/>
    <col min="11499" max="11499" width="4.140625" style="73" customWidth="1"/>
    <col min="11500" max="11500" width="1.7109375" style="73" customWidth="1"/>
    <col min="11501" max="11505" width="3.28515625" style="73" customWidth="1"/>
    <col min="11506" max="11506" width="1.7109375" style="73" customWidth="1"/>
    <col min="11507" max="11511" width="3.28515625" style="73" customWidth="1"/>
    <col min="11512" max="11517" width="9.140625" style="73" customWidth="1"/>
    <col min="11518" max="11518" width="1.7109375" style="73" customWidth="1"/>
    <col min="11519" max="11523" width="3.28515625" style="73" customWidth="1"/>
    <col min="11524" max="11524" width="1.7109375" style="73" customWidth="1"/>
    <col min="11525" max="11525" width="16.5703125" style="73" bestFit="1" customWidth="1"/>
    <col min="11526" max="11527" width="10.28515625" style="73" customWidth="1"/>
    <col min="11528" max="11528" width="18" style="73" bestFit="1" customWidth="1"/>
    <col min="11529" max="11713" width="9.140625" style="73"/>
    <col min="11714" max="11721" width="9.140625" style="73" customWidth="1"/>
    <col min="11722" max="11722" width="10.140625" style="73" customWidth="1"/>
    <col min="11723" max="11723" width="1" style="73" customWidth="1"/>
    <col min="11724" max="11726" width="3.28515625" style="73" customWidth="1"/>
    <col min="11727" max="11727" width="1.85546875" style="73" customWidth="1"/>
    <col min="11728" max="11728" width="17.85546875" style="73" customWidth="1"/>
    <col min="11729" max="11729" width="1.85546875" style="73" customWidth="1"/>
    <col min="11730" max="11732" width="3.28515625" style="73" customWidth="1"/>
    <col min="11733" max="11733" width="2.85546875" style="73" customWidth="1"/>
    <col min="11734" max="11734" width="1.85546875" style="73" customWidth="1"/>
    <col min="11735" max="11735" width="19.7109375" style="73" customWidth="1"/>
    <col min="11736" max="11736" width="1.85546875" style="73" customWidth="1"/>
    <col min="11737" max="11739" width="3" style="73" customWidth="1"/>
    <col min="11740" max="11740" width="4.42578125" style="73" customWidth="1"/>
    <col min="11741" max="11742" width="3" style="73" customWidth="1"/>
    <col min="11743" max="11748" width="3.28515625" style="73" customWidth="1"/>
    <col min="11749" max="11750" width="9.140625" style="73" customWidth="1"/>
    <col min="11751" max="11754" width="3.28515625" style="73" customWidth="1"/>
    <col min="11755" max="11755" width="4.140625" style="73" customWidth="1"/>
    <col min="11756" max="11756" width="1.7109375" style="73" customWidth="1"/>
    <col min="11757" max="11761" width="3.28515625" style="73" customWidth="1"/>
    <col min="11762" max="11762" width="1.7109375" style="73" customWidth="1"/>
    <col min="11763" max="11767" width="3.28515625" style="73" customWidth="1"/>
    <col min="11768" max="11773" width="9.140625" style="73" customWidth="1"/>
    <col min="11774" max="11774" width="1.7109375" style="73" customWidth="1"/>
    <col min="11775" max="11779" width="3.28515625" style="73" customWidth="1"/>
    <col min="11780" max="11780" width="1.7109375" style="73" customWidth="1"/>
    <col min="11781" max="11781" width="16.5703125" style="73" bestFit="1" customWidth="1"/>
    <col min="11782" max="11783" width="10.28515625" style="73" customWidth="1"/>
    <col min="11784" max="11784" width="18" style="73" bestFit="1" customWidth="1"/>
    <col min="11785" max="11969" width="9.140625" style="73"/>
    <col min="11970" max="11977" width="9.140625" style="73" customWidth="1"/>
    <col min="11978" max="11978" width="10.140625" style="73" customWidth="1"/>
    <col min="11979" max="11979" width="1" style="73" customWidth="1"/>
    <col min="11980" max="11982" width="3.28515625" style="73" customWidth="1"/>
    <col min="11983" max="11983" width="1.85546875" style="73" customWidth="1"/>
    <col min="11984" max="11984" width="17.85546875" style="73" customWidth="1"/>
    <col min="11985" max="11985" width="1.85546875" style="73" customWidth="1"/>
    <col min="11986" max="11988" width="3.28515625" style="73" customWidth="1"/>
    <col min="11989" max="11989" width="2.85546875" style="73" customWidth="1"/>
    <col min="11990" max="11990" width="1.85546875" style="73" customWidth="1"/>
    <col min="11991" max="11991" width="19.7109375" style="73" customWidth="1"/>
    <col min="11992" max="11992" width="1.85546875" style="73" customWidth="1"/>
    <col min="11993" max="11995" width="3" style="73" customWidth="1"/>
    <col min="11996" max="11996" width="4.42578125" style="73" customWidth="1"/>
    <col min="11997" max="11998" width="3" style="73" customWidth="1"/>
    <col min="11999" max="12004" width="3.28515625" style="73" customWidth="1"/>
    <col min="12005" max="12006" width="9.140625" style="73" customWidth="1"/>
    <col min="12007" max="12010" width="3.28515625" style="73" customWidth="1"/>
    <col min="12011" max="12011" width="4.140625" style="73" customWidth="1"/>
    <col min="12012" max="12012" width="1.7109375" style="73" customWidth="1"/>
    <col min="12013" max="12017" width="3.28515625" style="73" customWidth="1"/>
    <col min="12018" max="12018" width="1.7109375" style="73" customWidth="1"/>
    <col min="12019" max="12023" width="3.28515625" style="73" customWidth="1"/>
    <col min="12024" max="12029" width="9.140625" style="73" customWidth="1"/>
    <col min="12030" max="12030" width="1.7109375" style="73" customWidth="1"/>
    <col min="12031" max="12035" width="3.28515625" style="73" customWidth="1"/>
    <col min="12036" max="12036" width="1.7109375" style="73" customWidth="1"/>
    <col min="12037" max="12037" width="16.5703125" style="73" bestFit="1" customWidth="1"/>
    <col min="12038" max="12039" width="10.28515625" style="73" customWidth="1"/>
    <col min="12040" max="12040" width="18" style="73" bestFit="1" customWidth="1"/>
    <col min="12041" max="12225" width="9.140625" style="73"/>
    <col min="12226" max="12233" width="9.140625" style="73" customWidth="1"/>
    <col min="12234" max="12234" width="10.140625" style="73" customWidth="1"/>
    <col min="12235" max="12235" width="1" style="73" customWidth="1"/>
    <col min="12236" max="12238" width="3.28515625" style="73" customWidth="1"/>
    <col min="12239" max="12239" width="1.85546875" style="73" customWidth="1"/>
    <col min="12240" max="12240" width="17.85546875" style="73" customWidth="1"/>
    <col min="12241" max="12241" width="1.85546875" style="73" customWidth="1"/>
    <col min="12242" max="12244" width="3.28515625" style="73" customWidth="1"/>
    <col min="12245" max="12245" width="2.85546875" style="73" customWidth="1"/>
    <col min="12246" max="12246" width="1.85546875" style="73" customWidth="1"/>
    <col min="12247" max="12247" width="19.7109375" style="73" customWidth="1"/>
    <col min="12248" max="12248" width="1.85546875" style="73" customWidth="1"/>
    <col min="12249" max="12251" width="3" style="73" customWidth="1"/>
    <col min="12252" max="12252" width="4.42578125" style="73" customWidth="1"/>
    <col min="12253" max="12254" width="3" style="73" customWidth="1"/>
    <col min="12255" max="12260" width="3.28515625" style="73" customWidth="1"/>
    <col min="12261" max="12262" width="9.140625" style="73" customWidth="1"/>
    <col min="12263" max="12266" width="3.28515625" style="73" customWidth="1"/>
    <col min="12267" max="12267" width="4.140625" style="73" customWidth="1"/>
    <col min="12268" max="12268" width="1.7109375" style="73" customWidth="1"/>
    <col min="12269" max="12273" width="3.28515625" style="73" customWidth="1"/>
    <col min="12274" max="12274" width="1.7109375" style="73" customWidth="1"/>
    <col min="12275" max="12279" width="3.28515625" style="73" customWidth="1"/>
    <col min="12280" max="12285" width="9.140625" style="73" customWidth="1"/>
    <col min="12286" max="12286" width="1.7109375" style="73" customWidth="1"/>
    <col min="12287" max="12291" width="3.28515625" style="73" customWidth="1"/>
    <col min="12292" max="12292" width="1.7109375" style="73" customWidth="1"/>
    <col min="12293" max="12293" width="16.5703125" style="73" bestFit="1" customWidth="1"/>
    <col min="12294" max="12295" width="10.28515625" style="73" customWidth="1"/>
    <col min="12296" max="12296" width="18" style="73" bestFit="1" customWidth="1"/>
    <col min="12297" max="12481" width="9.140625" style="73"/>
    <col min="12482" max="12489" width="9.140625" style="73" customWidth="1"/>
    <col min="12490" max="12490" width="10.140625" style="73" customWidth="1"/>
    <col min="12491" max="12491" width="1" style="73" customWidth="1"/>
    <col min="12492" max="12494" width="3.28515625" style="73" customWidth="1"/>
    <col min="12495" max="12495" width="1.85546875" style="73" customWidth="1"/>
    <col min="12496" max="12496" width="17.85546875" style="73" customWidth="1"/>
    <col min="12497" max="12497" width="1.85546875" style="73" customWidth="1"/>
    <col min="12498" max="12500" width="3.28515625" style="73" customWidth="1"/>
    <col min="12501" max="12501" width="2.85546875" style="73" customWidth="1"/>
    <col min="12502" max="12502" width="1.85546875" style="73" customWidth="1"/>
    <col min="12503" max="12503" width="19.7109375" style="73" customWidth="1"/>
    <col min="12504" max="12504" width="1.85546875" style="73" customWidth="1"/>
    <col min="12505" max="12507" width="3" style="73" customWidth="1"/>
    <col min="12508" max="12508" width="4.42578125" style="73" customWidth="1"/>
    <col min="12509" max="12510" width="3" style="73" customWidth="1"/>
    <col min="12511" max="12516" width="3.28515625" style="73" customWidth="1"/>
    <col min="12517" max="12518" width="9.140625" style="73" customWidth="1"/>
    <col min="12519" max="12522" width="3.28515625" style="73" customWidth="1"/>
    <col min="12523" max="12523" width="4.140625" style="73" customWidth="1"/>
    <col min="12524" max="12524" width="1.7109375" style="73" customWidth="1"/>
    <col min="12525" max="12529" width="3.28515625" style="73" customWidth="1"/>
    <col min="12530" max="12530" width="1.7109375" style="73" customWidth="1"/>
    <col min="12531" max="12535" width="3.28515625" style="73" customWidth="1"/>
    <col min="12536" max="12541" width="9.140625" style="73" customWidth="1"/>
    <col min="12542" max="12542" width="1.7109375" style="73" customWidth="1"/>
    <col min="12543" max="12547" width="3.28515625" style="73" customWidth="1"/>
    <col min="12548" max="12548" width="1.7109375" style="73" customWidth="1"/>
    <col min="12549" max="12549" width="16.5703125" style="73" bestFit="1" customWidth="1"/>
    <col min="12550" max="12551" width="10.28515625" style="73" customWidth="1"/>
    <col min="12552" max="12552" width="18" style="73" bestFit="1" customWidth="1"/>
    <col min="12553" max="12737" width="9.140625" style="73"/>
    <col min="12738" max="12745" width="9.140625" style="73" customWidth="1"/>
    <col min="12746" max="12746" width="10.140625" style="73" customWidth="1"/>
    <col min="12747" max="12747" width="1" style="73" customWidth="1"/>
    <col min="12748" max="12750" width="3.28515625" style="73" customWidth="1"/>
    <col min="12751" max="12751" width="1.85546875" style="73" customWidth="1"/>
    <col min="12752" max="12752" width="17.85546875" style="73" customWidth="1"/>
    <col min="12753" max="12753" width="1.85546875" style="73" customWidth="1"/>
    <col min="12754" max="12756" width="3.28515625" style="73" customWidth="1"/>
    <col min="12757" max="12757" width="2.85546875" style="73" customWidth="1"/>
    <col min="12758" max="12758" width="1.85546875" style="73" customWidth="1"/>
    <col min="12759" max="12759" width="19.7109375" style="73" customWidth="1"/>
    <col min="12760" max="12760" width="1.85546875" style="73" customWidth="1"/>
    <col min="12761" max="12763" width="3" style="73" customWidth="1"/>
    <col min="12764" max="12764" width="4.42578125" style="73" customWidth="1"/>
    <col min="12765" max="12766" width="3" style="73" customWidth="1"/>
    <col min="12767" max="12772" width="3.28515625" style="73" customWidth="1"/>
    <col min="12773" max="12774" width="9.140625" style="73" customWidth="1"/>
    <col min="12775" max="12778" width="3.28515625" style="73" customWidth="1"/>
    <col min="12779" max="12779" width="4.140625" style="73" customWidth="1"/>
    <col min="12780" max="12780" width="1.7109375" style="73" customWidth="1"/>
    <col min="12781" max="12785" width="3.28515625" style="73" customWidth="1"/>
    <col min="12786" max="12786" width="1.7109375" style="73" customWidth="1"/>
    <col min="12787" max="12791" width="3.28515625" style="73" customWidth="1"/>
    <col min="12792" max="12797" width="9.140625" style="73" customWidth="1"/>
    <col min="12798" max="12798" width="1.7109375" style="73" customWidth="1"/>
    <col min="12799" max="12803" width="3.28515625" style="73" customWidth="1"/>
    <col min="12804" max="12804" width="1.7109375" style="73" customWidth="1"/>
    <col min="12805" max="12805" width="16.5703125" style="73" bestFit="1" customWidth="1"/>
    <col min="12806" max="12807" width="10.28515625" style="73" customWidth="1"/>
    <col min="12808" max="12808" width="18" style="73" bestFit="1" customWidth="1"/>
    <col min="12809" max="12993" width="9.140625" style="73"/>
    <col min="12994" max="13001" width="9.140625" style="73" customWidth="1"/>
    <col min="13002" max="13002" width="10.140625" style="73" customWidth="1"/>
    <col min="13003" max="13003" width="1" style="73" customWidth="1"/>
    <col min="13004" max="13006" width="3.28515625" style="73" customWidth="1"/>
    <col min="13007" max="13007" width="1.85546875" style="73" customWidth="1"/>
    <col min="13008" max="13008" width="17.85546875" style="73" customWidth="1"/>
    <col min="13009" max="13009" width="1.85546875" style="73" customWidth="1"/>
    <col min="13010" max="13012" width="3.28515625" style="73" customWidth="1"/>
    <col min="13013" max="13013" width="2.85546875" style="73" customWidth="1"/>
    <col min="13014" max="13014" width="1.85546875" style="73" customWidth="1"/>
    <col min="13015" max="13015" width="19.7109375" style="73" customWidth="1"/>
    <col min="13016" max="13016" width="1.85546875" style="73" customWidth="1"/>
    <col min="13017" max="13019" width="3" style="73" customWidth="1"/>
    <col min="13020" max="13020" width="4.42578125" style="73" customWidth="1"/>
    <col min="13021" max="13022" width="3" style="73" customWidth="1"/>
    <col min="13023" max="13028" width="3.28515625" style="73" customWidth="1"/>
    <col min="13029" max="13030" width="9.140625" style="73" customWidth="1"/>
    <col min="13031" max="13034" width="3.28515625" style="73" customWidth="1"/>
    <col min="13035" max="13035" width="4.140625" style="73" customWidth="1"/>
    <col min="13036" max="13036" width="1.7109375" style="73" customWidth="1"/>
    <col min="13037" max="13041" width="3.28515625" style="73" customWidth="1"/>
    <col min="13042" max="13042" width="1.7109375" style="73" customWidth="1"/>
    <col min="13043" max="13047" width="3.28515625" style="73" customWidth="1"/>
    <col min="13048" max="13053" width="9.140625" style="73" customWidth="1"/>
    <col min="13054" max="13054" width="1.7109375" style="73" customWidth="1"/>
    <col min="13055" max="13059" width="3.28515625" style="73" customWidth="1"/>
    <col min="13060" max="13060" width="1.7109375" style="73" customWidth="1"/>
    <col min="13061" max="13061" width="16.5703125" style="73" bestFit="1" customWidth="1"/>
    <col min="13062" max="13063" width="10.28515625" style="73" customWidth="1"/>
    <col min="13064" max="13064" width="18" style="73" bestFit="1" customWidth="1"/>
    <col min="13065" max="13249" width="9.140625" style="73"/>
    <col min="13250" max="13257" width="9.140625" style="73" customWidth="1"/>
    <col min="13258" max="13258" width="10.140625" style="73" customWidth="1"/>
    <col min="13259" max="13259" width="1" style="73" customWidth="1"/>
    <col min="13260" max="13262" width="3.28515625" style="73" customWidth="1"/>
    <col min="13263" max="13263" width="1.85546875" style="73" customWidth="1"/>
    <col min="13264" max="13264" width="17.85546875" style="73" customWidth="1"/>
    <col min="13265" max="13265" width="1.85546875" style="73" customWidth="1"/>
    <col min="13266" max="13268" width="3.28515625" style="73" customWidth="1"/>
    <col min="13269" max="13269" width="2.85546875" style="73" customWidth="1"/>
    <col min="13270" max="13270" width="1.85546875" style="73" customWidth="1"/>
    <col min="13271" max="13271" width="19.7109375" style="73" customWidth="1"/>
    <col min="13272" max="13272" width="1.85546875" style="73" customWidth="1"/>
    <col min="13273" max="13275" width="3" style="73" customWidth="1"/>
    <col min="13276" max="13276" width="4.42578125" style="73" customWidth="1"/>
    <col min="13277" max="13278" width="3" style="73" customWidth="1"/>
    <col min="13279" max="13284" width="3.28515625" style="73" customWidth="1"/>
    <col min="13285" max="13286" width="9.140625" style="73" customWidth="1"/>
    <col min="13287" max="13290" width="3.28515625" style="73" customWidth="1"/>
    <col min="13291" max="13291" width="4.140625" style="73" customWidth="1"/>
    <col min="13292" max="13292" width="1.7109375" style="73" customWidth="1"/>
    <col min="13293" max="13297" width="3.28515625" style="73" customWidth="1"/>
    <col min="13298" max="13298" width="1.7109375" style="73" customWidth="1"/>
    <col min="13299" max="13303" width="3.28515625" style="73" customWidth="1"/>
    <col min="13304" max="13309" width="9.140625" style="73" customWidth="1"/>
    <col min="13310" max="13310" width="1.7109375" style="73" customWidth="1"/>
    <col min="13311" max="13315" width="3.28515625" style="73" customWidth="1"/>
    <col min="13316" max="13316" width="1.7109375" style="73" customWidth="1"/>
    <col min="13317" max="13317" width="16.5703125" style="73" bestFit="1" customWidth="1"/>
    <col min="13318" max="13319" width="10.28515625" style="73" customWidth="1"/>
    <col min="13320" max="13320" width="18" style="73" bestFit="1" customWidth="1"/>
    <col min="13321" max="13505" width="9.140625" style="73"/>
    <col min="13506" max="13513" width="9.140625" style="73" customWidth="1"/>
    <col min="13514" max="13514" width="10.140625" style="73" customWidth="1"/>
    <col min="13515" max="13515" width="1" style="73" customWidth="1"/>
    <col min="13516" max="13518" width="3.28515625" style="73" customWidth="1"/>
    <col min="13519" max="13519" width="1.85546875" style="73" customWidth="1"/>
    <col min="13520" max="13520" width="17.85546875" style="73" customWidth="1"/>
    <col min="13521" max="13521" width="1.85546875" style="73" customWidth="1"/>
    <col min="13522" max="13524" width="3.28515625" style="73" customWidth="1"/>
    <col min="13525" max="13525" width="2.85546875" style="73" customWidth="1"/>
    <col min="13526" max="13526" width="1.85546875" style="73" customWidth="1"/>
    <col min="13527" max="13527" width="19.7109375" style="73" customWidth="1"/>
    <col min="13528" max="13528" width="1.85546875" style="73" customWidth="1"/>
    <col min="13529" max="13531" width="3" style="73" customWidth="1"/>
    <col min="13532" max="13532" width="4.42578125" style="73" customWidth="1"/>
    <col min="13533" max="13534" width="3" style="73" customWidth="1"/>
    <col min="13535" max="13540" width="3.28515625" style="73" customWidth="1"/>
    <col min="13541" max="13542" width="9.140625" style="73" customWidth="1"/>
    <col min="13543" max="13546" width="3.28515625" style="73" customWidth="1"/>
    <col min="13547" max="13547" width="4.140625" style="73" customWidth="1"/>
    <col min="13548" max="13548" width="1.7109375" style="73" customWidth="1"/>
    <col min="13549" max="13553" width="3.28515625" style="73" customWidth="1"/>
    <col min="13554" max="13554" width="1.7109375" style="73" customWidth="1"/>
    <col min="13555" max="13559" width="3.28515625" style="73" customWidth="1"/>
    <col min="13560" max="13565" width="9.140625" style="73" customWidth="1"/>
    <col min="13566" max="13566" width="1.7109375" style="73" customWidth="1"/>
    <col min="13567" max="13571" width="3.28515625" style="73" customWidth="1"/>
    <col min="13572" max="13572" width="1.7109375" style="73" customWidth="1"/>
    <col min="13573" max="13573" width="16.5703125" style="73" bestFit="1" customWidth="1"/>
    <col min="13574" max="13575" width="10.28515625" style="73" customWidth="1"/>
    <col min="13576" max="13576" width="18" style="73" bestFit="1" customWidth="1"/>
    <col min="13577" max="13761" width="9.140625" style="73"/>
    <col min="13762" max="13769" width="9.140625" style="73" customWidth="1"/>
    <col min="13770" max="13770" width="10.140625" style="73" customWidth="1"/>
    <col min="13771" max="13771" width="1" style="73" customWidth="1"/>
    <col min="13772" max="13774" width="3.28515625" style="73" customWidth="1"/>
    <col min="13775" max="13775" width="1.85546875" style="73" customWidth="1"/>
    <col min="13776" max="13776" width="17.85546875" style="73" customWidth="1"/>
    <col min="13777" max="13777" width="1.85546875" style="73" customWidth="1"/>
    <col min="13778" max="13780" width="3.28515625" style="73" customWidth="1"/>
    <col min="13781" max="13781" width="2.85546875" style="73" customWidth="1"/>
    <col min="13782" max="13782" width="1.85546875" style="73" customWidth="1"/>
    <col min="13783" max="13783" width="19.7109375" style="73" customWidth="1"/>
    <col min="13784" max="13784" width="1.85546875" style="73" customWidth="1"/>
    <col min="13785" max="13787" width="3" style="73" customWidth="1"/>
    <col min="13788" max="13788" width="4.42578125" style="73" customWidth="1"/>
    <col min="13789" max="13790" width="3" style="73" customWidth="1"/>
    <col min="13791" max="13796" width="3.28515625" style="73" customWidth="1"/>
    <col min="13797" max="13798" width="9.140625" style="73" customWidth="1"/>
    <col min="13799" max="13802" width="3.28515625" style="73" customWidth="1"/>
    <col min="13803" max="13803" width="4.140625" style="73" customWidth="1"/>
    <col min="13804" max="13804" width="1.7109375" style="73" customWidth="1"/>
    <col min="13805" max="13809" width="3.28515625" style="73" customWidth="1"/>
    <col min="13810" max="13810" width="1.7109375" style="73" customWidth="1"/>
    <col min="13811" max="13815" width="3.28515625" style="73" customWidth="1"/>
    <col min="13816" max="13821" width="9.140625" style="73" customWidth="1"/>
    <col min="13822" max="13822" width="1.7109375" style="73" customWidth="1"/>
    <col min="13823" max="13827" width="3.28515625" style="73" customWidth="1"/>
    <col min="13828" max="13828" width="1.7109375" style="73" customWidth="1"/>
    <col min="13829" max="13829" width="16.5703125" style="73" bestFit="1" customWidth="1"/>
    <col min="13830" max="13831" width="10.28515625" style="73" customWidth="1"/>
    <col min="13832" max="13832" width="18" style="73" bestFit="1" customWidth="1"/>
    <col min="13833" max="14017" width="9.140625" style="73"/>
    <col min="14018" max="14025" width="9.140625" style="73" customWidth="1"/>
    <col min="14026" max="14026" width="10.140625" style="73" customWidth="1"/>
    <col min="14027" max="14027" width="1" style="73" customWidth="1"/>
    <col min="14028" max="14030" width="3.28515625" style="73" customWidth="1"/>
    <col min="14031" max="14031" width="1.85546875" style="73" customWidth="1"/>
    <col min="14032" max="14032" width="17.85546875" style="73" customWidth="1"/>
    <col min="14033" max="14033" width="1.85546875" style="73" customWidth="1"/>
    <col min="14034" max="14036" width="3.28515625" style="73" customWidth="1"/>
    <col min="14037" max="14037" width="2.85546875" style="73" customWidth="1"/>
    <col min="14038" max="14038" width="1.85546875" style="73" customWidth="1"/>
    <col min="14039" max="14039" width="19.7109375" style="73" customWidth="1"/>
    <col min="14040" max="14040" width="1.85546875" style="73" customWidth="1"/>
    <col min="14041" max="14043" width="3" style="73" customWidth="1"/>
    <col min="14044" max="14044" width="4.42578125" style="73" customWidth="1"/>
    <col min="14045" max="14046" width="3" style="73" customWidth="1"/>
    <col min="14047" max="14052" width="3.28515625" style="73" customWidth="1"/>
    <col min="14053" max="14054" width="9.140625" style="73" customWidth="1"/>
    <col min="14055" max="14058" width="3.28515625" style="73" customWidth="1"/>
    <col min="14059" max="14059" width="4.140625" style="73" customWidth="1"/>
    <col min="14060" max="14060" width="1.7109375" style="73" customWidth="1"/>
    <col min="14061" max="14065" width="3.28515625" style="73" customWidth="1"/>
    <col min="14066" max="14066" width="1.7109375" style="73" customWidth="1"/>
    <col min="14067" max="14071" width="3.28515625" style="73" customWidth="1"/>
    <col min="14072" max="14077" width="9.140625" style="73" customWidth="1"/>
    <col min="14078" max="14078" width="1.7109375" style="73" customWidth="1"/>
    <col min="14079" max="14083" width="3.28515625" style="73" customWidth="1"/>
    <col min="14084" max="14084" width="1.7109375" style="73" customWidth="1"/>
    <col min="14085" max="14085" width="16.5703125" style="73" bestFit="1" customWidth="1"/>
    <col min="14086" max="14087" width="10.28515625" style="73" customWidth="1"/>
    <col min="14088" max="14088" width="18" style="73" bestFit="1" customWidth="1"/>
    <col min="14089" max="14273" width="9.140625" style="73"/>
    <col min="14274" max="14281" width="9.140625" style="73" customWidth="1"/>
    <col min="14282" max="14282" width="10.140625" style="73" customWidth="1"/>
    <col min="14283" max="14283" width="1" style="73" customWidth="1"/>
    <col min="14284" max="14286" width="3.28515625" style="73" customWidth="1"/>
    <col min="14287" max="14287" width="1.85546875" style="73" customWidth="1"/>
    <col min="14288" max="14288" width="17.85546875" style="73" customWidth="1"/>
    <col min="14289" max="14289" width="1.85546875" style="73" customWidth="1"/>
    <col min="14290" max="14292" width="3.28515625" style="73" customWidth="1"/>
    <col min="14293" max="14293" width="2.85546875" style="73" customWidth="1"/>
    <col min="14294" max="14294" width="1.85546875" style="73" customWidth="1"/>
    <col min="14295" max="14295" width="19.7109375" style="73" customWidth="1"/>
    <col min="14296" max="14296" width="1.85546875" style="73" customWidth="1"/>
    <col min="14297" max="14299" width="3" style="73" customWidth="1"/>
    <col min="14300" max="14300" width="4.42578125" style="73" customWidth="1"/>
    <col min="14301" max="14302" width="3" style="73" customWidth="1"/>
    <col min="14303" max="14308" width="3.28515625" style="73" customWidth="1"/>
    <col min="14309" max="14310" width="9.140625" style="73" customWidth="1"/>
    <col min="14311" max="14314" width="3.28515625" style="73" customWidth="1"/>
    <col min="14315" max="14315" width="4.140625" style="73" customWidth="1"/>
    <col min="14316" max="14316" width="1.7109375" style="73" customWidth="1"/>
    <col min="14317" max="14321" width="3.28515625" style="73" customWidth="1"/>
    <col min="14322" max="14322" width="1.7109375" style="73" customWidth="1"/>
    <col min="14323" max="14327" width="3.28515625" style="73" customWidth="1"/>
    <col min="14328" max="14333" width="9.140625" style="73" customWidth="1"/>
    <col min="14334" max="14334" width="1.7109375" style="73" customWidth="1"/>
    <col min="14335" max="14339" width="3.28515625" style="73" customWidth="1"/>
    <col min="14340" max="14340" width="1.7109375" style="73" customWidth="1"/>
    <col min="14341" max="14341" width="16.5703125" style="73" bestFit="1" customWidth="1"/>
    <col min="14342" max="14343" width="10.28515625" style="73" customWidth="1"/>
    <col min="14344" max="14344" width="18" style="73" bestFit="1" customWidth="1"/>
    <col min="14345" max="14529" width="9.140625" style="73"/>
    <col min="14530" max="14537" width="9.140625" style="73" customWidth="1"/>
    <col min="14538" max="14538" width="10.140625" style="73" customWidth="1"/>
    <col min="14539" max="14539" width="1" style="73" customWidth="1"/>
    <col min="14540" max="14542" width="3.28515625" style="73" customWidth="1"/>
    <col min="14543" max="14543" width="1.85546875" style="73" customWidth="1"/>
    <col min="14544" max="14544" width="17.85546875" style="73" customWidth="1"/>
    <col min="14545" max="14545" width="1.85546875" style="73" customWidth="1"/>
    <col min="14546" max="14548" width="3.28515625" style="73" customWidth="1"/>
    <col min="14549" max="14549" width="2.85546875" style="73" customWidth="1"/>
    <col min="14550" max="14550" width="1.85546875" style="73" customWidth="1"/>
    <col min="14551" max="14551" width="19.7109375" style="73" customWidth="1"/>
    <col min="14552" max="14552" width="1.85546875" style="73" customWidth="1"/>
    <col min="14553" max="14555" width="3" style="73" customWidth="1"/>
    <col min="14556" max="14556" width="4.42578125" style="73" customWidth="1"/>
    <col min="14557" max="14558" width="3" style="73" customWidth="1"/>
    <col min="14559" max="14564" width="3.28515625" style="73" customWidth="1"/>
    <col min="14565" max="14566" width="9.140625" style="73" customWidth="1"/>
    <col min="14567" max="14570" width="3.28515625" style="73" customWidth="1"/>
    <col min="14571" max="14571" width="4.140625" style="73" customWidth="1"/>
    <col min="14572" max="14572" width="1.7109375" style="73" customWidth="1"/>
    <col min="14573" max="14577" width="3.28515625" style="73" customWidth="1"/>
    <col min="14578" max="14578" width="1.7109375" style="73" customWidth="1"/>
    <col min="14579" max="14583" width="3.28515625" style="73" customWidth="1"/>
    <col min="14584" max="14589" width="9.140625" style="73" customWidth="1"/>
    <col min="14590" max="14590" width="1.7109375" style="73" customWidth="1"/>
    <col min="14591" max="14595" width="3.28515625" style="73" customWidth="1"/>
    <col min="14596" max="14596" width="1.7109375" style="73" customWidth="1"/>
    <col min="14597" max="14597" width="16.5703125" style="73" bestFit="1" customWidth="1"/>
    <col min="14598" max="14599" width="10.28515625" style="73" customWidth="1"/>
    <col min="14600" max="14600" width="18" style="73" bestFit="1" customWidth="1"/>
    <col min="14601" max="14785" width="9.140625" style="73"/>
    <col min="14786" max="14793" width="9.140625" style="73" customWidth="1"/>
    <col min="14794" max="14794" width="10.140625" style="73" customWidth="1"/>
    <col min="14795" max="14795" width="1" style="73" customWidth="1"/>
    <col min="14796" max="14798" width="3.28515625" style="73" customWidth="1"/>
    <col min="14799" max="14799" width="1.85546875" style="73" customWidth="1"/>
    <col min="14800" max="14800" width="17.85546875" style="73" customWidth="1"/>
    <col min="14801" max="14801" width="1.85546875" style="73" customWidth="1"/>
    <col min="14802" max="14804" width="3.28515625" style="73" customWidth="1"/>
    <col min="14805" max="14805" width="2.85546875" style="73" customWidth="1"/>
    <col min="14806" max="14806" width="1.85546875" style="73" customWidth="1"/>
    <col min="14807" max="14807" width="19.7109375" style="73" customWidth="1"/>
    <col min="14808" max="14808" width="1.85546875" style="73" customWidth="1"/>
    <col min="14809" max="14811" width="3" style="73" customWidth="1"/>
    <col min="14812" max="14812" width="4.42578125" style="73" customWidth="1"/>
    <col min="14813" max="14814" width="3" style="73" customWidth="1"/>
    <col min="14815" max="14820" width="3.28515625" style="73" customWidth="1"/>
    <col min="14821" max="14822" width="9.140625" style="73" customWidth="1"/>
    <col min="14823" max="14826" width="3.28515625" style="73" customWidth="1"/>
    <col min="14827" max="14827" width="4.140625" style="73" customWidth="1"/>
    <col min="14828" max="14828" width="1.7109375" style="73" customWidth="1"/>
    <col min="14829" max="14833" width="3.28515625" style="73" customWidth="1"/>
    <col min="14834" max="14834" width="1.7109375" style="73" customWidth="1"/>
    <col min="14835" max="14839" width="3.28515625" style="73" customWidth="1"/>
    <col min="14840" max="14845" width="9.140625" style="73" customWidth="1"/>
    <col min="14846" max="14846" width="1.7109375" style="73" customWidth="1"/>
    <col min="14847" max="14851" width="3.28515625" style="73" customWidth="1"/>
    <col min="14852" max="14852" width="1.7109375" style="73" customWidth="1"/>
    <col min="14853" max="14853" width="16.5703125" style="73" bestFit="1" customWidth="1"/>
    <col min="14854" max="14855" width="10.28515625" style="73" customWidth="1"/>
    <col min="14856" max="14856" width="18" style="73" bestFit="1" customWidth="1"/>
    <col min="14857" max="15041" width="9.140625" style="73"/>
    <col min="15042" max="15049" width="9.140625" style="73" customWidth="1"/>
    <col min="15050" max="15050" width="10.140625" style="73" customWidth="1"/>
    <col min="15051" max="15051" width="1" style="73" customWidth="1"/>
    <col min="15052" max="15054" width="3.28515625" style="73" customWidth="1"/>
    <col min="15055" max="15055" width="1.85546875" style="73" customWidth="1"/>
    <col min="15056" max="15056" width="17.85546875" style="73" customWidth="1"/>
    <col min="15057" max="15057" width="1.85546875" style="73" customWidth="1"/>
    <col min="15058" max="15060" width="3.28515625" style="73" customWidth="1"/>
    <col min="15061" max="15061" width="2.85546875" style="73" customWidth="1"/>
    <col min="15062" max="15062" width="1.85546875" style="73" customWidth="1"/>
    <col min="15063" max="15063" width="19.7109375" style="73" customWidth="1"/>
    <col min="15064" max="15064" width="1.85546875" style="73" customWidth="1"/>
    <col min="15065" max="15067" width="3" style="73" customWidth="1"/>
    <col min="15068" max="15068" width="4.42578125" style="73" customWidth="1"/>
    <col min="15069" max="15070" width="3" style="73" customWidth="1"/>
    <col min="15071" max="15076" width="3.28515625" style="73" customWidth="1"/>
    <col min="15077" max="15078" width="9.140625" style="73" customWidth="1"/>
    <col min="15079" max="15082" width="3.28515625" style="73" customWidth="1"/>
    <col min="15083" max="15083" width="4.140625" style="73" customWidth="1"/>
    <col min="15084" max="15084" width="1.7109375" style="73" customWidth="1"/>
    <col min="15085" max="15089" width="3.28515625" style="73" customWidth="1"/>
    <col min="15090" max="15090" width="1.7109375" style="73" customWidth="1"/>
    <col min="15091" max="15095" width="3.28515625" style="73" customWidth="1"/>
    <col min="15096" max="15101" width="9.140625" style="73" customWidth="1"/>
    <col min="15102" max="15102" width="1.7109375" style="73" customWidth="1"/>
    <col min="15103" max="15107" width="3.28515625" style="73" customWidth="1"/>
    <col min="15108" max="15108" width="1.7109375" style="73" customWidth="1"/>
    <col min="15109" max="15109" width="16.5703125" style="73" bestFit="1" customWidth="1"/>
    <col min="15110" max="15111" width="10.28515625" style="73" customWidth="1"/>
    <col min="15112" max="15112" width="18" style="73" bestFit="1" customWidth="1"/>
    <col min="15113" max="15297" width="9.140625" style="73"/>
    <col min="15298" max="15305" width="9.140625" style="73" customWidth="1"/>
    <col min="15306" max="15306" width="10.140625" style="73" customWidth="1"/>
    <col min="15307" max="15307" width="1" style="73" customWidth="1"/>
    <col min="15308" max="15310" width="3.28515625" style="73" customWidth="1"/>
    <col min="15311" max="15311" width="1.85546875" style="73" customWidth="1"/>
    <col min="15312" max="15312" width="17.85546875" style="73" customWidth="1"/>
    <col min="15313" max="15313" width="1.85546875" style="73" customWidth="1"/>
    <col min="15314" max="15316" width="3.28515625" style="73" customWidth="1"/>
    <col min="15317" max="15317" width="2.85546875" style="73" customWidth="1"/>
    <col min="15318" max="15318" width="1.85546875" style="73" customWidth="1"/>
    <col min="15319" max="15319" width="19.7109375" style="73" customWidth="1"/>
    <col min="15320" max="15320" width="1.85546875" style="73" customWidth="1"/>
    <col min="15321" max="15323" width="3" style="73" customWidth="1"/>
    <col min="15324" max="15324" width="4.42578125" style="73" customWidth="1"/>
    <col min="15325" max="15326" width="3" style="73" customWidth="1"/>
    <col min="15327" max="15332" width="3.28515625" style="73" customWidth="1"/>
    <col min="15333" max="15334" width="9.140625" style="73" customWidth="1"/>
    <col min="15335" max="15338" width="3.28515625" style="73" customWidth="1"/>
    <col min="15339" max="15339" width="4.140625" style="73" customWidth="1"/>
    <col min="15340" max="15340" width="1.7109375" style="73" customWidth="1"/>
    <col min="15341" max="15345" width="3.28515625" style="73" customWidth="1"/>
    <col min="15346" max="15346" width="1.7109375" style="73" customWidth="1"/>
    <col min="15347" max="15351" width="3.28515625" style="73" customWidth="1"/>
    <col min="15352" max="15357" width="9.140625" style="73" customWidth="1"/>
    <col min="15358" max="15358" width="1.7109375" style="73" customWidth="1"/>
    <col min="15359" max="15363" width="3.28515625" style="73" customWidth="1"/>
    <col min="15364" max="15364" width="1.7109375" style="73" customWidth="1"/>
    <col min="15365" max="15365" width="16.5703125" style="73" bestFit="1" customWidth="1"/>
    <col min="15366" max="15367" width="10.28515625" style="73" customWidth="1"/>
    <col min="15368" max="15368" width="18" style="73" bestFit="1" customWidth="1"/>
    <col min="15369" max="15553" width="9.140625" style="73"/>
    <col min="15554" max="15561" width="9.140625" style="73" customWidth="1"/>
    <col min="15562" max="15562" width="10.140625" style="73" customWidth="1"/>
    <col min="15563" max="15563" width="1" style="73" customWidth="1"/>
    <col min="15564" max="15566" width="3.28515625" style="73" customWidth="1"/>
    <col min="15567" max="15567" width="1.85546875" style="73" customWidth="1"/>
    <col min="15568" max="15568" width="17.85546875" style="73" customWidth="1"/>
    <col min="15569" max="15569" width="1.85546875" style="73" customWidth="1"/>
    <col min="15570" max="15572" width="3.28515625" style="73" customWidth="1"/>
    <col min="15573" max="15573" width="2.85546875" style="73" customWidth="1"/>
    <col min="15574" max="15574" width="1.85546875" style="73" customWidth="1"/>
    <col min="15575" max="15575" width="19.7109375" style="73" customWidth="1"/>
    <col min="15576" max="15576" width="1.85546875" style="73" customWidth="1"/>
    <col min="15577" max="15579" width="3" style="73" customWidth="1"/>
    <col min="15580" max="15580" width="4.42578125" style="73" customWidth="1"/>
    <col min="15581" max="15582" width="3" style="73" customWidth="1"/>
    <col min="15583" max="15588" width="3.28515625" style="73" customWidth="1"/>
    <col min="15589" max="15590" width="9.140625" style="73" customWidth="1"/>
    <col min="15591" max="15594" width="3.28515625" style="73" customWidth="1"/>
    <col min="15595" max="15595" width="4.140625" style="73" customWidth="1"/>
    <col min="15596" max="15596" width="1.7109375" style="73" customWidth="1"/>
    <col min="15597" max="15601" width="3.28515625" style="73" customWidth="1"/>
    <col min="15602" max="15602" width="1.7109375" style="73" customWidth="1"/>
    <col min="15603" max="15607" width="3.28515625" style="73" customWidth="1"/>
    <col min="15608" max="15613" width="9.140625" style="73" customWidth="1"/>
    <col min="15614" max="15614" width="1.7109375" style="73" customWidth="1"/>
    <col min="15615" max="15619" width="3.28515625" style="73" customWidth="1"/>
    <col min="15620" max="15620" width="1.7109375" style="73" customWidth="1"/>
    <col min="15621" max="15621" width="16.5703125" style="73" bestFit="1" customWidth="1"/>
    <col min="15622" max="15623" width="10.28515625" style="73" customWidth="1"/>
    <col min="15624" max="15624" width="18" style="73" bestFit="1" customWidth="1"/>
    <col min="15625" max="15809" width="9.140625" style="73"/>
    <col min="15810" max="15817" width="9.140625" style="73" customWidth="1"/>
    <col min="15818" max="15818" width="10.140625" style="73" customWidth="1"/>
    <col min="15819" max="15819" width="1" style="73" customWidth="1"/>
    <col min="15820" max="15822" width="3.28515625" style="73" customWidth="1"/>
    <col min="15823" max="15823" width="1.85546875" style="73" customWidth="1"/>
    <col min="15824" max="15824" width="17.85546875" style="73" customWidth="1"/>
    <col min="15825" max="15825" width="1.85546875" style="73" customWidth="1"/>
    <col min="15826" max="15828" width="3.28515625" style="73" customWidth="1"/>
    <col min="15829" max="15829" width="2.85546875" style="73" customWidth="1"/>
    <col min="15830" max="15830" width="1.85546875" style="73" customWidth="1"/>
    <col min="15831" max="15831" width="19.7109375" style="73" customWidth="1"/>
    <col min="15832" max="15832" width="1.85546875" style="73" customWidth="1"/>
    <col min="15833" max="15835" width="3" style="73" customWidth="1"/>
    <col min="15836" max="15836" width="4.42578125" style="73" customWidth="1"/>
    <col min="15837" max="15838" width="3" style="73" customWidth="1"/>
    <col min="15839" max="15844" width="3.28515625" style="73" customWidth="1"/>
    <col min="15845" max="15846" width="9.140625" style="73" customWidth="1"/>
    <col min="15847" max="15850" width="3.28515625" style="73" customWidth="1"/>
    <col min="15851" max="15851" width="4.140625" style="73" customWidth="1"/>
    <col min="15852" max="15852" width="1.7109375" style="73" customWidth="1"/>
    <col min="15853" max="15857" width="3.28515625" style="73" customWidth="1"/>
    <col min="15858" max="15858" width="1.7109375" style="73" customWidth="1"/>
    <col min="15859" max="15863" width="3.28515625" style="73" customWidth="1"/>
    <col min="15864" max="15869" width="9.140625" style="73" customWidth="1"/>
    <col min="15870" max="15870" width="1.7109375" style="73" customWidth="1"/>
    <col min="15871" max="15875" width="3.28515625" style="73" customWidth="1"/>
    <col min="15876" max="15876" width="1.7109375" style="73" customWidth="1"/>
    <col min="15877" max="15877" width="16.5703125" style="73" bestFit="1" customWidth="1"/>
    <col min="15878" max="15879" width="10.28515625" style="73" customWidth="1"/>
    <col min="15880" max="15880" width="18" style="73" bestFit="1" customWidth="1"/>
    <col min="15881" max="16065" width="9.140625" style="73"/>
    <col min="16066" max="16073" width="9.140625" style="73" customWidth="1"/>
    <col min="16074" max="16074" width="10.140625" style="73" customWidth="1"/>
    <col min="16075" max="16075" width="1" style="73" customWidth="1"/>
    <col min="16076" max="16078" width="3.28515625" style="73" customWidth="1"/>
    <col min="16079" max="16079" width="1.85546875" style="73" customWidth="1"/>
    <col min="16080" max="16080" width="17.85546875" style="73" customWidth="1"/>
    <col min="16081" max="16081" width="1.85546875" style="73" customWidth="1"/>
    <col min="16082" max="16084" width="3.28515625" style="73" customWidth="1"/>
    <col min="16085" max="16085" width="2.85546875" style="73" customWidth="1"/>
    <col min="16086" max="16086" width="1.85546875" style="73" customWidth="1"/>
    <col min="16087" max="16087" width="19.7109375" style="73" customWidth="1"/>
    <col min="16088" max="16088" width="1.85546875" style="73" customWidth="1"/>
    <col min="16089" max="16091" width="3" style="73" customWidth="1"/>
    <col min="16092" max="16092" width="4.42578125" style="73" customWidth="1"/>
    <col min="16093" max="16094" width="3" style="73" customWidth="1"/>
    <col min="16095" max="16100" width="3.28515625" style="73" customWidth="1"/>
    <col min="16101" max="16102" width="9.140625" style="73" customWidth="1"/>
    <col min="16103" max="16106" width="3.28515625" style="73" customWidth="1"/>
    <col min="16107" max="16107" width="4.140625" style="73" customWidth="1"/>
    <col min="16108" max="16108" width="1.7109375" style="73" customWidth="1"/>
    <col min="16109" max="16113" width="3.28515625" style="73" customWidth="1"/>
    <col min="16114" max="16114" width="1.7109375" style="73" customWidth="1"/>
    <col min="16115" max="16119" width="3.28515625" style="73" customWidth="1"/>
    <col min="16120" max="16125" width="9.140625" style="73" customWidth="1"/>
    <col min="16126" max="16126" width="1.7109375" style="73" customWidth="1"/>
    <col min="16127" max="16131" width="3.28515625" style="73" customWidth="1"/>
    <col min="16132" max="16132" width="1.7109375" style="73" customWidth="1"/>
    <col min="16133" max="16133" width="16.5703125" style="73" bestFit="1" customWidth="1"/>
    <col min="16134" max="16135" width="10.28515625" style="73" customWidth="1"/>
    <col min="16136" max="16136" width="18" style="73" bestFit="1" customWidth="1"/>
    <col min="16137" max="16384" width="9.140625" style="73"/>
  </cols>
  <sheetData>
    <row r="1" spans="1:24" s="61" customFormat="1" ht="15" customHeight="1">
      <c r="A1" s="428" t="s">
        <v>1218</v>
      </c>
      <c r="D1" s="429"/>
      <c r="F1" s="430"/>
      <c r="G1" s="430"/>
      <c r="Q1" s="877" t="s">
        <v>5157</v>
      </c>
      <c r="R1" s="878"/>
      <c r="S1" s="878"/>
      <c r="T1" s="879"/>
      <c r="X1" s="431"/>
    </row>
    <row r="2" spans="1:24" s="61" customFormat="1" ht="9.1999999999999993" customHeight="1" thickBot="1">
      <c r="D2" s="429"/>
      <c r="F2" s="430"/>
      <c r="G2" s="430"/>
      <c r="Q2" s="880"/>
      <c r="R2" s="881"/>
      <c r="S2" s="881"/>
      <c r="T2" s="882"/>
      <c r="X2" s="431"/>
    </row>
    <row r="3" spans="1:24" s="61" customFormat="1" ht="15" customHeight="1">
      <c r="A3" s="73" t="s">
        <v>1220</v>
      </c>
      <c r="D3" s="429"/>
      <c r="F3" s="430"/>
      <c r="G3" s="430"/>
      <c r="X3" s="431"/>
    </row>
    <row r="4" spans="1:24" s="61" customFormat="1" ht="15" customHeight="1">
      <c r="A4" s="73" t="s">
        <v>1221</v>
      </c>
      <c r="D4" s="429"/>
      <c r="F4" s="430"/>
      <c r="G4" s="430"/>
      <c r="X4" s="431"/>
    </row>
    <row r="5" spans="1:24" s="61" customFormat="1" ht="15" customHeight="1">
      <c r="D5" s="429"/>
      <c r="F5" s="430"/>
      <c r="G5" s="430"/>
      <c r="X5" s="431"/>
    </row>
    <row r="6" spans="1:24" ht="76.5" customHeight="1">
      <c r="A6" s="432" t="s">
        <v>5158</v>
      </c>
      <c r="C6" s="354"/>
      <c r="D6" s="433"/>
      <c r="E6" s="354"/>
      <c r="F6" s="434"/>
      <c r="G6" s="434"/>
      <c r="H6" s="354"/>
      <c r="I6" s="354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435"/>
    </row>
    <row r="7" spans="1:24" ht="15" customHeight="1" thickBot="1">
      <c r="A7" s="74"/>
      <c r="B7" s="73"/>
      <c r="C7" s="76"/>
      <c r="E7" s="76"/>
      <c r="F7" s="436"/>
      <c r="G7" s="43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435"/>
    </row>
    <row r="8" spans="1:24" ht="23.45" customHeight="1" thickBot="1">
      <c r="A8" s="874" t="s">
        <v>1223</v>
      </c>
      <c r="B8" s="875"/>
      <c r="C8" s="875"/>
      <c r="D8" s="875"/>
      <c r="E8" s="875"/>
      <c r="F8" s="875"/>
      <c r="G8" s="875"/>
      <c r="H8" s="875"/>
      <c r="I8" s="876"/>
      <c r="J8" s="76"/>
      <c r="K8" s="437" t="s">
        <v>5159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79"/>
      <c r="X8" s="435"/>
    </row>
    <row r="9" spans="1:24" ht="15" customHeight="1">
      <c r="A9" s="438"/>
      <c r="B9" s="82"/>
      <c r="C9" s="439"/>
      <c r="D9" s="82"/>
      <c r="E9" s="440"/>
      <c r="F9" s="440"/>
      <c r="G9" s="82"/>
      <c r="H9" s="82"/>
      <c r="I9" s="83"/>
      <c r="J9" s="76"/>
      <c r="K9" s="345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435"/>
    </row>
    <row r="10" spans="1:24" ht="15" customHeight="1">
      <c r="A10" s="441" t="s">
        <v>1224</v>
      </c>
      <c r="B10" s="352">
        <v>60</v>
      </c>
      <c r="C10" s="353" t="s">
        <v>1960</v>
      </c>
      <c r="D10" s="441" t="s">
        <v>1955</v>
      </c>
      <c r="E10" s="442"/>
      <c r="F10" s="442"/>
      <c r="G10" s="85"/>
      <c r="H10" s="85"/>
      <c r="I10" s="86"/>
      <c r="J10" s="76"/>
      <c r="K10" s="443" t="s">
        <v>1956</v>
      </c>
      <c r="L10" s="444"/>
      <c r="M10" s="444"/>
      <c r="N10" s="444"/>
      <c r="O10" s="445"/>
      <c r="P10" s="446">
        <v>2</v>
      </c>
      <c r="Q10" s="446">
        <v>0</v>
      </c>
      <c r="R10" s="446">
        <v>2</v>
      </c>
      <c r="S10" s="816">
        <v>3</v>
      </c>
      <c r="T10" s="817"/>
      <c r="U10" s="445"/>
      <c r="V10" s="445"/>
      <c r="W10" s="447"/>
      <c r="X10" s="435"/>
    </row>
    <row r="11" spans="1:24">
      <c r="A11" s="448"/>
      <c r="B11" s="74"/>
      <c r="C11" s="449"/>
      <c r="D11" s="74"/>
      <c r="E11" s="450"/>
      <c r="F11" s="450"/>
      <c r="G11" s="74"/>
      <c r="H11" s="74"/>
      <c r="I11" s="86"/>
      <c r="J11" s="76"/>
      <c r="K11" s="348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86"/>
      <c r="X11" s="435"/>
    </row>
    <row r="12" spans="1:24" ht="15" customHeight="1">
      <c r="A12" s="448"/>
      <c r="B12" s="74"/>
      <c r="C12" s="449"/>
      <c r="D12" s="74"/>
      <c r="E12" s="450"/>
      <c r="F12" s="450"/>
      <c r="G12" s="74"/>
      <c r="H12" s="74"/>
      <c r="I12" s="86"/>
      <c r="J12" s="76"/>
      <c r="K12" s="346" t="s">
        <v>1957</v>
      </c>
      <c r="L12" s="87"/>
      <c r="M12" s="87"/>
      <c r="N12" s="87"/>
      <c r="O12" s="74">
        <v>1</v>
      </c>
      <c r="P12" s="85"/>
      <c r="Q12" s="74">
        <v>2</v>
      </c>
      <c r="R12" s="85"/>
      <c r="S12" s="74">
        <v>3</v>
      </c>
      <c r="T12" s="85"/>
      <c r="U12" s="74">
        <v>4</v>
      </c>
      <c r="V12" s="85"/>
      <c r="W12" s="86"/>
      <c r="X12" s="435"/>
    </row>
    <row r="13" spans="1:24" ht="10.15" customHeight="1">
      <c r="A13" s="448"/>
      <c r="B13" s="74"/>
      <c r="C13" s="449"/>
      <c r="D13" s="74"/>
      <c r="E13" s="450"/>
      <c r="F13" s="450"/>
      <c r="G13" s="74"/>
      <c r="H13" s="74"/>
      <c r="I13" s="86"/>
      <c r="J13" s="76"/>
      <c r="K13" s="348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86"/>
      <c r="X13" s="435"/>
    </row>
    <row r="14" spans="1:24" ht="15" customHeight="1">
      <c r="A14" s="448"/>
      <c r="B14" s="74"/>
      <c r="C14" s="449"/>
      <c r="D14" s="74"/>
      <c r="E14" s="450"/>
      <c r="F14" s="450"/>
      <c r="G14" s="74"/>
      <c r="H14" s="74"/>
      <c r="I14" s="86"/>
      <c r="J14" s="76"/>
      <c r="K14" s="346" t="s">
        <v>1958</v>
      </c>
      <c r="L14" s="87"/>
      <c r="M14" s="87"/>
      <c r="N14" s="87"/>
      <c r="O14" s="74"/>
      <c r="P14" s="85"/>
      <c r="Q14" s="883" t="s">
        <v>5160</v>
      </c>
      <c r="R14" s="884"/>
      <c r="S14" s="884"/>
      <c r="T14" s="884"/>
      <c r="U14" s="885"/>
      <c r="V14" s="85" t="s">
        <v>5459</v>
      </c>
      <c r="W14" s="86"/>
      <c r="X14" s="435"/>
    </row>
    <row r="15" spans="1:24" ht="15" customHeight="1" thickBot="1">
      <c r="A15" s="451"/>
      <c r="B15" s="92"/>
      <c r="C15" s="452"/>
      <c r="D15" s="92"/>
      <c r="E15" s="453"/>
      <c r="F15" s="453"/>
      <c r="G15" s="92"/>
      <c r="H15" s="92"/>
      <c r="I15" s="93"/>
      <c r="J15" s="76"/>
      <c r="K15" s="350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435"/>
    </row>
    <row r="16" spans="1:24" ht="7.5" customHeight="1">
      <c r="A16" s="74"/>
      <c r="B16" s="98"/>
      <c r="C16" s="74"/>
      <c r="D16" s="449"/>
      <c r="E16" s="74"/>
      <c r="F16" s="450"/>
      <c r="G16" s="450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435"/>
    </row>
    <row r="17" spans="1:24" ht="7.5" customHeight="1">
      <c r="A17" s="74"/>
      <c r="B17" s="98"/>
      <c r="C17" s="74"/>
      <c r="D17" s="449"/>
      <c r="E17" s="74"/>
      <c r="F17" s="450"/>
      <c r="G17" s="450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435"/>
    </row>
    <row r="18" spans="1:24" ht="7.5" customHeight="1">
      <c r="A18" s="74"/>
      <c r="B18" s="98"/>
      <c r="C18" s="74"/>
      <c r="D18" s="449"/>
      <c r="E18" s="74"/>
      <c r="F18" s="450"/>
      <c r="G18" s="450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435"/>
    </row>
    <row r="19" spans="1:24" ht="7.5" customHeight="1" thickBot="1">
      <c r="B19" s="98"/>
      <c r="C19" s="74"/>
      <c r="D19" s="449"/>
      <c r="E19" s="74"/>
      <c r="F19" s="450"/>
      <c r="G19" s="450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435"/>
    </row>
    <row r="20" spans="1:24" ht="23.45" customHeight="1" thickBot="1">
      <c r="A20" s="874" t="s">
        <v>1226</v>
      </c>
      <c r="B20" s="875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6"/>
      <c r="X20" s="435"/>
    </row>
    <row r="21" spans="1:24" ht="15" customHeight="1">
      <c r="A21" s="454"/>
      <c r="B21" s="455"/>
      <c r="C21" s="96"/>
      <c r="D21" s="456"/>
      <c r="E21" s="96"/>
      <c r="F21" s="457"/>
      <c r="G21" s="458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459"/>
      <c r="X21" s="435"/>
    </row>
    <row r="22" spans="1:24" ht="15" customHeight="1">
      <c r="A22" s="348"/>
      <c r="B22" s="74"/>
      <c r="C22" s="74"/>
      <c r="D22" s="74"/>
      <c r="E22" s="89"/>
      <c r="F22" s="74"/>
      <c r="G22" s="460"/>
      <c r="I22" s="89" t="s">
        <v>1959</v>
      </c>
      <c r="J22" s="85"/>
      <c r="K22" s="74"/>
      <c r="L22" s="74"/>
      <c r="M22" s="89" t="s">
        <v>1227</v>
      </c>
      <c r="N22" s="85"/>
      <c r="O22" s="74"/>
      <c r="P22" s="74"/>
      <c r="Q22" s="74"/>
      <c r="R22" s="74"/>
      <c r="S22" s="74"/>
      <c r="T22" s="74"/>
      <c r="U22" s="74"/>
      <c r="V22" s="74"/>
      <c r="W22" s="86"/>
      <c r="X22" s="435"/>
    </row>
    <row r="23" spans="1:24" ht="15" customHeight="1" thickBot="1">
      <c r="A23" s="350"/>
      <c r="B23" s="92"/>
      <c r="C23" s="92"/>
      <c r="D23" s="452"/>
      <c r="E23" s="92"/>
      <c r="F23" s="453"/>
      <c r="G23" s="453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435"/>
    </row>
    <row r="24" spans="1:24" ht="7.5" customHeight="1">
      <c r="B24" s="74"/>
      <c r="C24" s="74"/>
      <c r="D24" s="449"/>
      <c r="E24" s="82"/>
      <c r="F24" s="440"/>
      <c r="G24" s="440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435"/>
    </row>
    <row r="25" spans="1:24" ht="7.5" customHeight="1">
      <c r="A25" s="74"/>
      <c r="B25" s="74"/>
      <c r="C25" s="74"/>
      <c r="D25" s="449"/>
      <c r="E25" s="74"/>
      <c r="F25" s="450"/>
      <c r="G25" s="450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435"/>
    </row>
    <row r="26" spans="1:24" ht="7.5" customHeight="1">
      <c r="A26" s="74"/>
      <c r="B26" s="74"/>
      <c r="C26" s="74"/>
      <c r="D26" s="449"/>
      <c r="E26" s="74"/>
      <c r="F26" s="450"/>
      <c r="G26" s="450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435"/>
    </row>
    <row r="27" spans="1:24" ht="7.5" customHeight="1">
      <c r="A27" s="74"/>
      <c r="B27" s="74"/>
      <c r="C27" s="74"/>
      <c r="D27" s="449"/>
      <c r="E27" s="74"/>
      <c r="F27" s="450"/>
      <c r="G27" s="450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435"/>
    </row>
    <row r="28" spans="1:24" ht="21.75" customHeight="1" thickBot="1">
      <c r="A28" s="461"/>
      <c r="B28" s="461"/>
      <c r="C28" s="461"/>
      <c r="D28" s="449" t="s">
        <v>5161</v>
      </c>
      <c r="E28" s="461"/>
      <c r="F28" s="462"/>
      <c r="G28" s="462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U28" s="463"/>
      <c r="V28" s="463"/>
      <c r="W28" s="463"/>
    </row>
    <row r="29" spans="1:24" ht="51.75" customHeight="1" thickBot="1">
      <c r="A29" s="464" t="s">
        <v>1228</v>
      </c>
      <c r="B29" s="465" t="s">
        <v>1229</v>
      </c>
      <c r="C29" s="466" t="s">
        <v>1230</v>
      </c>
      <c r="D29" s="467" t="s">
        <v>3623</v>
      </c>
      <c r="E29" s="468" t="s">
        <v>5162</v>
      </c>
      <c r="F29" s="469"/>
      <c r="G29" s="470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</row>
    <row r="30" spans="1:24" s="478" customFormat="1" ht="24.95" customHeight="1">
      <c r="A30" s="472"/>
      <c r="B30" s="473" t="s">
        <v>3637</v>
      </c>
      <c r="C30" s="474" t="s">
        <v>3638</v>
      </c>
      <c r="D30" s="475">
        <f>+D31+D58+D95</f>
        <v>336169572.13</v>
      </c>
      <c r="E30" s="475">
        <f>+E31+E58+E95</f>
        <v>335923338.53999996</v>
      </c>
      <c r="F30" s="476"/>
      <c r="G30" s="477"/>
      <c r="J30" s="479"/>
    </row>
    <row r="31" spans="1:24" s="478" customFormat="1" ht="24.95" customHeight="1">
      <c r="A31" s="480"/>
      <c r="B31" s="481" t="s">
        <v>3639</v>
      </c>
      <c r="C31" s="482" t="s">
        <v>3640</v>
      </c>
      <c r="D31" s="483">
        <f>+D32+D35+D38+D43+D44-D53</f>
        <v>1643976.9400000004</v>
      </c>
      <c r="E31" s="483">
        <f>+E32+E35+E38+E43+E44-E53</f>
        <v>1722302.3099999996</v>
      </c>
      <c r="F31" s="484"/>
      <c r="G31" s="477"/>
      <c r="J31" s="479"/>
    </row>
    <row r="32" spans="1:24" s="489" customFormat="1" ht="24.95" customHeight="1">
      <c r="A32" s="485"/>
      <c r="B32" s="486" t="s">
        <v>3641</v>
      </c>
      <c r="C32" s="487" t="s">
        <v>3642</v>
      </c>
      <c r="D32" s="488">
        <f>+D33-D34</f>
        <v>0</v>
      </c>
      <c r="E32" s="488">
        <f>+E33-E34</f>
        <v>0</v>
      </c>
      <c r="F32" s="476"/>
      <c r="G32" s="477"/>
      <c r="J32" s="479"/>
      <c r="K32" s="478"/>
    </row>
    <row r="33" spans="1:11" s="495" customFormat="1" ht="24.95" customHeight="1">
      <c r="A33" s="490"/>
      <c r="B33" s="491" t="s">
        <v>3643</v>
      </c>
      <c r="C33" s="492" t="s">
        <v>3644</v>
      </c>
      <c r="D33" s="493">
        <f>+'SP Attivo Alim'!F7</f>
        <v>0</v>
      </c>
      <c r="E33" s="493">
        <f>+'SP Attivo Alim'!G7</f>
        <v>0</v>
      </c>
      <c r="F33" s="476"/>
      <c r="G33" s="494"/>
      <c r="J33" s="479"/>
      <c r="K33" s="478"/>
    </row>
    <row r="34" spans="1:11" s="495" customFormat="1" ht="24.95" customHeight="1">
      <c r="A34" s="490"/>
      <c r="B34" s="491" t="s">
        <v>3647</v>
      </c>
      <c r="C34" s="492" t="s">
        <v>3648</v>
      </c>
      <c r="D34" s="493">
        <f>-'SP Attivo Alim'!F9</f>
        <v>0</v>
      </c>
      <c r="E34" s="493">
        <f>-'SP Attivo Alim'!G9</f>
        <v>0</v>
      </c>
      <c r="F34" s="476"/>
      <c r="G34" s="494"/>
      <c r="J34" s="479"/>
      <c r="K34" s="478"/>
    </row>
    <row r="35" spans="1:11" s="495" customFormat="1" ht="24.95" customHeight="1">
      <c r="A35" s="496"/>
      <c r="B35" s="486" t="s">
        <v>3651</v>
      </c>
      <c r="C35" s="487" t="s">
        <v>3652</v>
      </c>
      <c r="D35" s="488">
        <f>+D36-D37</f>
        <v>0</v>
      </c>
      <c r="E35" s="488">
        <f>+E36-E37</f>
        <v>0</v>
      </c>
      <c r="F35" s="476"/>
      <c r="G35" s="494"/>
      <c r="J35" s="479"/>
      <c r="K35" s="478"/>
    </row>
    <row r="36" spans="1:11" s="495" customFormat="1" ht="24.95" customHeight="1">
      <c r="A36" s="490"/>
      <c r="B36" s="491" t="s">
        <v>3653</v>
      </c>
      <c r="C36" s="492" t="s">
        <v>3654</v>
      </c>
      <c r="D36" s="493">
        <f>+'SP Attivo Alim'!F12</f>
        <v>60773.06</v>
      </c>
      <c r="E36" s="493">
        <f>+'SP Attivo Alim'!G12</f>
        <v>60773.06</v>
      </c>
      <c r="F36" s="476"/>
      <c r="G36" s="494"/>
      <c r="J36" s="479"/>
      <c r="K36" s="478"/>
    </row>
    <row r="37" spans="1:11" s="495" customFormat="1" ht="24.95" customHeight="1">
      <c r="A37" s="490"/>
      <c r="B37" s="491" t="s">
        <v>3657</v>
      </c>
      <c r="C37" s="492" t="s">
        <v>3658</v>
      </c>
      <c r="D37" s="493">
        <f>-'SP Attivo Alim'!F14</f>
        <v>60773.06</v>
      </c>
      <c r="E37" s="493">
        <f>-'SP Attivo Alim'!G14</f>
        <v>60773.06</v>
      </c>
      <c r="F37" s="476"/>
      <c r="G37" s="494"/>
      <c r="J37" s="479"/>
      <c r="K37" s="478"/>
    </row>
    <row r="38" spans="1:11" s="495" customFormat="1" ht="24.95" customHeight="1">
      <c r="A38" s="496"/>
      <c r="B38" s="486" t="s">
        <v>3661</v>
      </c>
      <c r="C38" s="487" t="s">
        <v>3662</v>
      </c>
      <c r="D38" s="488">
        <f>+D39-D40+D41-D42</f>
        <v>7278.97</v>
      </c>
      <c r="E38" s="488">
        <f>+E39-E40+E41-E42</f>
        <v>7278.97</v>
      </c>
      <c r="F38" s="476"/>
      <c r="G38" s="494"/>
      <c r="J38" s="479"/>
      <c r="K38" s="478"/>
    </row>
    <row r="39" spans="1:11" s="495" customFormat="1" ht="34.5" customHeight="1">
      <c r="A39" s="490"/>
      <c r="B39" s="491" t="s">
        <v>3663</v>
      </c>
      <c r="C39" s="492" t="s">
        <v>5163</v>
      </c>
      <c r="D39" s="493">
        <f>+'SP Attivo Alim'!F17</f>
        <v>0</v>
      </c>
      <c r="E39" s="493">
        <f>+'SP Attivo Alim'!G17</f>
        <v>0</v>
      </c>
      <c r="F39" s="476"/>
      <c r="G39" s="494"/>
      <c r="J39" s="479"/>
      <c r="K39" s="478"/>
    </row>
    <row r="40" spans="1:11" s="495" customFormat="1" ht="34.5" customHeight="1">
      <c r="A40" s="490"/>
      <c r="B40" s="491" t="s">
        <v>3667</v>
      </c>
      <c r="C40" s="492" t="s">
        <v>3668</v>
      </c>
      <c r="D40" s="493">
        <f>-'SP Attivo Alim'!F19</f>
        <v>0</v>
      </c>
      <c r="E40" s="493">
        <f>-'SP Attivo Alim'!G19</f>
        <v>0</v>
      </c>
      <c r="F40" s="476"/>
      <c r="G40" s="494"/>
      <c r="J40" s="479"/>
      <c r="K40" s="478"/>
    </row>
    <row r="41" spans="1:11" s="495" customFormat="1" ht="34.5" customHeight="1">
      <c r="A41" s="490"/>
      <c r="B41" s="491" t="s">
        <v>3671</v>
      </c>
      <c r="C41" s="492" t="s">
        <v>3672</v>
      </c>
      <c r="D41" s="493">
        <f>+'SP Attivo Alim'!F21</f>
        <v>7278.97</v>
      </c>
      <c r="E41" s="493">
        <f>+'SP Attivo Alim'!G21</f>
        <v>7278.97</v>
      </c>
      <c r="F41" s="476"/>
      <c r="G41" s="494"/>
      <c r="J41" s="479"/>
      <c r="K41" s="478"/>
    </row>
    <row r="42" spans="1:11" s="495" customFormat="1" ht="34.5" customHeight="1">
      <c r="A42" s="490"/>
      <c r="B42" s="491" t="s">
        <v>3675</v>
      </c>
      <c r="C42" s="492" t="s">
        <v>3676</v>
      </c>
      <c r="D42" s="493">
        <f>-'SP Attivo Alim'!F23</f>
        <v>0</v>
      </c>
      <c r="E42" s="493">
        <f>-'SP Attivo Alim'!G23</f>
        <v>0</v>
      </c>
      <c r="F42" s="476"/>
      <c r="G42" s="494"/>
      <c r="J42" s="479"/>
      <c r="K42" s="478"/>
    </row>
    <row r="43" spans="1:11" s="495" customFormat="1" ht="24.95" customHeight="1">
      <c r="A43" s="490"/>
      <c r="B43" s="497" t="s">
        <v>3679</v>
      </c>
      <c r="C43" s="498" t="s">
        <v>3680</v>
      </c>
      <c r="D43" s="493">
        <f>+'SP Attivo Alim'!F25</f>
        <v>94555.05</v>
      </c>
      <c r="E43" s="493">
        <f>+'SP Attivo Alim'!G25</f>
        <v>94555.05</v>
      </c>
      <c r="F43" s="476"/>
      <c r="G43" s="494"/>
      <c r="J43" s="479"/>
      <c r="K43" s="478"/>
    </row>
    <row r="44" spans="1:11" s="495" customFormat="1" ht="24.95" customHeight="1">
      <c r="A44" s="496"/>
      <c r="B44" s="486" t="s">
        <v>3683</v>
      </c>
      <c r="C44" s="487" t="s">
        <v>3684</v>
      </c>
      <c r="D44" s="488">
        <f>+D45-D46+D47-D48+D49-D50+D51-D52</f>
        <v>1542142.9200000004</v>
      </c>
      <c r="E44" s="488">
        <f>+E45-E46+E47-E48+E49-E50+E51-E52</f>
        <v>1620468.2899999996</v>
      </c>
      <c r="F44" s="476"/>
      <c r="G44" s="494"/>
      <c r="J44" s="479"/>
      <c r="K44" s="478"/>
    </row>
    <row r="45" spans="1:11" s="495" customFormat="1" ht="24.95" customHeight="1">
      <c r="A45" s="490"/>
      <c r="B45" s="491" t="s">
        <v>3685</v>
      </c>
      <c r="C45" s="492" t="s">
        <v>3686</v>
      </c>
      <c r="D45" s="493">
        <f>+'SP Attivo Alim'!F28</f>
        <v>6974291.8700000001</v>
      </c>
      <c r="E45" s="493">
        <f>+'SP Attivo Alim'!G28</f>
        <v>6814311.5099999998</v>
      </c>
      <c r="F45" s="476"/>
      <c r="G45" s="494"/>
      <c r="J45" s="479"/>
      <c r="K45" s="478"/>
    </row>
    <row r="46" spans="1:11" s="495" customFormat="1" ht="24.95" customHeight="1">
      <c r="A46" s="490"/>
      <c r="B46" s="491" t="s">
        <v>3689</v>
      </c>
      <c r="C46" s="492" t="s">
        <v>3690</v>
      </c>
      <c r="D46" s="493">
        <f>-'SP Attivo Alim'!F30</f>
        <v>6254896.6399999997</v>
      </c>
      <c r="E46" s="493">
        <f>-'SP Attivo Alim'!G30</f>
        <v>6029164.9000000004</v>
      </c>
      <c r="F46" s="476"/>
      <c r="G46" s="494"/>
      <c r="J46" s="479"/>
      <c r="K46" s="478"/>
    </row>
    <row r="47" spans="1:11" s="495" customFormat="1" ht="24.95" customHeight="1">
      <c r="A47" s="490"/>
      <c r="B47" s="491" t="s">
        <v>3693</v>
      </c>
      <c r="C47" s="492" t="s">
        <v>3694</v>
      </c>
      <c r="D47" s="493">
        <f>+'SP Attivo Alim'!F32</f>
        <v>1443598.06</v>
      </c>
      <c r="E47" s="493">
        <f>+'SP Attivo Alim'!G32</f>
        <v>1413903.58</v>
      </c>
      <c r="F47" s="476"/>
      <c r="G47" s="494"/>
      <c r="J47" s="479"/>
      <c r="K47" s="478"/>
    </row>
    <row r="48" spans="1:11" s="495" customFormat="1" ht="24.95" customHeight="1">
      <c r="A48" s="490"/>
      <c r="B48" s="491" t="s">
        <v>3697</v>
      </c>
      <c r="C48" s="492" t="s">
        <v>3698</v>
      </c>
      <c r="D48" s="493">
        <f>-'SP Attivo Alim'!F34</f>
        <v>620850.37</v>
      </c>
      <c r="E48" s="493">
        <f>-'SP Attivo Alim'!G34</f>
        <v>578581.9</v>
      </c>
      <c r="F48" s="476"/>
      <c r="G48" s="494"/>
      <c r="J48" s="479"/>
      <c r="K48" s="478"/>
    </row>
    <row r="49" spans="1:11" s="495" customFormat="1" ht="24.95" customHeight="1">
      <c r="A49" s="490"/>
      <c r="B49" s="491" t="s">
        <v>3701</v>
      </c>
      <c r="C49" s="492" t="s">
        <v>3702</v>
      </c>
      <c r="D49" s="493">
        <f>+'SP Attivo Alim'!F36</f>
        <v>0</v>
      </c>
      <c r="E49" s="493">
        <f>+'SP Attivo Alim'!G36</f>
        <v>0</v>
      </c>
      <c r="F49" s="476"/>
      <c r="G49" s="494"/>
      <c r="J49" s="479"/>
      <c r="K49" s="478"/>
    </row>
    <row r="50" spans="1:11" s="495" customFormat="1" ht="24.95" customHeight="1">
      <c r="A50" s="490"/>
      <c r="B50" s="491" t="s">
        <v>3705</v>
      </c>
      <c r="C50" s="492" t="s">
        <v>3706</v>
      </c>
      <c r="D50" s="493">
        <f>-'SP Attivo Alim'!F38</f>
        <v>0</v>
      </c>
      <c r="E50" s="493">
        <f>-'SP Attivo Alim'!G38</f>
        <v>0</v>
      </c>
      <c r="F50" s="476"/>
      <c r="G50" s="494"/>
      <c r="J50" s="479"/>
      <c r="K50" s="478"/>
    </row>
    <row r="51" spans="1:11" s="495" customFormat="1" ht="24.95" customHeight="1">
      <c r="A51" s="490"/>
      <c r="B51" s="491" t="s">
        <v>3709</v>
      </c>
      <c r="C51" s="492" t="s">
        <v>3710</v>
      </c>
      <c r="D51" s="493">
        <f>+'SP Attivo Alim'!F40</f>
        <v>0</v>
      </c>
      <c r="E51" s="493">
        <f>+'SP Attivo Alim'!G40</f>
        <v>0</v>
      </c>
      <c r="F51" s="476"/>
      <c r="G51" s="494"/>
      <c r="J51" s="479"/>
      <c r="K51" s="478"/>
    </row>
    <row r="52" spans="1:11" s="495" customFormat="1" ht="24.95" customHeight="1">
      <c r="A52" s="490"/>
      <c r="B52" s="491" t="s">
        <v>3713</v>
      </c>
      <c r="C52" s="492" t="s">
        <v>3714</v>
      </c>
      <c r="D52" s="493">
        <f>-'SP Attivo Alim'!F42</f>
        <v>0</v>
      </c>
      <c r="E52" s="493">
        <f>-'SP Attivo Alim'!G42</f>
        <v>0</v>
      </c>
      <c r="F52" s="476"/>
      <c r="G52" s="494"/>
      <c r="J52" s="479"/>
      <c r="K52" s="478"/>
    </row>
    <row r="53" spans="1:11" s="495" customFormat="1" ht="24.95" customHeight="1">
      <c r="A53" s="496"/>
      <c r="B53" s="486" t="s">
        <v>3717</v>
      </c>
      <c r="C53" s="487" t="s">
        <v>3718</v>
      </c>
      <c r="D53" s="488">
        <f>SUM(D54:D57)</f>
        <v>0</v>
      </c>
      <c r="E53" s="488">
        <f>SUM(E54:E57)</f>
        <v>0</v>
      </c>
      <c r="F53" s="476"/>
      <c r="G53" s="494"/>
      <c r="J53" s="479"/>
      <c r="K53" s="478"/>
    </row>
    <row r="54" spans="1:11" s="495" customFormat="1" ht="24.95" customHeight="1">
      <c r="A54" s="499"/>
      <c r="B54" s="491" t="s">
        <v>3719</v>
      </c>
      <c r="C54" s="492" t="s">
        <v>3720</v>
      </c>
      <c r="D54" s="493">
        <f>-'SP Attivo Alim'!F45</f>
        <v>0</v>
      </c>
      <c r="E54" s="493">
        <f>-'SP Attivo Alim'!G45</f>
        <v>0</v>
      </c>
      <c r="F54" s="476"/>
      <c r="G54" s="494"/>
      <c r="J54" s="479"/>
      <c r="K54" s="478"/>
    </row>
    <row r="55" spans="1:11" s="495" customFormat="1" ht="24.95" customHeight="1">
      <c r="A55" s="490"/>
      <c r="B55" s="491" t="s">
        <v>3723</v>
      </c>
      <c r="C55" s="492" t="s">
        <v>3724</v>
      </c>
      <c r="D55" s="493">
        <f>-'SP Attivo Alim'!F47</f>
        <v>0</v>
      </c>
      <c r="E55" s="493">
        <f>-'SP Attivo Alim'!G47</f>
        <v>0</v>
      </c>
      <c r="F55" s="476"/>
      <c r="G55" s="494"/>
      <c r="J55" s="479"/>
      <c r="K55" s="478"/>
    </row>
    <row r="56" spans="1:11" s="495" customFormat="1" ht="24.95" customHeight="1">
      <c r="A56" s="490"/>
      <c r="B56" s="491" t="s">
        <v>3727</v>
      </c>
      <c r="C56" s="492" t="s">
        <v>3728</v>
      </c>
      <c r="D56" s="493">
        <f>-'SP Attivo Alim'!F49</f>
        <v>0</v>
      </c>
      <c r="E56" s="493">
        <f>-'SP Attivo Alim'!G49</f>
        <v>0</v>
      </c>
      <c r="F56" s="476"/>
      <c r="G56" s="494"/>
      <c r="J56" s="479"/>
      <c r="K56" s="478"/>
    </row>
    <row r="57" spans="1:11" s="495" customFormat="1" ht="24.95" customHeight="1" thickBot="1">
      <c r="A57" s="500"/>
      <c r="B57" s="501" t="s">
        <v>3731</v>
      </c>
      <c r="C57" s="502" t="s">
        <v>3732</v>
      </c>
      <c r="D57" s="493">
        <f>-'SP Attivo Alim'!F51</f>
        <v>0</v>
      </c>
      <c r="E57" s="493">
        <f>-'SP Attivo Alim'!G51</f>
        <v>0</v>
      </c>
      <c r="F57" s="476"/>
      <c r="G57" s="494"/>
      <c r="J57" s="479"/>
      <c r="K57" s="478"/>
    </row>
    <row r="58" spans="1:11" s="495" customFormat="1" ht="24.95" customHeight="1">
      <c r="A58" s="503"/>
      <c r="B58" s="504" t="s">
        <v>3735</v>
      </c>
      <c r="C58" s="505" t="s">
        <v>5164</v>
      </c>
      <c r="D58" s="506">
        <f>+D59+D62+D69+D72+D75+D78+D81+D82+D85-D86</f>
        <v>326187412.60000002</v>
      </c>
      <c r="E58" s="506">
        <f>+E59+E62+E69+E72+E75+E78+E81+E82+E85-E86</f>
        <v>327248853.63999999</v>
      </c>
      <c r="F58" s="484"/>
      <c r="G58" s="477"/>
      <c r="J58" s="479"/>
      <c r="K58" s="478"/>
    </row>
    <row r="59" spans="1:11" s="495" customFormat="1" ht="24.95" customHeight="1">
      <c r="A59" s="496"/>
      <c r="B59" s="486" t="s">
        <v>3737</v>
      </c>
      <c r="C59" s="487" t="s">
        <v>3738</v>
      </c>
      <c r="D59" s="488">
        <f>+D60+D61</f>
        <v>1843437.04</v>
      </c>
      <c r="E59" s="488">
        <f>+E60+E61</f>
        <v>1843437.04</v>
      </c>
      <c r="F59" s="476"/>
      <c r="G59" s="477"/>
      <c r="J59" s="479"/>
      <c r="K59" s="478"/>
    </row>
    <row r="60" spans="1:11" s="495" customFormat="1" ht="24.95" customHeight="1">
      <c r="A60" s="490"/>
      <c r="B60" s="491" t="s">
        <v>3739</v>
      </c>
      <c r="C60" s="492" t="s">
        <v>3740</v>
      </c>
      <c r="D60" s="493">
        <f>+'SP Attivo Alim'!F55</f>
        <v>497009.77</v>
      </c>
      <c r="E60" s="493">
        <f>+'SP Attivo Alim'!G55</f>
        <v>497009.77</v>
      </c>
      <c r="F60" s="476"/>
      <c r="G60" s="494"/>
      <c r="J60" s="479"/>
      <c r="K60" s="478"/>
    </row>
    <row r="61" spans="1:11" s="495" customFormat="1" ht="24.95" customHeight="1">
      <c r="A61" s="490"/>
      <c r="B61" s="491" t="s">
        <v>3743</v>
      </c>
      <c r="C61" s="492" t="s">
        <v>3744</v>
      </c>
      <c r="D61" s="493">
        <f>+'SP Attivo Alim'!F57</f>
        <v>1346427.27</v>
      </c>
      <c r="E61" s="493">
        <f>+'SP Attivo Alim'!G57</f>
        <v>1346427.27</v>
      </c>
      <c r="F61" s="476"/>
      <c r="G61" s="494"/>
      <c r="J61" s="479"/>
      <c r="K61" s="478"/>
    </row>
    <row r="62" spans="1:11" s="495" customFormat="1" ht="24.95" customHeight="1">
      <c r="A62" s="496"/>
      <c r="B62" s="486" t="s">
        <v>3747</v>
      </c>
      <c r="C62" s="487" t="s">
        <v>3748</v>
      </c>
      <c r="D62" s="488">
        <f>+D63+D66</f>
        <v>245700995.31</v>
      </c>
      <c r="E62" s="488">
        <f>+E63+E66</f>
        <v>259725975.18000007</v>
      </c>
      <c r="F62" s="476"/>
      <c r="G62" s="494"/>
      <c r="J62" s="479"/>
      <c r="K62" s="478"/>
    </row>
    <row r="63" spans="1:11" s="495" customFormat="1" ht="24.95" customHeight="1">
      <c r="A63" s="490"/>
      <c r="B63" s="491" t="s">
        <v>3749</v>
      </c>
      <c r="C63" s="492" t="s">
        <v>3750</v>
      </c>
      <c r="D63" s="493">
        <f>+D64-D65</f>
        <v>725059.1100000001</v>
      </c>
      <c r="E63" s="493">
        <f>+E64-E65</f>
        <v>790923.6100000001</v>
      </c>
      <c r="F63" s="596" t="s">
        <v>1835</v>
      </c>
      <c r="G63" s="494"/>
      <c r="J63" s="479"/>
      <c r="K63" s="478"/>
    </row>
    <row r="64" spans="1:11" s="495" customFormat="1" ht="24.95" customHeight="1">
      <c r="A64" s="490"/>
      <c r="B64" s="491" t="s">
        <v>3751</v>
      </c>
      <c r="C64" s="492" t="s">
        <v>3752</v>
      </c>
      <c r="D64" s="493">
        <f>+'SP Attivo Alim'!F61</f>
        <v>2195483.39</v>
      </c>
      <c r="E64" s="493">
        <f>+'SP Attivo Alim'!G61</f>
        <v>2195483.39</v>
      </c>
      <c r="F64" s="476"/>
      <c r="G64" s="494"/>
      <c r="J64" s="479"/>
      <c r="K64" s="478"/>
    </row>
    <row r="65" spans="1:11" s="495" customFormat="1" ht="24.95" customHeight="1">
      <c r="A65" s="490"/>
      <c r="B65" s="491" t="s">
        <v>3755</v>
      </c>
      <c r="C65" s="492" t="s">
        <v>3756</v>
      </c>
      <c r="D65" s="493">
        <f>-'SP Attivo Alim'!F63</f>
        <v>1470424.28</v>
      </c>
      <c r="E65" s="493">
        <f>-'SP Attivo Alim'!G63</f>
        <v>1404559.78</v>
      </c>
      <c r="F65" s="476"/>
      <c r="G65" s="494"/>
      <c r="J65" s="479"/>
      <c r="K65" s="478"/>
    </row>
    <row r="66" spans="1:11" s="495" customFormat="1" ht="24.95" customHeight="1">
      <c r="A66" s="490"/>
      <c r="B66" s="491" t="s">
        <v>3759</v>
      </c>
      <c r="C66" s="492" t="s">
        <v>3760</v>
      </c>
      <c r="D66" s="493">
        <f>+D67-D68</f>
        <v>244975936.19999999</v>
      </c>
      <c r="E66" s="493">
        <f>+E67-E68</f>
        <v>258935051.57000005</v>
      </c>
      <c r="F66" s="596" t="s">
        <v>1835</v>
      </c>
      <c r="G66" s="494"/>
      <c r="J66" s="479"/>
      <c r="K66" s="478"/>
    </row>
    <row r="67" spans="1:11" s="495" customFormat="1" ht="24.95" customHeight="1">
      <c r="A67" s="490"/>
      <c r="B67" s="491" t="s">
        <v>3761</v>
      </c>
      <c r="C67" s="492" t="s">
        <v>3762</v>
      </c>
      <c r="D67" s="493">
        <f>+'SP Attivo Alim'!F66</f>
        <v>541914343.5</v>
      </c>
      <c r="E67" s="493">
        <f>+'SP Attivo Alim'!G66</f>
        <v>539632999.10000002</v>
      </c>
      <c r="F67" s="476"/>
      <c r="G67" s="494"/>
      <c r="J67" s="479"/>
      <c r="K67" s="478"/>
    </row>
    <row r="68" spans="1:11" s="495" customFormat="1" ht="24.95" customHeight="1">
      <c r="A68" s="490"/>
      <c r="B68" s="491" t="s">
        <v>3765</v>
      </c>
      <c r="C68" s="492" t="s">
        <v>3766</v>
      </c>
      <c r="D68" s="493">
        <f>-'SP Attivo Alim'!F68</f>
        <v>296938407.30000001</v>
      </c>
      <c r="E68" s="493">
        <f>-'SP Attivo Alim'!G68</f>
        <v>280697947.52999997</v>
      </c>
      <c r="F68" s="476"/>
      <c r="G68" s="494"/>
      <c r="J68" s="479"/>
      <c r="K68" s="478"/>
    </row>
    <row r="69" spans="1:11" s="495" customFormat="1" ht="24.95" customHeight="1">
      <c r="A69" s="496"/>
      <c r="B69" s="486" t="s">
        <v>3769</v>
      </c>
      <c r="C69" s="487" t="s">
        <v>3770</v>
      </c>
      <c r="D69" s="488">
        <f>+D70-D71</f>
        <v>1335226.1799999997</v>
      </c>
      <c r="E69" s="488">
        <f>+E70-E71</f>
        <v>1459380.1799999997</v>
      </c>
      <c r="F69" s="476"/>
      <c r="G69" s="494"/>
      <c r="J69" s="479"/>
      <c r="K69" s="478"/>
    </row>
    <row r="70" spans="1:11" s="495" customFormat="1" ht="24.95" customHeight="1">
      <c r="A70" s="490"/>
      <c r="B70" s="491" t="s">
        <v>3771</v>
      </c>
      <c r="C70" s="492" t="s">
        <v>3772</v>
      </c>
      <c r="D70" s="493">
        <f>+'SP Attivo Alim'!F71</f>
        <v>51862811.609999999</v>
      </c>
      <c r="E70" s="493">
        <f>+'SP Attivo Alim'!G71</f>
        <v>51583967.170000002</v>
      </c>
      <c r="F70" s="476"/>
      <c r="G70" s="494"/>
      <c r="J70" s="479"/>
      <c r="K70" s="478"/>
    </row>
    <row r="71" spans="1:11" s="495" customFormat="1" ht="24.95" customHeight="1">
      <c r="A71" s="490"/>
      <c r="B71" s="491" t="s">
        <v>3775</v>
      </c>
      <c r="C71" s="492" t="s">
        <v>3776</v>
      </c>
      <c r="D71" s="493">
        <f>-'SP Attivo Alim'!F73</f>
        <v>50527585.43</v>
      </c>
      <c r="E71" s="493">
        <f>-'SP Attivo Alim'!G73</f>
        <v>50124586.990000002</v>
      </c>
      <c r="F71" s="476"/>
      <c r="G71" s="494"/>
      <c r="J71" s="479"/>
      <c r="K71" s="478"/>
    </row>
    <row r="72" spans="1:11" s="495" customFormat="1" ht="24.95" customHeight="1">
      <c r="A72" s="496"/>
      <c r="B72" s="486" t="s">
        <v>3779</v>
      </c>
      <c r="C72" s="487" t="s">
        <v>3780</v>
      </c>
      <c r="D72" s="488">
        <f>+D73-D74</f>
        <v>20179404.140000015</v>
      </c>
      <c r="E72" s="488">
        <f>+E73-E74</f>
        <v>18593205.319999993</v>
      </c>
      <c r="F72" s="476"/>
      <c r="G72" s="494"/>
      <c r="J72" s="479"/>
      <c r="K72" s="478"/>
    </row>
    <row r="73" spans="1:11" s="495" customFormat="1" ht="24.95" customHeight="1">
      <c r="A73" s="490"/>
      <c r="B73" s="491" t="s">
        <v>3781</v>
      </c>
      <c r="C73" s="492" t="s">
        <v>3782</v>
      </c>
      <c r="D73" s="493">
        <f>+'SP Attivo Alim'!F76</f>
        <v>139596356.21000001</v>
      </c>
      <c r="E73" s="493">
        <f>+'SP Attivo Alim'!G76</f>
        <v>131016391.48999999</v>
      </c>
      <c r="F73" s="476"/>
      <c r="G73" s="494"/>
      <c r="J73" s="479"/>
      <c r="K73" s="478"/>
    </row>
    <row r="74" spans="1:11" s="495" customFormat="1" ht="24.95" customHeight="1">
      <c r="A74" s="490"/>
      <c r="B74" s="491" t="s">
        <v>3785</v>
      </c>
      <c r="C74" s="492" t="s">
        <v>3786</v>
      </c>
      <c r="D74" s="493">
        <f>-'SP Attivo Alim'!F78</f>
        <v>119416952.06999999</v>
      </c>
      <c r="E74" s="493">
        <f>-'SP Attivo Alim'!G78</f>
        <v>112423186.17</v>
      </c>
      <c r="F74" s="476"/>
      <c r="G74" s="494"/>
      <c r="J74" s="479"/>
      <c r="K74" s="478"/>
    </row>
    <row r="75" spans="1:11" s="495" customFormat="1" ht="24.95" customHeight="1">
      <c r="A75" s="496"/>
      <c r="B75" s="486" t="s">
        <v>3789</v>
      </c>
      <c r="C75" s="487" t="s">
        <v>3790</v>
      </c>
      <c r="D75" s="488">
        <f>+D76-D77</f>
        <v>2009040.7699999996</v>
      </c>
      <c r="E75" s="488">
        <f>+E76-E77</f>
        <v>1334263.5199999996</v>
      </c>
      <c r="F75" s="476"/>
      <c r="G75" s="494"/>
      <c r="J75" s="479"/>
      <c r="K75" s="478"/>
    </row>
    <row r="76" spans="1:11" s="495" customFormat="1" ht="24.95" customHeight="1">
      <c r="A76" s="490"/>
      <c r="B76" s="491" t="s">
        <v>3791</v>
      </c>
      <c r="C76" s="492" t="s">
        <v>3792</v>
      </c>
      <c r="D76" s="493">
        <f>+'SP Attivo Alim'!F81</f>
        <v>27646624.440000001</v>
      </c>
      <c r="E76" s="493">
        <f>+'SP Attivo Alim'!G81</f>
        <v>26537667.960000001</v>
      </c>
      <c r="F76" s="476"/>
      <c r="G76" s="494"/>
      <c r="J76" s="479"/>
      <c r="K76" s="478"/>
    </row>
    <row r="77" spans="1:11" s="495" customFormat="1" ht="24.95" customHeight="1">
      <c r="A77" s="490"/>
      <c r="B77" s="491" t="s">
        <v>3795</v>
      </c>
      <c r="C77" s="492" t="s">
        <v>3796</v>
      </c>
      <c r="D77" s="493">
        <f>-'SP Attivo Alim'!F83</f>
        <v>25637583.670000002</v>
      </c>
      <c r="E77" s="493">
        <f>-'SP Attivo Alim'!G83</f>
        <v>25203404.440000001</v>
      </c>
      <c r="F77" s="476"/>
      <c r="G77" s="494"/>
      <c r="J77" s="479"/>
      <c r="K77" s="478"/>
    </row>
    <row r="78" spans="1:11" s="495" customFormat="1" ht="24.95" customHeight="1">
      <c r="A78" s="496"/>
      <c r="B78" s="486" t="s">
        <v>3799</v>
      </c>
      <c r="C78" s="487" t="s">
        <v>3800</v>
      </c>
      <c r="D78" s="488">
        <f>+D79-D80</f>
        <v>1060112.3799999999</v>
      </c>
      <c r="E78" s="488">
        <f>+E79-E80</f>
        <v>614171.20000000019</v>
      </c>
      <c r="F78" s="476"/>
      <c r="G78" s="494"/>
      <c r="J78" s="479"/>
      <c r="K78" s="478"/>
    </row>
    <row r="79" spans="1:11" s="495" customFormat="1" ht="24.95" customHeight="1">
      <c r="A79" s="490"/>
      <c r="B79" s="491" t="s">
        <v>3801</v>
      </c>
      <c r="C79" s="492" t="s">
        <v>3802</v>
      </c>
      <c r="D79" s="493">
        <f>+'SP Attivo Alim'!F86</f>
        <v>6489996.79</v>
      </c>
      <c r="E79" s="493">
        <f>+'SP Attivo Alim'!G86</f>
        <v>5732752.3200000003</v>
      </c>
      <c r="F79" s="476"/>
      <c r="G79" s="494"/>
      <c r="J79" s="479"/>
      <c r="K79" s="478"/>
    </row>
    <row r="80" spans="1:11" s="495" customFormat="1" ht="24.95" customHeight="1">
      <c r="A80" s="490"/>
      <c r="B80" s="491" t="s">
        <v>3805</v>
      </c>
      <c r="C80" s="492" t="s">
        <v>3806</v>
      </c>
      <c r="D80" s="493">
        <f>-'SP Attivo Alim'!F88</f>
        <v>5429884.4100000001</v>
      </c>
      <c r="E80" s="493">
        <f>-'SP Attivo Alim'!G88</f>
        <v>5118581.12</v>
      </c>
      <c r="F80" s="476"/>
      <c r="G80" s="494"/>
      <c r="J80" s="479"/>
      <c r="K80" s="478"/>
    </row>
    <row r="81" spans="1:11" s="495" customFormat="1" ht="24.95" customHeight="1">
      <c r="A81" s="490"/>
      <c r="B81" s="497" t="s">
        <v>3809</v>
      </c>
      <c r="C81" s="498" t="s">
        <v>3810</v>
      </c>
      <c r="D81" s="493">
        <f>+'SP Attivo Alim'!F90</f>
        <v>289398.36</v>
      </c>
      <c r="E81" s="493">
        <f>+'SP Attivo Alim'!G90</f>
        <v>44398.36</v>
      </c>
      <c r="F81" s="476"/>
      <c r="G81" s="494"/>
      <c r="J81" s="479"/>
      <c r="K81" s="478"/>
    </row>
    <row r="82" spans="1:11" s="495" customFormat="1" ht="24.95" customHeight="1">
      <c r="A82" s="496"/>
      <c r="B82" s="486" t="s">
        <v>3813</v>
      </c>
      <c r="C82" s="487" t="s">
        <v>3814</v>
      </c>
      <c r="D82" s="488">
        <f>+D83-D84</f>
        <v>2798136.6400000006</v>
      </c>
      <c r="E82" s="488">
        <f>+E83-E84</f>
        <v>2652507.450000003</v>
      </c>
      <c r="F82" s="476"/>
      <c r="G82" s="494"/>
      <c r="J82" s="479"/>
      <c r="K82" s="478"/>
    </row>
    <row r="83" spans="1:11" s="495" customFormat="1" ht="24.95" customHeight="1">
      <c r="A83" s="490"/>
      <c r="B83" s="491" t="s">
        <v>3815</v>
      </c>
      <c r="C83" s="492" t="s">
        <v>3816</v>
      </c>
      <c r="D83" s="493">
        <f>+'SP Attivo Alim'!F93</f>
        <v>44086868.350000001</v>
      </c>
      <c r="E83" s="493">
        <f>+'SP Attivo Alim'!G93</f>
        <v>42430932.530000001</v>
      </c>
      <c r="F83" s="476"/>
      <c r="G83" s="494"/>
      <c r="J83" s="479"/>
      <c r="K83" s="478"/>
    </row>
    <row r="84" spans="1:11" s="495" customFormat="1" ht="24.95" customHeight="1">
      <c r="A84" s="490"/>
      <c r="B84" s="491" t="s">
        <v>3819</v>
      </c>
      <c r="C84" s="492" t="s">
        <v>3820</v>
      </c>
      <c r="D84" s="493">
        <f>-'SP Attivo Alim'!F95</f>
        <v>41288731.710000001</v>
      </c>
      <c r="E84" s="493">
        <f>-'SP Attivo Alim'!G95</f>
        <v>39778425.079999998</v>
      </c>
      <c r="F84" s="476"/>
      <c r="G84" s="494"/>
      <c r="J84" s="479"/>
      <c r="K84" s="478"/>
    </row>
    <row r="85" spans="1:11" s="495" customFormat="1" ht="24.95" customHeight="1">
      <c r="A85" s="490"/>
      <c r="B85" s="497" t="s">
        <v>3823</v>
      </c>
      <c r="C85" s="498" t="s">
        <v>3824</v>
      </c>
      <c r="D85" s="493">
        <f>'SP Attivo Alim'!F97</f>
        <v>50971661.780000001</v>
      </c>
      <c r="E85" s="493">
        <f>'SP Attivo Alim'!G97</f>
        <v>40981515.390000001</v>
      </c>
      <c r="F85" s="476"/>
      <c r="G85" s="494"/>
      <c r="J85" s="479"/>
      <c r="K85" s="478"/>
    </row>
    <row r="86" spans="1:11" s="495" customFormat="1" ht="24.95" customHeight="1">
      <c r="A86" s="496"/>
      <c r="B86" s="486" t="s">
        <v>3827</v>
      </c>
      <c r="C86" s="487" t="s">
        <v>3828</v>
      </c>
      <c r="D86" s="488">
        <f>SUM(D87:D94)</f>
        <v>0</v>
      </c>
      <c r="E86" s="488">
        <f>SUM(E87:E94)</f>
        <v>0</v>
      </c>
      <c r="F86" s="476"/>
      <c r="G86" s="494"/>
      <c r="J86" s="479"/>
      <c r="K86" s="478"/>
    </row>
    <row r="87" spans="1:11" s="495" customFormat="1" ht="24.95" customHeight="1">
      <c r="A87" s="490"/>
      <c r="B87" s="491" t="s">
        <v>3829</v>
      </c>
      <c r="C87" s="492" t="s">
        <v>3830</v>
      </c>
      <c r="D87" s="493">
        <f>-'SP Attivo Alim'!F100-'SP Attivo Alim'!F101</f>
        <v>0</v>
      </c>
      <c r="E87" s="493">
        <f>-'SP Attivo Alim'!G100-'SP Attivo Alim'!G101</f>
        <v>0</v>
      </c>
      <c r="F87" s="476"/>
      <c r="G87" s="494"/>
      <c r="J87" s="479"/>
      <c r="K87" s="478"/>
    </row>
    <row r="88" spans="1:11" s="495" customFormat="1" ht="24.95" customHeight="1">
      <c r="A88" s="490"/>
      <c r="B88" s="491" t="s">
        <v>3835</v>
      </c>
      <c r="C88" s="492" t="s">
        <v>3836</v>
      </c>
      <c r="D88" s="493">
        <f>-'SP Attivo Alim'!F103-'SP Attivo Alim'!F104</f>
        <v>0</v>
      </c>
      <c r="E88" s="493">
        <f>-'SP Attivo Alim'!G103-'SP Attivo Alim'!G104</f>
        <v>0</v>
      </c>
      <c r="F88" s="476"/>
      <c r="G88" s="494"/>
      <c r="J88" s="479"/>
      <c r="K88" s="478"/>
    </row>
    <row r="89" spans="1:11" s="495" customFormat="1" ht="24.95" customHeight="1">
      <c r="A89" s="490"/>
      <c r="B89" s="491" t="s">
        <v>3841</v>
      </c>
      <c r="C89" s="492" t="s">
        <v>3842</v>
      </c>
      <c r="D89" s="493">
        <f>-'SP Attivo Alim'!F106</f>
        <v>0</v>
      </c>
      <c r="E89" s="493">
        <f>-'SP Attivo Alim'!G106</f>
        <v>0</v>
      </c>
      <c r="F89" s="476"/>
      <c r="G89" s="494"/>
      <c r="J89" s="479"/>
      <c r="K89" s="478"/>
    </row>
    <row r="90" spans="1:11" s="495" customFormat="1" ht="24.95" customHeight="1">
      <c r="A90" s="490"/>
      <c r="B90" s="491" t="s">
        <v>3845</v>
      </c>
      <c r="C90" s="492" t="s">
        <v>3846</v>
      </c>
      <c r="D90" s="493">
        <f>-'SP Attivo Alim'!F108</f>
        <v>0</v>
      </c>
      <c r="E90" s="493">
        <f>-'SP Attivo Alim'!G108</f>
        <v>0</v>
      </c>
      <c r="F90" s="476"/>
      <c r="G90" s="494"/>
      <c r="J90" s="479"/>
      <c r="K90" s="478"/>
    </row>
    <row r="91" spans="1:11" s="495" customFormat="1" ht="24.95" customHeight="1">
      <c r="A91" s="490"/>
      <c r="B91" s="491" t="s">
        <v>3849</v>
      </c>
      <c r="C91" s="492" t="s">
        <v>3850</v>
      </c>
      <c r="D91" s="493">
        <f>-'SP Attivo Alim'!F110</f>
        <v>0</v>
      </c>
      <c r="E91" s="493">
        <f>-'SP Attivo Alim'!G110</f>
        <v>0</v>
      </c>
      <c r="F91" s="476"/>
      <c r="G91" s="494"/>
      <c r="J91" s="479"/>
      <c r="K91" s="478"/>
    </row>
    <row r="92" spans="1:11" s="495" customFormat="1" ht="24.95" customHeight="1">
      <c r="A92" s="490"/>
      <c r="B92" s="491" t="s">
        <v>3853</v>
      </c>
      <c r="C92" s="492" t="s">
        <v>3854</v>
      </c>
      <c r="D92" s="493">
        <f>-'SP Attivo Alim'!F112</f>
        <v>0</v>
      </c>
      <c r="E92" s="493">
        <f>-'SP Attivo Alim'!G112</f>
        <v>0</v>
      </c>
      <c r="F92" s="476"/>
      <c r="G92" s="494"/>
      <c r="J92" s="479"/>
      <c r="K92" s="478"/>
    </row>
    <row r="93" spans="1:11" s="495" customFormat="1" ht="24.95" customHeight="1">
      <c r="A93" s="490"/>
      <c r="B93" s="491" t="s">
        <v>3857</v>
      </c>
      <c r="C93" s="492" t="s">
        <v>3858</v>
      </c>
      <c r="D93" s="493">
        <f>-'SP Attivo Alim'!F114</f>
        <v>0</v>
      </c>
      <c r="E93" s="493">
        <f>-'SP Attivo Alim'!G114</f>
        <v>0</v>
      </c>
      <c r="F93" s="476"/>
      <c r="G93" s="494"/>
      <c r="J93" s="479"/>
      <c r="K93" s="478"/>
    </row>
    <row r="94" spans="1:11" s="495" customFormat="1" ht="24.95" customHeight="1" thickBot="1">
      <c r="A94" s="500"/>
      <c r="B94" s="501" t="s">
        <v>3861</v>
      </c>
      <c r="C94" s="502" t="s">
        <v>3862</v>
      </c>
      <c r="D94" s="493">
        <f>-'SP Attivo Alim'!F116</f>
        <v>0</v>
      </c>
      <c r="E94" s="493">
        <f>-'SP Attivo Alim'!G116</f>
        <v>0</v>
      </c>
      <c r="F94" s="476"/>
      <c r="G94" s="494"/>
      <c r="J94" s="479"/>
      <c r="K94" s="478"/>
    </row>
    <row r="95" spans="1:11" s="495" customFormat="1" ht="24.95" customHeight="1">
      <c r="A95" s="503"/>
      <c r="B95" s="504" t="s">
        <v>3865</v>
      </c>
      <c r="C95" s="505" t="s">
        <v>5165</v>
      </c>
      <c r="D95" s="506">
        <f>+D96+D101</f>
        <v>8338182.5899999999</v>
      </c>
      <c r="E95" s="506">
        <f>+E96+E101</f>
        <v>6952182.5899999999</v>
      </c>
      <c r="F95" s="476"/>
      <c r="G95" s="494"/>
      <c r="J95" s="479"/>
      <c r="K95" s="478"/>
    </row>
    <row r="96" spans="1:11" s="495" customFormat="1" ht="24.95" customHeight="1">
      <c r="A96" s="496"/>
      <c r="B96" s="486" t="s">
        <v>3867</v>
      </c>
      <c r="C96" s="487" t="s">
        <v>3868</v>
      </c>
      <c r="D96" s="488">
        <f>SUM(D97:D100)</f>
        <v>6952182.5899999999</v>
      </c>
      <c r="E96" s="488">
        <f>SUM(E97:E100)</f>
        <v>6952182.5899999999</v>
      </c>
      <c r="F96" s="476"/>
      <c r="G96" s="494"/>
      <c r="J96" s="479"/>
      <c r="K96" s="478"/>
    </row>
    <row r="97" spans="1:11" s="495" customFormat="1" ht="24.95" customHeight="1">
      <c r="A97" s="490"/>
      <c r="B97" s="491" t="s">
        <v>3869</v>
      </c>
      <c r="C97" s="492" t="s">
        <v>3870</v>
      </c>
      <c r="D97" s="493">
        <f>+'SP Attivo Alim'!F120+'SP Attivo Alim'!F121</f>
        <v>0</v>
      </c>
      <c r="E97" s="493">
        <f>+'SP Attivo Alim'!G120+'SP Attivo Alim'!G121</f>
        <v>0</v>
      </c>
      <c r="F97" s="476"/>
      <c r="G97" s="494"/>
      <c r="J97" s="479"/>
      <c r="K97" s="478"/>
    </row>
    <row r="98" spans="1:11" s="495" customFormat="1" ht="24.95" customHeight="1">
      <c r="A98" s="490"/>
      <c r="B98" s="491" t="s">
        <v>3875</v>
      </c>
      <c r="C98" s="492" t="s">
        <v>3876</v>
      </c>
      <c r="D98" s="493">
        <f>+'SP Attivo Alim'!F123+'SP Attivo Alim'!F124</f>
        <v>6858338.2800000003</v>
      </c>
      <c r="E98" s="493">
        <f>+'SP Attivo Alim'!G123+'SP Attivo Alim'!G124</f>
        <v>6858338.2800000003</v>
      </c>
      <c r="F98" s="476"/>
      <c r="G98" s="494"/>
      <c r="J98" s="479"/>
      <c r="K98" s="478"/>
    </row>
    <row r="99" spans="1:11" s="495" customFormat="1" ht="24.95" customHeight="1">
      <c r="A99" s="490"/>
      <c r="B99" s="491" t="s">
        <v>3881</v>
      </c>
      <c r="C99" s="492" t="s">
        <v>3882</v>
      </c>
      <c r="D99" s="493">
        <f>+'SP Attivo Alim'!F126+'SP Attivo Alim'!F127</f>
        <v>0</v>
      </c>
      <c r="E99" s="493">
        <f>+'SP Attivo Alim'!G126+'SP Attivo Alim'!G127</f>
        <v>0</v>
      </c>
      <c r="F99" s="476"/>
      <c r="G99" s="494"/>
      <c r="J99" s="479"/>
      <c r="K99" s="478"/>
    </row>
    <row r="100" spans="1:11" s="495" customFormat="1" ht="24.95" customHeight="1">
      <c r="A100" s="490"/>
      <c r="B100" s="491" t="s">
        <v>3887</v>
      </c>
      <c r="C100" s="492" t="s">
        <v>3888</v>
      </c>
      <c r="D100" s="493">
        <f>+'SP Attivo Alim'!F129+'SP Attivo Alim'!F130+'SP Attivo Alim'!F131+'SP Attivo Alim'!F132</f>
        <v>93844.31</v>
      </c>
      <c r="E100" s="493">
        <f>+'SP Attivo Alim'!G129+'SP Attivo Alim'!G130+'SP Attivo Alim'!G131+'SP Attivo Alim'!G132</f>
        <v>93844.31</v>
      </c>
      <c r="F100" s="476"/>
      <c r="G100" s="494"/>
      <c r="J100" s="479"/>
      <c r="K100" s="478"/>
    </row>
    <row r="101" spans="1:11" s="495" customFormat="1" ht="24.95" customHeight="1">
      <c r="A101" s="496"/>
      <c r="B101" s="486" t="s">
        <v>3897</v>
      </c>
      <c r="C101" s="487" t="s">
        <v>3898</v>
      </c>
      <c r="D101" s="488">
        <f>+D102+D103</f>
        <v>1386000</v>
      </c>
      <c r="E101" s="488">
        <f>+E102+E103</f>
        <v>0</v>
      </c>
      <c r="F101" s="476"/>
      <c r="G101" s="494"/>
      <c r="J101" s="479"/>
      <c r="K101" s="478"/>
    </row>
    <row r="102" spans="1:11" s="495" customFormat="1" ht="24.95" customHeight="1">
      <c r="A102" s="490"/>
      <c r="B102" s="491" t="s">
        <v>3899</v>
      </c>
      <c r="C102" s="492" t="s">
        <v>3900</v>
      </c>
      <c r="D102" s="493">
        <f>+'SP Attivo Alim'!F135</f>
        <v>0</v>
      </c>
      <c r="E102" s="493">
        <f>+'SP Attivo Alim'!G135</f>
        <v>0</v>
      </c>
      <c r="F102" s="476"/>
      <c r="G102" s="494"/>
      <c r="J102" s="479"/>
      <c r="K102" s="478"/>
    </row>
    <row r="103" spans="1:11" s="495" customFormat="1" ht="24.95" customHeight="1">
      <c r="A103" s="490"/>
      <c r="B103" s="491" t="s">
        <v>3903</v>
      </c>
      <c r="C103" s="492" t="s">
        <v>3904</v>
      </c>
      <c r="D103" s="493">
        <f>SUM(D104:D107)</f>
        <v>1386000</v>
      </c>
      <c r="E103" s="493">
        <f>SUM(E104:E107)</f>
        <v>0</v>
      </c>
      <c r="F103" s="596" t="s">
        <v>1835</v>
      </c>
      <c r="G103" s="494"/>
      <c r="J103" s="479"/>
      <c r="K103" s="478"/>
    </row>
    <row r="104" spans="1:11" s="495" customFormat="1" ht="24.95" customHeight="1">
      <c r="A104" s="490"/>
      <c r="B104" s="491" t="s">
        <v>3905</v>
      </c>
      <c r="C104" s="492" t="s">
        <v>3906</v>
      </c>
      <c r="D104" s="493">
        <f>+'SP Attivo Alim'!F138</f>
        <v>1386000</v>
      </c>
      <c r="E104" s="493">
        <f>+'SP Attivo Alim'!G138</f>
        <v>0</v>
      </c>
      <c r="F104" s="476"/>
      <c r="G104" s="494"/>
      <c r="J104" s="479"/>
      <c r="K104" s="478"/>
    </row>
    <row r="105" spans="1:11" s="495" customFormat="1" ht="24.95" customHeight="1">
      <c r="A105" s="490"/>
      <c r="B105" s="491" t="s">
        <v>3909</v>
      </c>
      <c r="C105" s="492" t="s">
        <v>3910</v>
      </c>
      <c r="D105" s="493">
        <f>+'SP Attivo Alim'!F140</f>
        <v>0</v>
      </c>
      <c r="E105" s="493">
        <f>+'SP Attivo Alim'!G140</f>
        <v>0</v>
      </c>
      <c r="F105" s="476"/>
      <c r="G105" s="494"/>
      <c r="J105" s="479"/>
      <c r="K105" s="478"/>
    </row>
    <row r="106" spans="1:11" s="495" customFormat="1" ht="24.95" customHeight="1">
      <c r="A106" s="490"/>
      <c r="B106" s="491" t="s">
        <v>3913</v>
      </c>
      <c r="C106" s="492" t="s">
        <v>3914</v>
      </c>
      <c r="D106" s="493">
        <f>+'SP Attivo Alim'!F142</f>
        <v>0</v>
      </c>
      <c r="E106" s="493">
        <f>+'SP Attivo Alim'!G142</f>
        <v>0</v>
      </c>
      <c r="F106" s="476"/>
      <c r="G106" s="494"/>
      <c r="J106" s="479"/>
      <c r="K106" s="478"/>
    </row>
    <row r="107" spans="1:11" s="495" customFormat="1" ht="24.95" customHeight="1" thickBot="1">
      <c r="A107" s="500"/>
      <c r="B107" s="501" t="s">
        <v>3917</v>
      </c>
      <c r="C107" s="502" t="s">
        <v>3918</v>
      </c>
      <c r="D107" s="493">
        <f>+'SP Attivo Alim'!F144</f>
        <v>0</v>
      </c>
      <c r="E107" s="493">
        <f>+'SP Attivo Alim'!G144</f>
        <v>0</v>
      </c>
      <c r="F107" s="476"/>
      <c r="G107" s="494"/>
      <c r="J107" s="479"/>
      <c r="K107" s="478"/>
    </row>
    <row r="108" spans="1:11" s="495" customFormat="1" ht="24.95" customHeight="1">
      <c r="A108" s="472"/>
      <c r="B108" s="473" t="s">
        <v>3921</v>
      </c>
      <c r="C108" s="474" t="s">
        <v>3922</v>
      </c>
      <c r="D108" s="507">
        <f>+D109+D128+D192+D195</f>
        <v>647221600.28000009</v>
      </c>
      <c r="E108" s="507">
        <f>+E109+E128+E192+E195</f>
        <v>603048560.25</v>
      </c>
      <c r="F108" s="476"/>
      <c r="G108" s="494"/>
      <c r="J108" s="479"/>
      <c r="K108" s="478"/>
    </row>
    <row r="109" spans="1:11" s="495" customFormat="1" ht="24.95" customHeight="1">
      <c r="A109" s="480"/>
      <c r="B109" s="481" t="s">
        <v>3923</v>
      </c>
      <c r="C109" s="482" t="s">
        <v>3924</v>
      </c>
      <c r="D109" s="483">
        <f>+D110+D120</f>
        <v>4304019.6400000006</v>
      </c>
      <c r="E109" s="483">
        <f>+E110+E120</f>
        <v>3727399.29</v>
      </c>
      <c r="F109" s="476"/>
      <c r="G109" s="494"/>
      <c r="J109" s="479"/>
      <c r="K109" s="478"/>
    </row>
    <row r="110" spans="1:11" s="495" customFormat="1" ht="24.95" customHeight="1">
      <c r="A110" s="496"/>
      <c r="B110" s="486" t="s">
        <v>3925</v>
      </c>
      <c r="C110" s="487" t="s">
        <v>3926</v>
      </c>
      <c r="D110" s="488">
        <f>SUM(D111:D119)</f>
        <v>4129107.7500000009</v>
      </c>
      <c r="E110" s="488">
        <f>SUM(E111:E119)</f>
        <v>3403572.29</v>
      </c>
      <c r="F110" s="476"/>
      <c r="G110" s="494"/>
      <c r="J110" s="479"/>
      <c r="K110" s="478"/>
    </row>
    <row r="111" spans="1:11" s="495" customFormat="1" ht="24.95" customHeight="1">
      <c r="A111" s="490"/>
      <c r="B111" s="491" t="s">
        <v>3927</v>
      </c>
      <c r="C111" s="492" t="s">
        <v>3928</v>
      </c>
      <c r="D111" s="493">
        <f>+'SP Attivo Alim'!F149+'SP Attivo Alim'!F150+'SP Attivo Alim'!F151</f>
        <v>633426.69999999995</v>
      </c>
      <c r="E111" s="493">
        <f>+'SP Attivo Alim'!G149+'SP Attivo Alim'!G150+'SP Attivo Alim'!G151</f>
        <v>191970.75</v>
      </c>
      <c r="F111" s="476"/>
      <c r="G111" s="494"/>
      <c r="J111" s="479"/>
      <c r="K111" s="478"/>
    </row>
    <row r="112" spans="1:11" s="495" customFormat="1" ht="24.95" customHeight="1">
      <c r="A112" s="490"/>
      <c r="B112" s="491" t="s">
        <v>3935</v>
      </c>
      <c r="C112" s="492" t="s">
        <v>3936</v>
      </c>
      <c r="D112" s="493">
        <f>+'SP Attivo Alim'!F153</f>
        <v>0</v>
      </c>
      <c r="E112" s="493">
        <f>+'SP Attivo Alim'!G153</f>
        <v>0</v>
      </c>
      <c r="F112" s="476"/>
      <c r="G112" s="494"/>
      <c r="J112" s="479"/>
      <c r="K112" s="478"/>
    </row>
    <row r="113" spans="1:11" s="495" customFormat="1" ht="24.95" customHeight="1">
      <c r="A113" s="490"/>
      <c r="B113" s="491" t="s">
        <v>3939</v>
      </c>
      <c r="C113" s="492" t="s">
        <v>3940</v>
      </c>
      <c r="D113" s="493">
        <f>+'SP Attivo Alim'!F155+'SP Attivo Alim'!F156+'SP Attivo Alim'!F157</f>
        <v>3319186.9800000004</v>
      </c>
      <c r="E113" s="493">
        <f>+'SP Attivo Alim'!G155+'SP Attivo Alim'!G156+'SP Attivo Alim'!G157</f>
        <v>3139976.8200000003</v>
      </c>
      <c r="F113" s="476"/>
      <c r="G113" s="494"/>
      <c r="J113" s="479"/>
      <c r="K113" s="478"/>
    </row>
    <row r="114" spans="1:11" s="495" customFormat="1" ht="24.95" customHeight="1">
      <c r="A114" s="490"/>
      <c r="B114" s="491" t="s">
        <v>3947</v>
      </c>
      <c r="C114" s="492" t="s">
        <v>3948</v>
      </c>
      <c r="D114" s="493">
        <f>+'SP Attivo Alim'!F159</f>
        <v>21008.44</v>
      </c>
      <c r="E114" s="493">
        <f>+'SP Attivo Alim'!G159</f>
        <v>14219.5</v>
      </c>
      <c r="F114" s="476"/>
      <c r="G114" s="494"/>
      <c r="J114" s="479"/>
      <c r="K114" s="478"/>
    </row>
    <row r="115" spans="1:11" s="495" customFormat="1" ht="24.95" customHeight="1">
      <c r="A115" s="490"/>
      <c r="B115" s="491" t="s">
        <v>3951</v>
      </c>
      <c r="C115" s="492" t="s">
        <v>3952</v>
      </c>
      <c r="D115" s="493">
        <f>+'SP Attivo Alim'!F161</f>
        <v>0</v>
      </c>
      <c r="E115" s="493">
        <f>+'SP Attivo Alim'!G161</f>
        <v>0</v>
      </c>
      <c r="F115" s="476"/>
      <c r="G115" s="494"/>
      <c r="J115" s="479"/>
      <c r="K115" s="478"/>
    </row>
    <row r="116" spans="1:11" s="495" customFormat="1" ht="24.95" customHeight="1">
      <c r="A116" s="490"/>
      <c r="B116" s="491" t="s">
        <v>3955</v>
      </c>
      <c r="C116" s="492" t="s">
        <v>3956</v>
      </c>
      <c r="D116" s="493">
        <f>+'SP Attivo Alim'!F163</f>
        <v>35525.89</v>
      </c>
      <c r="E116" s="493">
        <f>+'SP Attivo Alim'!G163</f>
        <v>14060.6</v>
      </c>
      <c r="F116" s="476"/>
      <c r="G116" s="494"/>
      <c r="J116" s="479"/>
      <c r="K116" s="478"/>
    </row>
    <row r="117" spans="1:11" s="495" customFormat="1" ht="24.95" customHeight="1">
      <c r="A117" s="508"/>
      <c r="B117" s="491" t="s">
        <v>3959</v>
      </c>
      <c r="C117" s="492" t="s">
        <v>3960</v>
      </c>
      <c r="D117" s="493">
        <f>+'SP Attivo Alim'!F165</f>
        <v>20.45</v>
      </c>
      <c r="E117" s="493">
        <f>+'SP Attivo Alim'!G165</f>
        <v>61.36</v>
      </c>
      <c r="F117" s="476"/>
      <c r="G117" s="494"/>
      <c r="J117" s="479"/>
      <c r="K117" s="478"/>
    </row>
    <row r="118" spans="1:11" s="495" customFormat="1" ht="24.95" customHeight="1">
      <c r="A118" s="490"/>
      <c r="B118" s="491" t="s">
        <v>3963</v>
      </c>
      <c r="C118" s="492" t="s">
        <v>3964</v>
      </c>
      <c r="D118" s="493">
        <f>+'SP Attivo Alim'!F167</f>
        <v>119939.29</v>
      </c>
      <c r="E118" s="493">
        <f>+'SP Attivo Alim'!G167</f>
        <v>43283.26</v>
      </c>
      <c r="F118" s="476"/>
      <c r="G118" s="494"/>
      <c r="J118" s="479"/>
      <c r="K118" s="478"/>
    </row>
    <row r="119" spans="1:11" s="495" customFormat="1" ht="24.95" customHeight="1">
      <c r="A119" s="490"/>
      <c r="B119" s="491" t="s">
        <v>3967</v>
      </c>
      <c r="C119" s="492" t="s">
        <v>3968</v>
      </c>
      <c r="D119" s="493">
        <f>+'SP Attivo Alim'!F169</f>
        <v>0</v>
      </c>
      <c r="E119" s="493">
        <f>+'SP Attivo Alim'!G169</f>
        <v>0</v>
      </c>
      <c r="F119" s="476"/>
      <c r="G119" s="494"/>
      <c r="J119" s="479"/>
      <c r="K119" s="478"/>
    </row>
    <row r="120" spans="1:11" s="495" customFormat="1" ht="24.95" customHeight="1">
      <c r="A120" s="496"/>
      <c r="B120" s="486" t="s">
        <v>3971</v>
      </c>
      <c r="C120" s="487" t="s">
        <v>3972</v>
      </c>
      <c r="D120" s="488">
        <f>SUM(D121:D127)</f>
        <v>174911.89</v>
      </c>
      <c r="E120" s="488">
        <f>SUM(E121:E127)</f>
        <v>323827</v>
      </c>
      <c r="F120" s="476"/>
      <c r="G120" s="494"/>
      <c r="J120" s="479"/>
      <c r="K120" s="478"/>
    </row>
    <row r="121" spans="1:11" s="495" customFormat="1" ht="24.95" customHeight="1">
      <c r="A121" s="490"/>
      <c r="B121" s="491" t="s">
        <v>3973</v>
      </c>
      <c r="C121" s="492" t="s">
        <v>3974</v>
      </c>
      <c r="D121" s="493">
        <f>+'SP Attivo Alim'!F172</f>
        <v>753.96</v>
      </c>
      <c r="E121" s="493">
        <f>+'SP Attivo Alim'!G172</f>
        <v>326.72000000000003</v>
      </c>
      <c r="F121" s="476"/>
      <c r="G121" s="494"/>
      <c r="J121" s="479"/>
      <c r="K121" s="478"/>
    </row>
    <row r="122" spans="1:11" s="495" customFormat="1" ht="24.95" customHeight="1">
      <c r="A122" s="490"/>
      <c r="B122" s="491" t="s">
        <v>3977</v>
      </c>
      <c r="C122" s="492" t="s">
        <v>3978</v>
      </c>
      <c r="D122" s="493">
        <f>+'SP Attivo Alim'!F174</f>
        <v>121656.5</v>
      </c>
      <c r="E122" s="493">
        <f>+'SP Attivo Alim'!G174</f>
        <v>252379.99</v>
      </c>
      <c r="F122" s="476"/>
      <c r="G122" s="494"/>
      <c r="J122" s="479"/>
      <c r="K122" s="478"/>
    </row>
    <row r="123" spans="1:11" s="495" customFormat="1" ht="24.95" customHeight="1">
      <c r="A123" s="490"/>
      <c r="B123" s="491" t="s">
        <v>3981</v>
      </c>
      <c r="C123" s="492" t="s">
        <v>3982</v>
      </c>
      <c r="D123" s="493">
        <f>+'SP Attivo Alim'!F176</f>
        <v>0</v>
      </c>
      <c r="E123" s="493">
        <f>+'SP Attivo Alim'!G176</f>
        <v>0</v>
      </c>
      <c r="F123" s="476"/>
      <c r="G123" s="494"/>
      <c r="J123" s="479"/>
      <c r="K123" s="478"/>
    </row>
    <row r="124" spans="1:11" s="495" customFormat="1" ht="24.95" customHeight="1">
      <c r="A124" s="490"/>
      <c r="B124" s="491" t="s">
        <v>3985</v>
      </c>
      <c r="C124" s="492" t="s">
        <v>3986</v>
      </c>
      <c r="D124" s="493">
        <f>+'SP Attivo Alim'!F178</f>
        <v>34230.559999999998</v>
      </c>
      <c r="E124" s="493">
        <f>+'SP Attivo Alim'!G178</f>
        <v>51561.48</v>
      </c>
      <c r="F124" s="476"/>
      <c r="G124" s="494"/>
      <c r="J124" s="479"/>
      <c r="K124" s="478"/>
    </row>
    <row r="125" spans="1:11" s="495" customFormat="1" ht="24.95" customHeight="1">
      <c r="A125" s="490"/>
      <c r="B125" s="491" t="s">
        <v>3989</v>
      </c>
      <c r="C125" s="492" t="s">
        <v>3990</v>
      </c>
      <c r="D125" s="493">
        <f>+'SP Attivo Alim'!F180</f>
        <v>8419.81</v>
      </c>
      <c r="E125" s="493">
        <f>+'SP Attivo Alim'!G180</f>
        <v>6158.23</v>
      </c>
      <c r="F125" s="476"/>
      <c r="G125" s="494"/>
      <c r="J125" s="479"/>
      <c r="K125" s="478"/>
    </row>
    <row r="126" spans="1:11" s="495" customFormat="1" ht="24.95" customHeight="1">
      <c r="A126" s="490"/>
      <c r="B126" s="491" t="s">
        <v>3993</v>
      </c>
      <c r="C126" s="492" t="s">
        <v>3994</v>
      </c>
      <c r="D126" s="493">
        <f>+'SP Attivo Alim'!F182</f>
        <v>9851.06</v>
      </c>
      <c r="E126" s="493">
        <f>+'SP Attivo Alim'!G182</f>
        <v>13400.58</v>
      </c>
      <c r="F126" s="476"/>
      <c r="G126" s="494"/>
      <c r="J126" s="479"/>
      <c r="K126" s="478"/>
    </row>
    <row r="127" spans="1:11" s="495" customFormat="1" ht="24.95" customHeight="1" thickBot="1">
      <c r="A127" s="500"/>
      <c r="B127" s="501" t="s">
        <v>3997</v>
      </c>
      <c r="C127" s="502" t="s">
        <v>3998</v>
      </c>
      <c r="D127" s="493">
        <f>+'SP Attivo Alim'!F184</f>
        <v>0</v>
      </c>
      <c r="E127" s="493">
        <f>+'SP Attivo Alim'!G184</f>
        <v>0</v>
      </c>
      <c r="F127" s="476"/>
      <c r="G127" s="494"/>
      <c r="J127" s="479"/>
      <c r="K127" s="478"/>
    </row>
    <row r="128" spans="1:11" s="495" customFormat="1" ht="24.95" customHeight="1">
      <c r="A128" s="503"/>
      <c r="B128" s="504" t="s">
        <v>4001</v>
      </c>
      <c r="C128" s="505" t="s">
        <v>5166</v>
      </c>
      <c r="D128" s="506">
        <f>+D129+D145+D166+D167+D176++D180+D181</f>
        <v>419809172.17000008</v>
      </c>
      <c r="E128" s="506">
        <f>+E129+E145+E166+E167+E176++E180+E181</f>
        <v>419801874.47999996</v>
      </c>
      <c r="F128" s="476"/>
      <c r="G128" s="494"/>
      <c r="J128" s="479"/>
      <c r="K128" s="478"/>
    </row>
    <row r="129" spans="1:11" s="495" customFormat="1" ht="24.95" customHeight="1">
      <c r="A129" s="496"/>
      <c r="B129" s="486" t="s">
        <v>4003</v>
      </c>
      <c r="C129" s="487" t="s">
        <v>4004</v>
      </c>
      <c r="D129" s="488">
        <f>SUM(D130:D139,D144)</f>
        <v>58992277.479999997</v>
      </c>
      <c r="E129" s="488">
        <f>SUM(E130:E139,E144)</f>
        <v>64615209.409999996</v>
      </c>
      <c r="F129" s="476"/>
      <c r="G129" s="494"/>
      <c r="J129" s="479"/>
      <c r="K129" s="478"/>
    </row>
    <row r="130" spans="1:11" s="266" customFormat="1" ht="24.95" customHeight="1">
      <c r="A130" s="509" t="s">
        <v>1297</v>
      </c>
      <c r="B130" s="510" t="s">
        <v>4005</v>
      </c>
      <c r="C130" s="511" t="s">
        <v>4006</v>
      </c>
      <c r="D130" s="493">
        <f>+'SP Attivo Alim'!F188+'SP Attivo Alim'!F189</f>
        <v>0</v>
      </c>
      <c r="E130" s="493">
        <f>+'SP Attivo Alim'!G188+'SP Attivo Alim'!G189</f>
        <v>3981045</v>
      </c>
      <c r="F130" s="484"/>
      <c r="G130" s="512"/>
      <c r="J130" s="479"/>
      <c r="K130" s="478"/>
    </row>
    <row r="131" spans="1:11" s="266" customFormat="1" ht="24.95" customHeight="1">
      <c r="A131" s="509" t="s">
        <v>1297</v>
      </c>
      <c r="B131" s="510" t="s">
        <v>4011</v>
      </c>
      <c r="C131" s="511" t="s">
        <v>4012</v>
      </c>
      <c r="D131" s="493">
        <f>+'SP Attivo Alim'!F191+'SP Attivo Alim'!F192</f>
        <v>12875712.859999999</v>
      </c>
      <c r="E131" s="493">
        <f>+'SP Attivo Alim'!G191+'SP Attivo Alim'!G192</f>
        <v>12875712.859999999</v>
      </c>
      <c r="F131" s="513"/>
      <c r="G131" s="514"/>
      <c r="J131" s="479"/>
      <c r="K131" s="478"/>
    </row>
    <row r="132" spans="1:11" s="266" customFormat="1" ht="24.95" customHeight="1">
      <c r="A132" s="509" t="s">
        <v>1293</v>
      </c>
      <c r="B132" s="510" t="s">
        <v>4017</v>
      </c>
      <c r="C132" s="511" t="s">
        <v>4018</v>
      </c>
      <c r="D132" s="493">
        <f>+'SP Attivo Alim'!F194+'SP Attivo Alim'!F195</f>
        <v>0</v>
      </c>
      <c r="E132" s="493">
        <f>+'SP Attivo Alim'!G194+'SP Attivo Alim'!G195</f>
        <v>0</v>
      </c>
      <c r="F132" s="513"/>
      <c r="G132" s="514"/>
      <c r="J132" s="479"/>
      <c r="K132" s="478"/>
    </row>
    <row r="133" spans="1:11" s="266" customFormat="1" ht="24.95" customHeight="1">
      <c r="A133" s="515"/>
      <c r="B133" s="510" t="s">
        <v>4023</v>
      </c>
      <c r="C133" s="511" t="s">
        <v>4024</v>
      </c>
      <c r="D133" s="493">
        <f>+'SP Attivo Alim'!F197+'SP Attivo Alim'!F198</f>
        <v>0</v>
      </c>
      <c r="E133" s="493">
        <f>+'SP Attivo Alim'!G197+'SP Attivo Alim'!G198</f>
        <v>0</v>
      </c>
      <c r="F133" s="513"/>
      <c r="G133" s="514"/>
      <c r="J133" s="479"/>
      <c r="K133" s="478"/>
    </row>
    <row r="134" spans="1:11" s="266" customFormat="1" ht="30" customHeight="1">
      <c r="A134" s="509" t="s">
        <v>1297</v>
      </c>
      <c r="B134" s="510" t="s">
        <v>4029</v>
      </c>
      <c r="C134" s="511" t="s">
        <v>4030</v>
      </c>
      <c r="D134" s="493">
        <f>+'SP Attivo Alim'!F200+'SP Attivo Alim'!F201</f>
        <v>0</v>
      </c>
      <c r="E134" s="493">
        <f>+'SP Attivo Alim'!G200+'SP Attivo Alim'!G201</f>
        <v>0</v>
      </c>
      <c r="F134" s="513"/>
      <c r="G134" s="514"/>
      <c r="J134" s="479"/>
      <c r="K134" s="478"/>
    </row>
    <row r="135" spans="1:11" s="266" customFormat="1" ht="24.95" customHeight="1">
      <c r="A135" s="509" t="s">
        <v>1297</v>
      </c>
      <c r="B135" s="510" t="s">
        <v>4035</v>
      </c>
      <c r="C135" s="511" t="s">
        <v>4036</v>
      </c>
      <c r="D135" s="493">
        <f>+'SP Attivo Alim'!F203+'SP Attivo Alim'!F204</f>
        <v>0</v>
      </c>
      <c r="E135" s="493">
        <f>+'SP Attivo Alim'!G203+'SP Attivo Alim'!G204</f>
        <v>0</v>
      </c>
      <c r="F135" s="513"/>
      <c r="G135" s="514"/>
      <c r="J135" s="479"/>
      <c r="K135" s="478"/>
    </row>
    <row r="136" spans="1:11" s="266" customFormat="1" ht="24.95" customHeight="1">
      <c r="A136" s="509" t="s">
        <v>1297</v>
      </c>
      <c r="B136" s="510" t="s">
        <v>4041</v>
      </c>
      <c r="C136" s="511" t="s">
        <v>4042</v>
      </c>
      <c r="D136" s="493">
        <f>+'SP Attivo Alim'!F206+'SP Attivo Alim'!F207+'SP Attivo Alim'!F208+'SP Attivo Alim'!F209</f>
        <v>2098990.0800000001</v>
      </c>
      <c r="E136" s="493">
        <f>+'SP Attivo Alim'!G206+'SP Attivo Alim'!G207+'SP Attivo Alim'!G208+'SP Attivo Alim'!G209</f>
        <v>960779.09</v>
      </c>
      <c r="F136" s="513"/>
      <c r="G136" s="514"/>
      <c r="J136" s="479"/>
      <c r="K136" s="478"/>
    </row>
    <row r="137" spans="1:11" s="513" customFormat="1" ht="24.95" customHeight="1">
      <c r="A137" s="509" t="s">
        <v>1297</v>
      </c>
      <c r="B137" s="510" t="s">
        <v>4051</v>
      </c>
      <c r="C137" s="511" t="s">
        <v>5167</v>
      </c>
      <c r="D137" s="493">
        <f>+'SP Attivo Alim'!F211+'SP Attivo Alim'!F212</f>
        <v>0</v>
      </c>
      <c r="E137" s="493">
        <f>+'SP Attivo Alim'!G211+'SP Attivo Alim'!G212</f>
        <v>0</v>
      </c>
      <c r="G137" s="512"/>
      <c r="J137" s="479"/>
      <c r="K137" s="478"/>
    </row>
    <row r="138" spans="1:11" s="266" customFormat="1" ht="24.95" customHeight="1">
      <c r="A138" s="509" t="s">
        <v>1297</v>
      </c>
      <c r="B138" s="510" t="s">
        <v>4057</v>
      </c>
      <c r="C138" s="511" t="s">
        <v>4058</v>
      </c>
      <c r="D138" s="493">
        <f>+'SP Attivo Alim'!F214+'SP Attivo Alim'!F215</f>
        <v>44008633.460000001</v>
      </c>
      <c r="E138" s="493">
        <f>+'SP Attivo Alim'!G214+'SP Attivo Alim'!G215</f>
        <v>46789127.659999996</v>
      </c>
      <c r="F138" s="484"/>
      <c r="G138" s="512"/>
      <c r="J138" s="479"/>
      <c r="K138" s="478"/>
    </row>
    <row r="139" spans="1:11" s="266" customFormat="1" ht="24.95" customHeight="1">
      <c r="A139" s="516"/>
      <c r="B139" s="517" t="s">
        <v>4063</v>
      </c>
      <c r="C139" s="518" t="s">
        <v>4064</v>
      </c>
      <c r="D139" s="519">
        <f>+D140+D141+D142+D143</f>
        <v>7231.68</v>
      </c>
      <c r="E139" s="519">
        <f>+E140+E141+E142+E143</f>
        <v>7183.68</v>
      </c>
      <c r="F139" s="484"/>
      <c r="G139" s="512"/>
      <c r="J139" s="479"/>
      <c r="K139" s="478"/>
    </row>
    <row r="140" spans="1:11" s="266" customFormat="1" ht="24.95" customHeight="1">
      <c r="A140" s="509" t="s">
        <v>1297</v>
      </c>
      <c r="B140" s="510" t="s">
        <v>4065</v>
      </c>
      <c r="C140" s="511" t="s">
        <v>4066</v>
      </c>
      <c r="D140" s="493">
        <f>+'SP Attivo Alim'!F218+'SP Attivo Alim'!F219</f>
        <v>48</v>
      </c>
      <c r="E140" s="493">
        <f>+'SP Attivo Alim'!G218+'SP Attivo Alim'!G219</f>
        <v>0</v>
      </c>
      <c r="F140" s="484"/>
      <c r="G140" s="512"/>
      <c r="J140" s="479"/>
      <c r="K140" s="478"/>
    </row>
    <row r="141" spans="1:11" s="266" customFormat="1" ht="24.95" customHeight="1">
      <c r="A141" s="509" t="s">
        <v>1297</v>
      </c>
      <c r="B141" s="510" t="s">
        <v>4071</v>
      </c>
      <c r="C141" s="511" t="s">
        <v>4072</v>
      </c>
      <c r="D141" s="493">
        <f>+'SP Attivo Alim'!F221+'SP Attivo Alim'!F222</f>
        <v>0</v>
      </c>
      <c r="E141" s="493">
        <f>+'SP Attivo Alim'!G221+'SP Attivo Alim'!G222</f>
        <v>0</v>
      </c>
      <c r="F141" s="484"/>
      <c r="G141" s="512"/>
      <c r="J141" s="479"/>
      <c r="K141" s="478"/>
    </row>
    <row r="142" spans="1:11" s="266" customFormat="1" ht="24.95" customHeight="1">
      <c r="A142" s="509" t="s">
        <v>1297</v>
      </c>
      <c r="B142" s="510" t="s">
        <v>4077</v>
      </c>
      <c r="C142" s="511" t="s">
        <v>5168</v>
      </c>
      <c r="D142" s="493">
        <f>+'SP Attivo Alim'!F224+'SP Attivo Alim'!F225+'SP Attivo Alim'!F226+'SP Attivo Alim'!F227</f>
        <v>7183.68</v>
      </c>
      <c r="E142" s="493">
        <f>+'SP Attivo Alim'!G224+'SP Attivo Alim'!G225+'SP Attivo Alim'!G226+'SP Attivo Alim'!G227</f>
        <v>7183.68</v>
      </c>
      <c r="F142" s="484"/>
      <c r="G142" s="512"/>
      <c r="J142" s="479"/>
      <c r="K142" s="478"/>
    </row>
    <row r="143" spans="1:11" s="266" customFormat="1" ht="24.95" customHeight="1">
      <c r="A143" s="509" t="s">
        <v>1297</v>
      </c>
      <c r="B143" s="510" t="s">
        <v>4087</v>
      </c>
      <c r="C143" s="511" t="s">
        <v>4088</v>
      </c>
      <c r="D143" s="493">
        <f>+'SP Attivo Alim'!F229+'SP Attivo Alim'!F230</f>
        <v>0</v>
      </c>
      <c r="E143" s="493">
        <f>+'SP Attivo Alim'!G229+'SP Attivo Alim'!G230</f>
        <v>0</v>
      </c>
      <c r="F143" s="484"/>
      <c r="G143" s="512"/>
      <c r="J143" s="479"/>
      <c r="K143" s="478"/>
    </row>
    <row r="144" spans="1:11" s="266" customFormat="1" ht="24.95" customHeight="1">
      <c r="A144" s="509"/>
      <c r="B144" s="510" t="s">
        <v>4093</v>
      </c>
      <c r="C144" s="511" t="s">
        <v>4094</v>
      </c>
      <c r="D144" s="493">
        <f>+'SP Attivo Alim'!F232+'SP Attivo Alim'!F233+'SP Attivo Alim'!F234+'SP Attivo Alim'!F235</f>
        <v>1709.4</v>
      </c>
      <c r="E144" s="493">
        <f>+'SP Attivo Alim'!G232+'SP Attivo Alim'!G233+'SP Attivo Alim'!G234+'SP Attivo Alim'!G235</f>
        <v>1361.12</v>
      </c>
      <c r="F144" s="484"/>
      <c r="G144" s="512"/>
      <c r="J144" s="479"/>
      <c r="K144" s="478"/>
    </row>
    <row r="145" spans="1:11" s="266" customFormat="1" ht="24.95" customHeight="1">
      <c r="A145" s="496"/>
      <c r="B145" s="486" t="s">
        <v>4103</v>
      </c>
      <c r="C145" s="487" t="s">
        <v>4104</v>
      </c>
      <c r="D145" s="488">
        <f>+D146+D157+D164+D165</f>
        <v>232172558.34999999</v>
      </c>
      <c r="E145" s="488">
        <f>+E146+E157+E164+E165</f>
        <v>237578535.40000001</v>
      </c>
      <c r="F145" s="484"/>
      <c r="G145" s="512"/>
      <c r="J145" s="479"/>
      <c r="K145" s="478"/>
    </row>
    <row r="146" spans="1:11" s="266" customFormat="1" ht="24.95" customHeight="1">
      <c r="A146" s="516"/>
      <c r="B146" s="517" t="s">
        <v>4105</v>
      </c>
      <c r="C146" s="518" t="s">
        <v>4106</v>
      </c>
      <c r="D146" s="519">
        <f>SUM(D147:D156)</f>
        <v>11421542.869999999</v>
      </c>
      <c r="E146" s="519">
        <f>SUM(E147:E156)</f>
        <v>17506494.350000001</v>
      </c>
      <c r="F146" s="484"/>
      <c r="G146" s="512"/>
      <c r="J146" s="479"/>
      <c r="K146" s="478"/>
    </row>
    <row r="147" spans="1:11" s="266" customFormat="1" ht="33.75" customHeight="1">
      <c r="A147" s="509" t="s">
        <v>5169</v>
      </c>
      <c r="B147" s="510" t="s">
        <v>4107</v>
      </c>
      <c r="C147" s="511" t="s">
        <v>4108</v>
      </c>
      <c r="D147" s="493">
        <f>+'SP Attivo Alim'!F239+'SP Attivo Alim'!F240</f>
        <v>36509</v>
      </c>
      <c r="E147" s="493">
        <f>+'SP Attivo Alim'!G239+'SP Attivo Alim'!G240</f>
        <v>72448.53</v>
      </c>
      <c r="F147" s="484"/>
      <c r="G147" s="512"/>
      <c r="J147" s="479"/>
      <c r="K147" s="478"/>
    </row>
    <row r="148" spans="1:11" s="266" customFormat="1" ht="33.75" customHeight="1">
      <c r="A148" s="509" t="s">
        <v>1248</v>
      </c>
      <c r="B148" s="510" t="s">
        <v>4113</v>
      </c>
      <c r="C148" s="511" t="s">
        <v>4114</v>
      </c>
      <c r="D148" s="493">
        <f>+'SP Attivo Alim'!F242+'SP Attivo Alim'!F243</f>
        <v>0</v>
      </c>
      <c r="E148" s="493">
        <f>+'SP Attivo Alim'!G242+'SP Attivo Alim'!G243</f>
        <v>0</v>
      </c>
      <c r="F148" s="484"/>
      <c r="G148" s="512"/>
      <c r="J148" s="479"/>
      <c r="K148" s="478"/>
    </row>
    <row r="149" spans="1:11" s="513" customFormat="1" ht="33.75" customHeight="1">
      <c r="A149" s="509" t="s">
        <v>5169</v>
      </c>
      <c r="B149" s="510" t="s">
        <v>4119</v>
      </c>
      <c r="C149" s="520" t="s">
        <v>4120</v>
      </c>
      <c r="D149" s="493">
        <f>+'SP Attivo Alim'!F245+'SP Attivo Alim'!F246</f>
        <v>2062756.88</v>
      </c>
      <c r="E149" s="493">
        <f>+'SP Attivo Alim'!G245+'SP Attivo Alim'!G246</f>
        <v>2062756.88</v>
      </c>
      <c r="F149" s="266"/>
      <c r="G149" s="512"/>
      <c r="J149" s="479"/>
      <c r="K149" s="478"/>
    </row>
    <row r="150" spans="1:11" s="266" customFormat="1" ht="33.75" customHeight="1">
      <c r="A150" s="509" t="s">
        <v>5169</v>
      </c>
      <c r="B150" s="510" t="s">
        <v>4125</v>
      </c>
      <c r="C150" s="511" t="s">
        <v>4126</v>
      </c>
      <c r="D150" s="493">
        <f>+'SP Attivo Alim'!F248+'SP Attivo Alim'!F249</f>
        <v>0</v>
      </c>
      <c r="E150" s="493">
        <f>+'SP Attivo Alim'!G248+'SP Attivo Alim'!G249</f>
        <v>0</v>
      </c>
      <c r="F150" s="513"/>
      <c r="G150" s="514"/>
      <c r="J150" s="479"/>
      <c r="K150" s="478"/>
    </row>
    <row r="151" spans="1:11" s="266" customFormat="1" ht="33.75" customHeight="1">
      <c r="A151" s="509" t="s">
        <v>5169</v>
      </c>
      <c r="B151" s="510" t="s">
        <v>4131</v>
      </c>
      <c r="C151" s="511" t="s">
        <v>5170</v>
      </c>
      <c r="D151" s="493">
        <f>+'SP Attivo Alim'!F251+'SP Attivo Alim'!F252</f>
        <v>904495.22</v>
      </c>
      <c r="E151" s="493">
        <f>+'SP Attivo Alim'!G251+'SP Attivo Alim'!G252</f>
        <v>553053</v>
      </c>
      <c r="F151" s="513"/>
      <c r="G151" s="514"/>
      <c r="J151" s="479"/>
      <c r="K151" s="478"/>
    </row>
    <row r="152" spans="1:11" s="266" customFormat="1" ht="33.75" customHeight="1">
      <c r="A152" s="509" t="s">
        <v>5169</v>
      </c>
      <c r="B152" s="510" t="s">
        <v>4137</v>
      </c>
      <c r="C152" s="511" t="s">
        <v>5171</v>
      </c>
      <c r="D152" s="493">
        <f>+'SP Attivo Alim'!F254+'SP Attivo Alim'!F255</f>
        <v>0</v>
      </c>
      <c r="E152" s="493">
        <f>+'SP Attivo Alim'!G254+'SP Attivo Alim'!G255</f>
        <v>0</v>
      </c>
      <c r="F152" s="513"/>
      <c r="G152" s="514"/>
      <c r="J152" s="479"/>
      <c r="K152" s="478"/>
    </row>
    <row r="153" spans="1:11" s="266" customFormat="1" ht="33.75" customHeight="1">
      <c r="A153" s="509" t="s">
        <v>5169</v>
      </c>
      <c r="B153" s="510" t="s">
        <v>4143</v>
      </c>
      <c r="C153" s="511" t="s">
        <v>4144</v>
      </c>
      <c r="D153" s="493">
        <f>+'SP Attivo Alim'!F257+'SP Attivo Alim'!F258+'SP Attivo Alim'!F259+'SP Attivo Alim'!F260</f>
        <v>4864121.63</v>
      </c>
      <c r="E153" s="493">
        <f>+'SP Attivo Alim'!G257+'SP Attivo Alim'!G258+'SP Attivo Alim'!G259+'SP Attivo Alim'!G260</f>
        <v>11492439.34</v>
      </c>
      <c r="F153" s="513"/>
      <c r="G153" s="514"/>
      <c r="J153" s="479"/>
      <c r="K153" s="478"/>
    </row>
    <row r="154" spans="1:11" s="513" customFormat="1" ht="33.75" customHeight="1">
      <c r="A154" s="521" t="s">
        <v>5169</v>
      </c>
      <c r="B154" s="510" t="s">
        <v>4153</v>
      </c>
      <c r="C154" s="520" t="s">
        <v>5172</v>
      </c>
      <c r="D154" s="493">
        <f>+'SP Attivo Alim'!F262+'SP Attivo Alim'!F263</f>
        <v>0</v>
      </c>
      <c r="E154" s="493">
        <f>+'SP Attivo Alim'!G262+'SP Attivo Alim'!G263</f>
        <v>0</v>
      </c>
      <c r="G154" s="512"/>
      <c r="J154" s="479"/>
      <c r="K154" s="478"/>
    </row>
    <row r="155" spans="1:11" s="266" customFormat="1" ht="33.75" customHeight="1">
      <c r="A155" s="521" t="s">
        <v>5169</v>
      </c>
      <c r="B155" s="510" t="s">
        <v>4159</v>
      </c>
      <c r="C155" s="520" t="s">
        <v>4160</v>
      </c>
      <c r="D155" s="493">
        <f>+'SP Attivo Alim'!F265+'SP Attivo Alim'!F266+'SP Attivo Alim'!F267+'SP Attivo Alim'!F268+'SP Attivo Alim'!F269</f>
        <v>3394474.01</v>
      </c>
      <c r="E155" s="493">
        <f>+'SP Attivo Alim'!G265+'SP Attivo Alim'!G266+'SP Attivo Alim'!G267+'SP Attivo Alim'!G268+'SP Attivo Alim'!G269</f>
        <v>3325796.5999999996</v>
      </c>
      <c r="F155" s="513"/>
      <c r="G155" s="514"/>
      <c r="J155" s="479"/>
      <c r="K155" s="478"/>
    </row>
    <row r="156" spans="1:11" s="513" customFormat="1" ht="33.75" customHeight="1">
      <c r="A156" s="521" t="s">
        <v>5169</v>
      </c>
      <c r="B156" s="510" t="s">
        <v>4171</v>
      </c>
      <c r="C156" s="520" t="s">
        <v>4172</v>
      </c>
      <c r="D156" s="493">
        <f>+'SP Attivo Alim'!F271+'SP Attivo Alim'!F272</f>
        <v>159186.13</v>
      </c>
      <c r="E156" s="493">
        <f>+'SP Attivo Alim'!G271+'SP Attivo Alim'!G272</f>
        <v>0</v>
      </c>
      <c r="G156" s="512"/>
      <c r="J156" s="479"/>
      <c r="K156" s="478"/>
    </row>
    <row r="157" spans="1:11" s="495" customFormat="1" ht="33.75" customHeight="1">
      <c r="A157" s="522"/>
      <c r="B157" s="517" t="s">
        <v>4177</v>
      </c>
      <c r="C157" s="523" t="s">
        <v>4178</v>
      </c>
      <c r="D157" s="519">
        <f>SUM(D158:D163)</f>
        <v>220751015.47999999</v>
      </c>
      <c r="E157" s="519">
        <f>SUM(E158:E163)</f>
        <v>220072041.05000001</v>
      </c>
      <c r="F157" s="524"/>
      <c r="G157" s="525"/>
      <c r="J157" s="479"/>
      <c r="K157" s="478"/>
    </row>
    <row r="158" spans="1:11" s="495" customFormat="1" ht="33.75" customHeight="1">
      <c r="A158" s="526" t="s">
        <v>5169</v>
      </c>
      <c r="B158" s="491" t="s">
        <v>4179</v>
      </c>
      <c r="C158" s="527" t="s">
        <v>4180</v>
      </c>
      <c r="D158" s="493">
        <f>+'SP Attivo Alim'!F275+'SP Attivo Alim'!F276</f>
        <v>220751015.47999999</v>
      </c>
      <c r="E158" s="493">
        <f>+'SP Attivo Alim'!G275+'SP Attivo Alim'!G276</f>
        <v>220072041.05000001</v>
      </c>
      <c r="F158" s="524"/>
      <c r="G158" s="525"/>
      <c r="J158" s="479"/>
      <c r="K158" s="478"/>
    </row>
    <row r="159" spans="1:11" s="495" customFormat="1" ht="33.75" customHeight="1">
      <c r="A159" s="526" t="s">
        <v>5169</v>
      </c>
      <c r="B159" s="491" t="s">
        <v>4185</v>
      </c>
      <c r="C159" s="492" t="s">
        <v>4186</v>
      </c>
      <c r="D159" s="493">
        <f>+'SP Attivo Alim'!F278+'SP Attivo Alim'!F279</f>
        <v>0</v>
      </c>
      <c r="E159" s="493">
        <f>+'SP Attivo Alim'!G278+'SP Attivo Alim'!G279</f>
        <v>0</v>
      </c>
      <c r="F159" s="524"/>
      <c r="G159" s="525"/>
      <c r="J159" s="479"/>
      <c r="K159" s="478"/>
    </row>
    <row r="160" spans="1:11" s="495" customFormat="1" ht="33.75" customHeight="1">
      <c r="A160" s="526" t="s">
        <v>5169</v>
      </c>
      <c r="B160" s="491" t="s">
        <v>4191</v>
      </c>
      <c r="C160" s="527" t="s">
        <v>4192</v>
      </c>
      <c r="D160" s="493">
        <f>+'SP Attivo Alim'!F281+'SP Attivo Alim'!F282</f>
        <v>0</v>
      </c>
      <c r="E160" s="493">
        <f>+'SP Attivo Alim'!G281+'SP Attivo Alim'!G282</f>
        <v>0</v>
      </c>
      <c r="F160" s="524"/>
      <c r="G160" s="525"/>
      <c r="J160" s="479"/>
      <c r="K160" s="478"/>
    </row>
    <row r="161" spans="1:11" s="495" customFormat="1" ht="33.75" customHeight="1">
      <c r="A161" s="521" t="s">
        <v>5169</v>
      </c>
      <c r="B161" s="510" t="s">
        <v>4197</v>
      </c>
      <c r="C161" s="520" t="s">
        <v>5173</v>
      </c>
      <c r="D161" s="493">
        <f>+'SP Attivo Alim'!F284</f>
        <v>0</v>
      </c>
      <c r="E161" s="493">
        <f>+'SP Attivo Alim'!G284</f>
        <v>0</v>
      </c>
      <c r="F161" s="524"/>
      <c r="G161" s="525"/>
      <c r="J161" s="479"/>
      <c r="K161" s="478"/>
    </row>
    <row r="162" spans="1:11" s="495" customFormat="1" ht="33.75" customHeight="1">
      <c r="A162" s="521" t="s">
        <v>5169</v>
      </c>
      <c r="B162" s="510" t="s">
        <v>4201</v>
      </c>
      <c r="C162" s="520" t="s">
        <v>4202</v>
      </c>
      <c r="D162" s="493">
        <f>+'SP Attivo Alim'!F286+'SP Attivo Alim'!F287</f>
        <v>0</v>
      </c>
      <c r="E162" s="493">
        <f>+'SP Attivo Alim'!G286+'SP Attivo Alim'!G287</f>
        <v>0</v>
      </c>
      <c r="F162" s="524"/>
      <c r="G162" s="525"/>
      <c r="J162" s="479"/>
      <c r="K162" s="478"/>
    </row>
    <row r="163" spans="1:11" s="495" customFormat="1" ht="33.75" customHeight="1">
      <c r="A163" s="521" t="s">
        <v>5169</v>
      </c>
      <c r="B163" s="510" t="s">
        <v>4207</v>
      </c>
      <c r="C163" s="520" t="s">
        <v>5174</v>
      </c>
      <c r="D163" s="493">
        <f>+'SP Attivo Alim'!F289+'SP Attivo Alim'!F290</f>
        <v>0</v>
      </c>
      <c r="E163" s="493">
        <f>+'SP Attivo Alim'!G289+'SP Attivo Alim'!G290</f>
        <v>0</v>
      </c>
      <c r="F163" s="524"/>
      <c r="G163" s="525"/>
      <c r="J163" s="479"/>
      <c r="K163" s="478"/>
    </row>
    <row r="164" spans="1:11" s="524" customFormat="1" ht="33.75" customHeight="1">
      <c r="A164" s="528"/>
      <c r="B164" s="491" t="s">
        <v>4213</v>
      </c>
      <c r="C164" s="527" t="s">
        <v>5175</v>
      </c>
      <c r="D164" s="493">
        <f>+'SP Attivo Alim'!F292</f>
        <v>0</v>
      </c>
      <c r="E164" s="493">
        <f>+'SP Attivo Alim'!G292</f>
        <v>0</v>
      </c>
      <c r="G164" s="494"/>
      <c r="J164" s="479"/>
      <c r="K164" s="478"/>
    </row>
    <row r="165" spans="1:11" s="524" customFormat="1" ht="33.75" customHeight="1">
      <c r="A165" s="528" t="s">
        <v>5169</v>
      </c>
      <c r="B165" s="491" t="s">
        <v>4217</v>
      </c>
      <c r="C165" s="527" t="s">
        <v>5176</v>
      </c>
      <c r="D165" s="493">
        <f>+'SP Attivo Alim'!F294</f>
        <v>0</v>
      </c>
      <c r="E165" s="493">
        <f>+'SP Attivo Alim'!G294</f>
        <v>0</v>
      </c>
      <c r="G165" s="494"/>
      <c r="J165" s="479"/>
      <c r="K165" s="478"/>
    </row>
    <row r="166" spans="1:11" s="495" customFormat="1" ht="24.95" customHeight="1">
      <c r="A166" s="490"/>
      <c r="B166" s="497" t="s">
        <v>4221</v>
      </c>
      <c r="C166" s="498" t="s">
        <v>4222</v>
      </c>
      <c r="D166" s="493">
        <f>+'SP Attivo Alim'!F296+'SP Attivo Alim'!F297+'SP Attivo Alim'!F298+'SP Attivo Alim'!F299</f>
        <v>789984.6</v>
      </c>
      <c r="E166" s="493">
        <f>+'SP Attivo Alim'!G296+'SP Attivo Alim'!G297+'SP Attivo Alim'!G298+'SP Attivo Alim'!G299</f>
        <v>716536.02</v>
      </c>
      <c r="F166" s="476"/>
      <c r="G166" s="494"/>
      <c r="J166" s="479"/>
      <c r="K166" s="478"/>
    </row>
    <row r="167" spans="1:11" s="495" customFormat="1" ht="24.95" customHeight="1">
      <c r="A167" s="529"/>
      <c r="B167" s="486" t="s">
        <v>4231</v>
      </c>
      <c r="C167" s="487" t="s">
        <v>4232</v>
      </c>
      <c r="D167" s="488">
        <f>+D168+D172+D173+D174+D175</f>
        <v>71193152.640000015</v>
      </c>
      <c r="E167" s="488">
        <f>+E168+E172+E173+E174+E175</f>
        <v>62615734.899999999</v>
      </c>
      <c r="F167" s="476"/>
      <c r="G167" s="494"/>
      <c r="J167" s="479"/>
      <c r="K167" s="478"/>
    </row>
    <row r="168" spans="1:11" s="495" customFormat="1" ht="24.95" customHeight="1">
      <c r="A168" s="516"/>
      <c r="B168" s="517" t="s">
        <v>4233</v>
      </c>
      <c r="C168" s="518" t="s">
        <v>4234</v>
      </c>
      <c r="D168" s="519">
        <f>+D169+D170+D171</f>
        <v>70775940.480000004</v>
      </c>
      <c r="E168" s="519">
        <f>+E169+E170+E171</f>
        <v>62289460.039999999</v>
      </c>
      <c r="F168" s="524"/>
      <c r="G168" s="525"/>
      <c r="J168" s="479"/>
      <c r="K168" s="478"/>
    </row>
    <row r="169" spans="1:11" s="495" customFormat="1" ht="24.95" customHeight="1">
      <c r="A169" s="490" t="s">
        <v>1248</v>
      </c>
      <c r="B169" s="491" t="s">
        <v>4235</v>
      </c>
      <c r="C169" s="492" t="s">
        <v>4236</v>
      </c>
      <c r="D169" s="493">
        <f>+'SP Attivo Alim'!F303</f>
        <v>2851793.01</v>
      </c>
      <c r="E169" s="493">
        <f>+'SP Attivo Alim'!G303</f>
        <v>2291708.36</v>
      </c>
      <c r="F169" s="524"/>
      <c r="G169" s="525"/>
      <c r="J169" s="479"/>
      <c r="K169" s="478"/>
    </row>
    <row r="170" spans="1:11" s="495" customFormat="1" ht="24.95" customHeight="1">
      <c r="A170" s="509" t="s">
        <v>1248</v>
      </c>
      <c r="B170" s="510" t="s">
        <v>4239</v>
      </c>
      <c r="C170" s="511" t="s">
        <v>4240</v>
      </c>
      <c r="D170" s="493">
        <f>+'SP Attivo Alim'!F305+'SP Attivo Alim'!F306+'SP Attivo Alim'!F307</f>
        <v>26687583.699999999</v>
      </c>
      <c r="E170" s="493">
        <f>+'SP Attivo Alim'!G305+'SP Attivo Alim'!G306+'SP Attivo Alim'!G307</f>
        <v>19699266.82</v>
      </c>
      <c r="F170" s="524"/>
      <c r="G170" s="525"/>
      <c r="J170" s="479"/>
      <c r="K170" s="478"/>
    </row>
    <row r="171" spans="1:11" s="495" customFormat="1" ht="24.95" customHeight="1">
      <c r="A171" s="509" t="s">
        <v>1248</v>
      </c>
      <c r="B171" s="510" t="s">
        <v>4247</v>
      </c>
      <c r="C171" s="511" t="s">
        <v>4248</v>
      </c>
      <c r="D171" s="493">
        <f>+'SP Attivo Alim'!F309+'SP Attivo Alim'!F310+'SP Attivo Alim'!F311</f>
        <v>41236563.770000003</v>
      </c>
      <c r="E171" s="493">
        <f>+'SP Attivo Alim'!G309+'SP Attivo Alim'!G310+'SP Attivo Alim'!G311</f>
        <v>40298484.859999999</v>
      </c>
      <c r="F171" s="524"/>
      <c r="G171" s="525"/>
      <c r="J171" s="479"/>
      <c r="K171" s="478"/>
    </row>
    <row r="172" spans="1:11" s="495" customFormat="1" ht="24.95" customHeight="1">
      <c r="A172" s="509" t="s">
        <v>5169</v>
      </c>
      <c r="B172" s="510" t="s">
        <v>4255</v>
      </c>
      <c r="C172" s="511" t="s">
        <v>4256</v>
      </c>
      <c r="D172" s="493">
        <f>+'SP Attivo Alim'!F313</f>
        <v>0</v>
      </c>
      <c r="E172" s="493">
        <f>+'SP Attivo Alim'!G313</f>
        <v>0</v>
      </c>
      <c r="F172" s="524"/>
      <c r="G172" s="525"/>
      <c r="J172" s="479"/>
      <c r="K172" s="478"/>
    </row>
    <row r="173" spans="1:11" s="495" customFormat="1" ht="26.25" customHeight="1">
      <c r="A173" s="509" t="s">
        <v>5169</v>
      </c>
      <c r="B173" s="510" t="s">
        <v>4259</v>
      </c>
      <c r="C173" s="511" t="s">
        <v>5177</v>
      </c>
      <c r="D173" s="493"/>
      <c r="E173" s="493"/>
      <c r="F173" s="524"/>
      <c r="G173" s="525"/>
      <c r="J173" s="479"/>
      <c r="K173" s="478"/>
    </row>
    <row r="174" spans="1:11" s="495" customFormat="1" ht="24.95" customHeight="1">
      <c r="A174" s="509" t="s">
        <v>1297</v>
      </c>
      <c r="B174" s="510" t="s">
        <v>4264</v>
      </c>
      <c r="C174" s="511" t="s">
        <v>4265</v>
      </c>
      <c r="D174" s="493">
        <f>+'SP Attivo Alim'!F317+'SP Attivo Alim'!F318+'SP Attivo Alim'!F319+'SP Attivo Alim'!F320</f>
        <v>269170.48</v>
      </c>
      <c r="E174" s="493">
        <f>+'SP Attivo Alim'!G317+'SP Attivo Alim'!G318+'SP Attivo Alim'!G319+'SP Attivo Alim'!G320</f>
        <v>326274.86</v>
      </c>
      <c r="F174" s="524"/>
      <c r="G174" s="525"/>
      <c r="J174" s="479"/>
      <c r="K174" s="478"/>
    </row>
    <row r="175" spans="1:11" s="495" customFormat="1" ht="24.95" customHeight="1">
      <c r="A175" s="521" t="s">
        <v>1248</v>
      </c>
      <c r="B175" s="510" t="s">
        <v>4274</v>
      </c>
      <c r="C175" s="116" t="s">
        <v>5178</v>
      </c>
      <c r="D175" s="493">
        <f>+'SP Attivo Alim'!F322</f>
        <v>148041.68</v>
      </c>
      <c r="E175" s="493">
        <f>+'SP Attivo Alim'!G322</f>
        <v>0</v>
      </c>
      <c r="F175" s="524"/>
      <c r="G175" s="525"/>
      <c r="J175" s="479"/>
      <c r="K175" s="478"/>
    </row>
    <row r="176" spans="1:11" s="495" customFormat="1" ht="24.95" customHeight="1">
      <c r="A176" s="496"/>
      <c r="B176" s="486" t="s">
        <v>4278</v>
      </c>
      <c r="C176" s="487" t="s">
        <v>4279</v>
      </c>
      <c r="D176" s="488">
        <f>+D177+D178+D179</f>
        <v>144.94999999999999</v>
      </c>
      <c r="E176" s="488">
        <f>+E177+E178+E179</f>
        <v>144.94999999999999</v>
      </c>
      <c r="F176" s="476"/>
      <c r="G176" s="494"/>
      <c r="J176" s="479"/>
      <c r="K176" s="478"/>
    </row>
    <row r="177" spans="1:11" s="495" customFormat="1" ht="24.95" customHeight="1">
      <c r="A177" s="490"/>
      <c r="B177" s="491" t="s">
        <v>4280</v>
      </c>
      <c r="C177" s="492" t="s">
        <v>4281</v>
      </c>
      <c r="D177" s="493">
        <f>+'SP Attivo Alim'!F325+'SP Attivo Alim'!F326</f>
        <v>144.94999999999999</v>
      </c>
      <c r="E177" s="493">
        <f>+'SP Attivo Alim'!G325+'SP Attivo Alim'!G326</f>
        <v>144.94999999999999</v>
      </c>
      <c r="F177" s="476"/>
      <c r="G177" s="494"/>
      <c r="J177" s="479"/>
      <c r="K177" s="478"/>
    </row>
    <row r="178" spans="1:11" s="495" customFormat="1" ht="24.95" customHeight="1">
      <c r="A178" s="490"/>
      <c r="B178" s="491" t="s">
        <v>4286</v>
      </c>
      <c r="C178" s="492" t="s">
        <v>4287</v>
      </c>
      <c r="D178" s="493">
        <f>+'SP Attivo Alim'!F328+'SP Attivo Alim'!F329</f>
        <v>0</v>
      </c>
      <c r="E178" s="493">
        <f>+'SP Attivo Alim'!G328+'SP Attivo Alim'!G329</f>
        <v>0</v>
      </c>
      <c r="F178" s="476"/>
      <c r="G178" s="494"/>
      <c r="J178" s="479"/>
      <c r="K178" s="478"/>
    </row>
    <row r="179" spans="1:11" s="495" customFormat="1" ht="24.95" customHeight="1">
      <c r="A179" s="490"/>
      <c r="B179" s="491" t="s">
        <v>4292</v>
      </c>
      <c r="C179" s="492" t="s">
        <v>4293</v>
      </c>
      <c r="D179" s="493">
        <f>+'SP Attivo Alim'!F331+'SP Attivo Alim'!F332+'SP Attivo Alim'!F333+'SP Attivo Alim'!F334</f>
        <v>0</v>
      </c>
      <c r="E179" s="493">
        <f>+'SP Attivo Alim'!G331+'SP Attivo Alim'!G332+'SP Attivo Alim'!G333+'SP Attivo Alim'!G334</f>
        <v>0</v>
      </c>
      <c r="F179" s="476"/>
      <c r="G179" s="494"/>
      <c r="J179" s="479"/>
      <c r="K179" s="478"/>
    </row>
    <row r="180" spans="1:11" s="495" customFormat="1" ht="24.95" customHeight="1">
      <c r="A180" s="490"/>
      <c r="B180" s="497" t="s">
        <v>4302</v>
      </c>
      <c r="C180" s="498" t="s">
        <v>4303</v>
      </c>
      <c r="D180" s="493">
        <f>+'SP Attivo Alim'!F336+'SP Attivo Alim'!F337+'SP Attivo Alim'!F338+'SP Attivo Alim'!F339+'SP Attivo Alim'!F340+'SP Attivo Alim'!F341+'SP Attivo Alim'!F342+'SP Attivo Alim'!F343</f>
        <v>1480797.12</v>
      </c>
      <c r="E180" s="493">
        <f>+'SP Attivo Alim'!G336+'SP Attivo Alim'!G337+'SP Attivo Alim'!G338+'SP Attivo Alim'!G339+'SP Attivo Alim'!G340+'SP Attivo Alim'!G341+'SP Attivo Alim'!G342+'SP Attivo Alim'!G343</f>
        <v>0</v>
      </c>
      <c r="F180" s="476"/>
      <c r="G180" s="494"/>
      <c r="J180" s="479"/>
      <c r="K180" s="478"/>
    </row>
    <row r="181" spans="1:11" s="495" customFormat="1" ht="24.95" customHeight="1">
      <c r="A181" s="496"/>
      <c r="B181" s="486" t="s">
        <v>4320</v>
      </c>
      <c r="C181" s="487" t="s">
        <v>4321</v>
      </c>
      <c r="D181" s="488">
        <f>+D182+D183+D184+D185+D186+D189</f>
        <v>55180257.030000001</v>
      </c>
      <c r="E181" s="488">
        <f>+E182+E183+E184+E185+E186+E189</f>
        <v>54275713.79999999</v>
      </c>
      <c r="F181" s="476"/>
      <c r="G181" s="494"/>
      <c r="J181" s="479"/>
      <c r="K181" s="478"/>
    </row>
    <row r="182" spans="1:11" s="495" customFormat="1" ht="24.95" customHeight="1">
      <c r="A182" s="490"/>
      <c r="B182" s="491" t="s">
        <v>4322</v>
      </c>
      <c r="C182" s="492" t="s">
        <v>4323</v>
      </c>
      <c r="D182" s="493">
        <f>+'SP Attivo Alim'!F346+'SP Attivo Alim'!F347+'SP Attivo Alim'!F348+'SP Attivo Alim'!F349+'SP Attivo Alim'!F350+'SP Attivo Alim'!F351</f>
        <v>4548599.63</v>
      </c>
      <c r="E182" s="493">
        <f>+'SP Attivo Alim'!G346+'SP Attivo Alim'!G347+'SP Attivo Alim'!G348+'SP Attivo Alim'!G349+'SP Attivo Alim'!G350+'SP Attivo Alim'!G351</f>
        <v>4488447.43</v>
      </c>
      <c r="F182" s="476"/>
      <c r="G182" s="494"/>
      <c r="J182" s="479"/>
      <c r="K182" s="478"/>
    </row>
    <row r="183" spans="1:11" s="495" customFormat="1" ht="24.95" customHeight="1">
      <c r="A183" s="490"/>
      <c r="B183" s="491" t="s">
        <v>4336</v>
      </c>
      <c r="C183" s="492" t="s">
        <v>4337</v>
      </c>
      <c r="D183" s="493">
        <f>+'SP Attivo Alim'!F353+'SP Attivo Alim'!F354</f>
        <v>0</v>
      </c>
      <c r="E183" s="493">
        <f>+'SP Attivo Alim'!G353+'SP Attivo Alim'!G354</f>
        <v>0</v>
      </c>
      <c r="F183" s="476"/>
      <c r="G183" s="494"/>
      <c r="J183" s="479"/>
      <c r="K183" s="478"/>
    </row>
    <row r="184" spans="1:11" s="495" customFormat="1" ht="24.95" customHeight="1">
      <c r="A184" s="490"/>
      <c r="B184" s="491" t="s">
        <v>4342</v>
      </c>
      <c r="C184" s="492" t="s">
        <v>4343</v>
      </c>
      <c r="D184" s="493">
        <f>+'SP Attivo Alim'!F356+'SP Attivo Alim'!F357+'SP Attivo Alim'!F358+'SP Attivo Alim'!F359+'SP Attivo Alim'!F360</f>
        <v>1229680.1399999999</v>
      </c>
      <c r="E184" s="493">
        <f>+'SP Attivo Alim'!G356+'SP Attivo Alim'!G357+'SP Attivo Alim'!G358+'SP Attivo Alim'!G359+'SP Attivo Alim'!G360</f>
        <v>940836.8</v>
      </c>
      <c r="F184" s="476"/>
      <c r="G184" s="494"/>
      <c r="J184" s="479"/>
      <c r="K184" s="478"/>
    </row>
    <row r="185" spans="1:11" s="495" customFormat="1" ht="24.95" customHeight="1">
      <c r="A185" s="490"/>
      <c r="B185" s="491" t="s">
        <v>4354</v>
      </c>
      <c r="C185" s="492" t="s">
        <v>4355</v>
      </c>
      <c r="D185" s="493">
        <f>+'SP Attivo Alim'!F362+'SP Attivo Alim'!F363</f>
        <v>0</v>
      </c>
      <c r="E185" s="493">
        <f>+'SP Attivo Alim'!G362+'SP Attivo Alim'!G363</f>
        <v>0</v>
      </c>
      <c r="F185" s="476"/>
      <c r="G185" s="494"/>
      <c r="J185" s="479"/>
      <c r="K185" s="478"/>
    </row>
    <row r="186" spans="1:11" s="495" customFormat="1" ht="24.95" customHeight="1">
      <c r="A186" s="516"/>
      <c r="B186" s="517" t="s">
        <v>4360</v>
      </c>
      <c r="C186" s="518" t="s">
        <v>4361</v>
      </c>
      <c r="D186" s="519">
        <f>+D187+D188</f>
        <v>49334142.259999998</v>
      </c>
      <c r="E186" s="519">
        <f>+E187+E188</f>
        <v>48846429.569999993</v>
      </c>
      <c r="F186" s="476"/>
      <c r="G186" s="494"/>
      <c r="J186" s="479"/>
      <c r="K186" s="478"/>
    </row>
    <row r="187" spans="1:11" s="495" customFormat="1" ht="24.95" customHeight="1">
      <c r="A187" s="499"/>
      <c r="B187" s="530" t="s">
        <v>4362</v>
      </c>
      <c r="C187" s="531" t="s">
        <v>5179</v>
      </c>
      <c r="D187" s="493">
        <f>+'SP Attivo Alim'!F366+'SP Attivo Alim'!F367+'SP Attivo Alim'!F368+'SP Attivo Alim'!F369+'SP Attivo Alim'!F370+'SP Attivo Alim'!F371+'SP Attivo Alim'!F372+'SP Attivo Alim'!F373</f>
        <v>49334142.259999998</v>
      </c>
      <c r="E187" s="493">
        <f>+'SP Attivo Alim'!G366+'SP Attivo Alim'!G367+'SP Attivo Alim'!G368+'SP Attivo Alim'!G369+'SP Attivo Alim'!G370+'SP Attivo Alim'!G371+'SP Attivo Alim'!G372+'SP Attivo Alim'!G373</f>
        <v>48846429.569999993</v>
      </c>
      <c r="F187" s="476"/>
      <c r="G187" s="494"/>
      <c r="J187" s="479"/>
      <c r="K187" s="478"/>
    </row>
    <row r="188" spans="1:11" s="495" customFormat="1" ht="24.95" customHeight="1">
      <c r="A188" s="490"/>
      <c r="B188" s="532" t="s">
        <v>4380</v>
      </c>
      <c r="C188" s="533" t="s">
        <v>4381</v>
      </c>
      <c r="D188" s="493">
        <f>+'SP Attivo Alim'!F375</f>
        <v>0</v>
      </c>
      <c r="E188" s="493">
        <f>+'SP Attivo Alim'!G375</f>
        <v>0</v>
      </c>
      <c r="F188" s="476"/>
      <c r="G188" s="494"/>
      <c r="J188" s="479"/>
      <c r="K188" s="478"/>
    </row>
    <row r="189" spans="1:11" s="495" customFormat="1" ht="24.95" customHeight="1">
      <c r="A189" s="516"/>
      <c r="B189" s="534" t="s">
        <v>4384</v>
      </c>
      <c r="C189" s="535" t="s">
        <v>4385</v>
      </c>
      <c r="D189" s="519">
        <f>+D190+D191</f>
        <v>67835</v>
      </c>
      <c r="E189" s="519">
        <f>+E190+E191</f>
        <v>0</v>
      </c>
      <c r="F189" s="476"/>
      <c r="G189" s="494"/>
      <c r="J189" s="479"/>
      <c r="K189" s="478"/>
    </row>
    <row r="190" spans="1:11" s="495" customFormat="1" ht="24.95" customHeight="1">
      <c r="A190" s="499"/>
      <c r="B190" s="530" t="s">
        <v>4386</v>
      </c>
      <c r="C190" s="533" t="s">
        <v>4387</v>
      </c>
      <c r="D190" s="493">
        <f>+'SP Attivo Alim'!F378</f>
        <v>67835</v>
      </c>
      <c r="E190" s="493">
        <f>+'SP Attivo Alim'!G378</f>
        <v>0</v>
      </c>
      <c r="F190" s="476"/>
      <c r="G190" s="494"/>
      <c r="J190" s="479"/>
      <c r="K190" s="478"/>
    </row>
    <row r="191" spans="1:11" s="495" customFormat="1" ht="24.95" customHeight="1">
      <c r="A191" s="490"/>
      <c r="B191" s="530" t="s">
        <v>4390</v>
      </c>
      <c r="C191" s="533" t="s">
        <v>5180</v>
      </c>
      <c r="D191" s="493">
        <f>+'SP Attivo Alim'!F380</f>
        <v>0</v>
      </c>
      <c r="E191" s="493">
        <f>+'SP Attivo Alim'!G380</f>
        <v>0</v>
      </c>
      <c r="F191" s="476"/>
      <c r="G191" s="494"/>
      <c r="J191" s="479"/>
      <c r="K191" s="478"/>
    </row>
    <row r="192" spans="1:11" s="495" customFormat="1" ht="24.95" customHeight="1">
      <c r="A192" s="503"/>
      <c r="B192" s="536" t="s">
        <v>4394</v>
      </c>
      <c r="C192" s="537" t="s">
        <v>4395</v>
      </c>
      <c r="D192" s="538">
        <f>+D193+D194</f>
        <v>0</v>
      </c>
      <c r="E192" s="538">
        <f>+E193+E194</f>
        <v>0</v>
      </c>
      <c r="F192" s="476"/>
      <c r="G192" s="494"/>
      <c r="J192" s="479"/>
      <c r="K192" s="478"/>
    </row>
    <row r="193" spans="1:11" s="495" customFormat="1" ht="24.95" customHeight="1">
      <c r="A193" s="490"/>
      <c r="B193" s="497" t="s">
        <v>4396</v>
      </c>
      <c r="C193" s="498" t="s">
        <v>4397</v>
      </c>
      <c r="D193" s="493">
        <f>+'SP Attivo Alim'!F383+'SP Attivo Alim'!F384+'SP Attivo Alim'!F385</f>
        <v>0</v>
      </c>
      <c r="E193" s="493">
        <f>+'SP Attivo Alim'!G383+'SP Attivo Alim'!G384+'SP Attivo Alim'!G385</f>
        <v>0</v>
      </c>
      <c r="F193" s="476"/>
      <c r="G193" s="494"/>
      <c r="J193" s="479"/>
      <c r="K193" s="478"/>
    </row>
    <row r="194" spans="1:11" s="495" customFormat="1" ht="24.95" customHeight="1" thickBot="1">
      <c r="A194" s="500"/>
      <c r="B194" s="539" t="s">
        <v>4404</v>
      </c>
      <c r="C194" s="540" t="s">
        <v>4405</v>
      </c>
      <c r="D194" s="493">
        <f>+'SP Attivo Alim'!F387</f>
        <v>0</v>
      </c>
      <c r="E194" s="493">
        <f>+'SP Attivo Alim'!G387</f>
        <v>0</v>
      </c>
      <c r="F194" s="476"/>
      <c r="G194" s="494"/>
      <c r="J194" s="479"/>
      <c r="K194" s="478"/>
    </row>
    <row r="195" spans="1:11" s="495" customFormat="1" ht="24.95" customHeight="1">
      <c r="A195" s="503"/>
      <c r="B195" s="504" t="s">
        <v>4408</v>
      </c>
      <c r="C195" s="505" t="s">
        <v>4409</v>
      </c>
      <c r="D195" s="506">
        <f>+D196+D197+D198+D199</f>
        <v>223108408.47</v>
      </c>
      <c r="E195" s="506">
        <f>+E196+E197+E198+E199</f>
        <v>179519286.48000002</v>
      </c>
      <c r="F195" s="476"/>
      <c r="G195" s="494"/>
      <c r="J195" s="479"/>
      <c r="K195" s="478"/>
    </row>
    <row r="196" spans="1:11" s="495" customFormat="1" ht="24.95" customHeight="1">
      <c r="A196" s="490"/>
      <c r="B196" s="497" t="s">
        <v>4410</v>
      </c>
      <c r="C196" s="498" t="s">
        <v>4411</v>
      </c>
      <c r="D196" s="493">
        <f>+'SP Attivo Alim'!F391+'SP Attivo Alim'!F392+'SP Attivo Alim'!F394+'SP Attivo Alim'!F395</f>
        <v>130112.26000000001</v>
      </c>
      <c r="E196" s="493">
        <f>+'SP Attivo Alim'!G391+'SP Attivo Alim'!G392+'SP Attivo Alim'!G394+'SP Attivo Alim'!G395</f>
        <v>114025.36</v>
      </c>
      <c r="F196" s="476"/>
      <c r="G196" s="494"/>
      <c r="J196" s="479"/>
      <c r="K196" s="478"/>
    </row>
    <row r="197" spans="1:11" s="495" customFormat="1" ht="24.95" customHeight="1">
      <c r="A197" s="490"/>
      <c r="B197" s="497" t="s">
        <v>4424</v>
      </c>
      <c r="C197" s="498" t="s">
        <v>4425</v>
      </c>
      <c r="D197" s="493">
        <f>+'SP Attivo Alim'!F397+'SP Attivo Alim'!F398+'SP Attivo Alim'!F399+'SP Attivo Alim'!F400+'SP Attivo Alim'!F401</f>
        <v>222935320.49000001</v>
      </c>
      <c r="E197" s="493">
        <f>+'SP Attivo Alim'!G397+'SP Attivo Alim'!G398+'SP Attivo Alim'!G399+'SP Attivo Alim'!G400+'SP Attivo Alim'!G401</f>
        <v>179364719.16</v>
      </c>
      <c r="F197" s="476"/>
      <c r="G197" s="494"/>
      <c r="J197" s="479"/>
      <c r="K197" s="478"/>
    </row>
    <row r="198" spans="1:11" s="495" customFormat="1" ht="24.95" customHeight="1">
      <c r="A198" s="490"/>
      <c r="B198" s="497" t="s">
        <v>4436</v>
      </c>
      <c r="C198" s="498" t="s">
        <v>4437</v>
      </c>
      <c r="D198" s="493">
        <f>+'SP Attivo Alim'!F403</f>
        <v>0</v>
      </c>
      <c r="E198" s="493">
        <f>+'SP Attivo Alim'!G403</f>
        <v>0</v>
      </c>
      <c r="F198" s="476"/>
      <c r="G198" s="494"/>
      <c r="J198" s="479"/>
      <c r="K198" s="478"/>
    </row>
    <row r="199" spans="1:11" s="495" customFormat="1" ht="24.95" customHeight="1" thickBot="1">
      <c r="A199" s="500"/>
      <c r="B199" s="539" t="s">
        <v>4440</v>
      </c>
      <c r="C199" s="540" t="s">
        <v>4441</v>
      </c>
      <c r="D199" s="493">
        <f>+'SP Attivo Alim'!F405+'SP Attivo Alim'!F406+'SP Attivo Alim'!F407+'SP Attivo Alim'!F408+'SP Attivo Alim'!F409+'SP Attivo Alim'!F411+'SP Attivo Alim'!F412+'SP Attivo Alim'!F413+'SP Attivo Alim'!F414+'SP Attivo Alim'!F415+'SP Attivo Alim'!F416+'SP Attivo Alim'!F417+'SP Attivo Alim'!F418+'SP Attivo Alim'!F419+'SP Attivo Alim'!F420+'SP Attivo Alim'!F421+'SP Attivo Alim'!F422</f>
        <v>42975.72</v>
      </c>
      <c r="E199" s="493">
        <f>+'SP Attivo Alim'!G405+'SP Attivo Alim'!G406+'SP Attivo Alim'!G407+'SP Attivo Alim'!G408+'SP Attivo Alim'!G409+'SP Attivo Alim'!G411+'SP Attivo Alim'!G412+'SP Attivo Alim'!G413+'SP Attivo Alim'!G414+'SP Attivo Alim'!G415+'SP Attivo Alim'!G416+'SP Attivo Alim'!G417+'SP Attivo Alim'!G418+'SP Attivo Alim'!G419+'SP Attivo Alim'!G420+'SP Attivo Alim'!G421+'SP Attivo Alim'!G422</f>
        <v>40541.96</v>
      </c>
      <c r="F199" s="476"/>
      <c r="G199" s="494"/>
      <c r="J199" s="479"/>
      <c r="K199" s="478"/>
    </row>
    <row r="200" spans="1:11" s="495" customFormat="1" ht="24.95" customHeight="1">
      <c r="A200" s="472"/>
      <c r="B200" s="473" t="s">
        <v>4478</v>
      </c>
      <c r="C200" s="474" t="s">
        <v>4479</v>
      </c>
      <c r="D200" s="507">
        <f>+D201+D204</f>
        <v>7699.13</v>
      </c>
      <c r="E200" s="507">
        <f>+E201+E204</f>
        <v>291835.40000000002</v>
      </c>
      <c r="F200" s="476"/>
      <c r="G200" s="494"/>
      <c r="J200" s="479"/>
      <c r="K200" s="478"/>
    </row>
    <row r="201" spans="1:11" s="495" customFormat="1" ht="24.95" customHeight="1">
      <c r="A201" s="480"/>
      <c r="B201" s="481" t="s">
        <v>4480</v>
      </c>
      <c r="C201" s="482" t="s">
        <v>4481</v>
      </c>
      <c r="D201" s="483">
        <f>+D202+D203</f>
        <v>0</v>
      </c>
      <c r="E201" s="483">
        <f>+E202+E203</f>
        <v>0</v>
      </c>
      <c r="F201" s="476"/>
      <c r="G201" s="494"/>
      <c r="J201" s="479"/>
      <c r="K201" s="478"/>
    </row>
    <row r="202" spans="1:11" s="495" customFormat="1" ht="24.95" customHeight="1">
      <c r="A202" s="508"/>
      <c r="B202" s="497" t="s">
        <v>4482</v>
      </c>
      <c r="C202" s="498" t="s">
        <v>4483</v>
      </c>
      <c r="D202" s="493">
        <f>+'SP Attivo Alim'!F426</f>
        <v>0</v>
      </c>
      <c r="E202" s="493">
        <f>+'SP Attivo Alim'!G426</f>
        <v>0</v>
      </c>
      <c r="F202" s="476"/>
      <c r="G202" s="494"/>
      <c r="J202" s="479"/>
      <c r="K202" s="478"/>
    </row>
    <row r="203" spans="1:11" s="495" customFormat="1" ht="24.95" customHeight="1">
      <c r="A203" s="541" t="s">
        <v>1248</v>
      </c>
      <c r="B203" s="497" t="s">
        <v>4486</v>
      </c>
      <c r="C203" s="498" t="s">
        <v>4487</v>
      </c>
      <c r="D203" s="493">
        <f>+'SP Attivo Alim'!F428</f>
        <v>0</v>
      </c>
      <c r="E203" s="493">
        <f>+'SP Attivo Alim'!G428</f>
        <v>0</v>
      </c>
      <c r="F203" s="476"/>
      <c r="G203" s="494"/>
      <c r="J203" s="479"/>
      <c r="K203" s="478"/>
    </row>
    <row r="204" spans="1:11" s="495" customFormat="1" ht="24.95" customHeight="1">
      <c r="A204" s="480"/>
      <c r="B204" s="481" t="s">
        <v>4490</v>
      </c>
      <c r="C204" s="482" t="s">
        <v>4491</v>
      </c>
      <c r="D204" s="483">
        <f>+D205+D206</f>
        <v>7699.13</v>
      </c>
      <c r="E204" s="483">
        <f>+E205+E206</f>
        <v>291835.40000000002</v>
      </c>
      <c r="F204" s="476"/>
      <c r="G204" s="494"/>
      <c r="J204" s="479"/>
      <c r="K204" s="478"/>
    </row>
    <row r="205" spans="1:11" s="495" customFormat="1" ht="24.95" customHeight="1">
      <c r="A205" s="490"/>
      <c r="B205" s="497" t="s">
        <v>4492</v>
      </c>
      <c r="C205" s="498" t="s">
        <v>4493</v>
      </c>
      <c r="D205" s="493">
        <f>+'SP Attivo Alim'!F431</f>
        <v>7699.13</v>
      </c>
      <c r="E205" s="493">
        <f>+'SP Attivo Alim'!G431</f>
        <v>291835.40000000002</v>
      </c>
      <c r="F205" s="476"/>
      <c r="G205" s="494"/>
      <c r="J205" s="479"/>
      <c r="K205" s="478"/>
    </row>
    <row r="206" spans="1:11" s="495" customFormat="1" ht="24.95" customHeight="1" thickBot="1">
      <c r="A206" s="542" t="s">
        <v>1248</v>
      </c>
      <c r="B206" s="539" t="s">
        <v>4496</v>
      </c>
      <c r="C206" s="540" t="s">
        <v>4497</v>
      </c>
      <c r="D206" s="493">
        <f>+'SP Attivo Alim'!F433</f>
        <v>0</v>
      </c>
      <c r="E206" s="493">
        <f>+'SP Attivo Alim'!G433</f>
        <v>0</v>
      </c>
      <c r="F206" s="476"/>
      <c r="G206" s="494"/>
      <c r="J206" s="479"/>
      <c r="K206" s="478"/>
    </row>
    <row r="207" spans="1:11" s="495" customFormat="1" ht="24.95" customHeight="1" thickBot="1">
      <c r="A207" s="543"/>
      <c r="B207" s="544" t="s">
        <v>4500</v>
      </c>
      <c r="C207" s="545" t="s">
        <v>4501</v>
      </c>
      <c r="D207" s="546">
        <f>+D30+D108+D200</f>
        <v>983398871.54000008</v>
      </c>
      <c r="E207" s="546">
        <f>+E30+E108+E200</f>
        <v>939263734.18999994</v>
      </c>
      <c r="F207" s="476"/>
      <c r="G207" s="494"/>
      <c r="J207" s="479"/>
      <c r="K207" s="478"/>
    </row>
    <row r="208" spans="1:11" s="495" customFormat="1" ht="24.95" customHeight="1">
      <c r="A208" s="547"/>
      <c r="B208" s="473" t="s">
        <v>4502</v>
      </c>
      <c r="C208" s="548" t="s">
        <v>4503</v>
      </c>
      <c r="D208" s="549">
        <f>+D209+D210+D211+D212+D213</f>
        <v>38099173.059999995</v>
      </c>
      <c r="E208" s="549">
        <f>+E209+E210+E211+E212+E213</f>
        <v>38204778.109999999</v>
      </c>
      <c r="F208" s="476"/>
      <c r="G208" s="494"/>
      <c r="J208" s="479"/>
      <c r="K208" s="478"/>
    </row>
    <row r="209" spans="1:11" s="495" customFormat="1" ht="24.95" customHeight="1">
      <c r="A209" s="490"/>
      <c r="B209" s="550" t="s">
        <v>4504</v>
      </c>
      <c r="C209" s="551" t="s">
        <v>4505</v>
      </c>
      <c r="D209" s="493">
        <f>+'SP Attivo Alim'!F437</f>
        <v>0</v>
      </c>
      <c r="E209" s="493">
        <f>+'SP Attivo Alim'!G437</f>
        <v>0</v>
      </c>
      <c r="F209" s="476"/>
      <c r="G209" s="494"/>
      <c r="J209" s="479"/>
      <c r="K209" s="478"/>
    </row>
    <row r="210" spans="1:11" s="495" customFormat="1" ht="24.95" customHeight="1">
      <c r="A210" s="490"/>
      <c r="B210" s="550" t="s">
        <v>4508</v>
      </c>
      <c r="C210" s="551" t="s">
        <v>4509</v>
      </c>
      <c r="D210" s="493">
        <f>+'SP Attivo Alim'!F439</f>
        <v>444419.14</v>
      </c>
      <c r="E210" s="493">
        <f>+'SP Attivo Alim'!G439</f>
        <v>691333</v>
      </c>
      <c r="F210" s="476"/>
      <c r="G210" s="494"/>
      <c r="J210" s="479"/>
      <c r="K210" s="478"/>
    </row>
    <row r="211" spans="1:11" s="495" customFormat="1" ht="24.95" customHeight="1">
      <c r="A211" s="490"/>
      <c r="B211" s="550" t="s">
        <v>4512</v>
      </c>
      <c r="C211" s="551" t="s">
        <v>4513</v>
      </c>
      <c r="D211" s="493">
        <f>+'SP Attivo Alim'!F441</f>
        <v>2749380.73</v>
      </c>
      <c r="E211" s="493">
        <f>+'SP Attivo Alim'!G441</f>
        <v>2749380.73</v>
      </c>
      <c r="F211" s="476"/>
      <c r="G211" s="494"/>
      <c r="J211" s="479"/>
      <c r="K211" s="478"/>
    </row>
    <row r="212" spans="1:11" s="495" customFormat="1" ht="24.95" customHeight="1">
      <c r="A212" s="552"/>
      <c r="B212" s="550" t="s">
        <v>4516</v>
      </c>
      <c r="C212" s="551" t="s">
        <v>4517</v>
      </c>
      <c r="D212" s="493">
        <f>+'SP Attivo Alim'!F443</f>
        <v>0</v>
      </c>
      <c r="E212" s="493">
        <f>+'SP Attivo Alim'!G443</f>
        <v>0</v>
      </c>
      <c r="F212" s="476"/>
      <c r="G212" s="494"/>
      <c r="J212" s="479"/>
      <c r="K212" s="478"/>
    </row>
    <row r="213" spans="1:11" s="495" customFormat="1" ht="24.95" customHeight="1" thickBot="1">
      <c r="A213" s="500"/>
      <c r="B213" s="553" t="s">
        <v>4520</v>
      </c>
      <c r="C213" s="554" t="s">
        <v>4521</v>
      </c>
      <c r="D213" s="493">
        <f>+'SP Attivo Alim'!F445+'SP Attivo Alim'!F446+'SP Attivo Alim'!F447+'SP Attivo Alim'!F448+'SP Attivo Alim'!F449</f>
        <v>34905373.189999998</v>
      </c>
      <c r="E213" s="493">
        <f>+'SP Attivo Alim'!G445+'SP Attivo Alim'!G446+'SP Attivo Alim'!G447+'SP Attivo Alim'!G448+'SP Attivo Alim'!G449</f>
        <v>34764064.380000003</v>
      </c>
      <c r="F213" s="476"/>
      <c r="G213" s="494"/>
      <c r="J213" s="479"/>
      <c r="K213" s="478"/>
    </row>
    <row r="214" spans="1:11" s="495" customFormat="1" ht="24.95" customHeight="1">
      <c r="A214" s="555"/>
      <c r="B214" s="473" t="s">
        <v>4534</v>
      </c>
      <c r="C214" s="474" t="s">
        <v>4535</v>
      </c>
      <c r="D214" s="507">
        <f>+D215+D216+D225+D226+D232+D236+D237</f>
        <v>563847877.8900001</v>
      </c>
      <c r="E214" s="507">
        <f>+E215+E216+E225+E226+E232+E236+E237</f>
        <v>574699317.84000003</v>
      </c>
      <c r="F214" s="476"/>
      <c r="G214" s="494"/>
      <c r="J214" s="479"/>
      <c r="K214" s="478"/>
    </row>
    <row r="215" spans="1:11" s="495" customFormat="1" ht="24.95" customHeight="1">
      <c r="A215" s="508"/>
      <c r="B215" s="556" t="s">
        <v>4536</v>
      </c>
      <c r="C215" s="557" t="s">
        <v>4537</v>
      </c>
      <c r="D215" s="493">
        <f>+'Alimentazione SP P'!F5</f>
        <v>984892.65</v>
      </c>
      <c r="E215" s="493">
        <f>+'Alimentazione SP P'!G5</f>
        <v>980644.33</v>
      </c>
      <c r="F215" s="476"/>
      <c r="G215" s="494"/>
      <c r="J215" s="479"/>
      <c r="K215" s="478"/>
    </row>
    <row r="216" spans="1:11" s="495" customFormat="1" ht="24.95" customHeight="1">
      <c r="A216" s="558"/>
      <c r="B216" s="481" t="s">
        <v>4540</v>
      </c>
      <c r="C216" s="482" t="s">
        <v>4541</v>
      </c>
      <c r="D216" s="483">
        <f>+D217+D218+D222+D223+D224</f>
        <v>542196784.92000008</v>
      </c>
      <c r="E216" s="483">
        <f>+E217+E218+E222+E223+E224</f>
        <v>551551951.73000002</v>
      </c>
      <c r="F216" s="476"/>
      <c r="G216" s="494"/>
      <c r="J216" s="479"/>
      <c r="K216" s="478"/>
    </row>
    <row r="217" spans="1:11" s="495" customFormat="1" ht="24.95" customHeight="1">
      <c r="A217" s="508"/>
      <c r="B217" s="497" t="s">
        <v>4542</v>
      </c>
      <c r="C217" s="498" t="s">
        <v>4543</v>
      </c>
      <c r="D217" s="493">
        <f>+'Alimentazione SP P'!F8</f>
        <v>112004738.43000001</v>
      </c>
      <c r="E217" s="493">
        <f>+'Alimentazione SP P'!G8</f>
        <v>117084281.44</v>
      </c>
      <c r="F217" s="476"/>
      <c r="G217" s="494"/>
      <c r="J217" s="479"/>
      <c r="K217" s="478"/>
    </row>
    <row r="218" spans="1:11" s="495" customFormat="1" ht="24.95" customHeight="1">
      <c r="A218" s="559"/>
      <c r="B218" s="486" t="s">
        <v>4546</v>
      </c>
      <c r="C218" s="487" t="s">
        <v>4547</v>
      </c>
      <c r="D218" s="488">
        <f>+D219+D220+D221</f>
        <v>47245309.560000002</v>
      </c>
      <c r="E218" s="488">
        <f>+E219+E220+E221</f>
        <v>46735429.359999999</v>
      </c>
      <c r="F218" s="476"/>
      <c r="G218" s="494"/>
      <c r="J218" s="479"/>
      <c r="K218" s="478"/>
    </row>
    <row r="219" spans="1:11" s="495" customFormat="1" ht="24.95" customHeight="1">
      <c r="A219" s="508"/>
      <c r="B219" s="491" t="s">
        <v>4548</v>
      </c>
      <c r="C219" s="492" t="s">
        <v>4549</v>
      </c>
      <c r="D219" s="493">
        <f>+'Alimentazione SP P'!F11</f>
        <v>0</v>
      </c>
      <c r="E219" s="493">
        <f>+'Alimentazione SP P'!G11</f>
        <v>0</v>
      </c>
      <c r="F219" s="476"/>
      <c r="G219" s="494"/>
      <c r="J219" s="479"/>
      <c r="K219" s="478"/>
    </row>
    <row r="220" spans="1:11" s="495" customFormat="1" ht="24.95" customHeight="1">
      <c r="A220" s="508"/>
      <c r="B220" s="491" t="s">
        <v>4552</v>
      </c>
      <c r="C220" s="492" t="s">
        <v>4553</v>
      </c>
      <c r="D220" s="493">
        <f>+'Alimentazione SP P'!F13</f>
        <v>0</v>
      </c>
      <c r="E220" s="493">
        <f>+'Alimentazione SP P'!G13</f>
        <v>0</v>
      </c>
      <c r="F220" s="476"/>
      <c r="G220" s="494"/>
      <c r="J220" s="479"/>
      <c r="K220" s="478"/>
    </row>
    <row r="221" spans="1:11" s="495" customFormat="1" ht="24.95" customHeight="1">
      <c r="A221" s="508"/>
      <c r="B221" s="491" t="s">
        <v>4556</v>
      </c>
      <c r="C221" s="492" t="s">
        <v>4557</v>
      </c>
      <c r="D221" s="493">
        <f>+'Alimentazione SP P'!F15</f>
        <v>47245309.560000002</v>
      </c>
      <c r="E221" s="493">
        <f>+'Alimentazione SP P'!G15</f>
        <v>46735429.359999999</v>
      </c>
      <c r="F221" s="476"/>
      <c r="G221" s="494"/>
      <c r="J221" s="479"/>
      <c r="K221" s="478"/>
    </row>
    <row r="222" spans="1:11" s="495" customFormat="1" ht="24.95" customHeight="1">
      <c r="A222" s="508"/>
      <c r="B222" s="497" t="s">
        <v>4560</v>
      </c>
      <c r="C222" s="498" t="s">
        <v>4561</v>
      </c>
      <c r="D222" s="493">
        <f>+'Alimentazione SP P'!F17+'Alimentazione SP P'!F18</f>
        <v>371520499.99000001</v>
      </c>
      <c r="E222" s="493">
        <f>+'Alimentazione SP P'!G17+'Alimentazione SP P'!G18</f>
        <v>376361397.30000001</v>
      </c>
      <c r="F222" s="476"/>
      <c r="G222" s="494"/>
      <c r="J222" s="479"/>
      <c r="K222" s="478"/>
    </row>
    <row r="223" spans="1:11" s="495" customFormat="1" ht="24.95" customHeight="1">
      <c r="A223" s="508"/>
      <c r="B223" s="497" t="s">
        <v>4566</v>
      </c>
      <c r="C223" s="498" t="s">
        <v>4567</v>
      </c>
      <c r="D223" s="493">
        <f>+'Alimentazione SP P'!F20+'Alimentazione SP P'!F21</f>
        <v>11184241.189999999</v>
      </c>
      <c r="E223" s="493">
        <f>+'Alimentazione SP P'!G20+'Alimentazione SP P'!G21</f>
        <v>11296591.08</v>
      </c>
      <c r="F223" s="476"/>
      <c r="G223" s="494"/>
      <c r="J223" s="479"/>
      <c r="K223" s="478"/>
    </row>
    <row r="224" spans="1:11" s="495" customFormat="1" ht="24.95" customHeight="1">
      <c r="A224" s="508"/>
      <c r="B224" s="497" t="s">
        <v>4572</v>
      </c>
      <c r="C224" s="498" t="s">
        <v>4573</v>
      </c>
      <c r="D224" s="493">
        <f>+'Alimentazione SP P'!F23</f>
        <v>241995.75</v>
      </c>
      <c r="E224" s="493">
        <f>+'Alimentazione SP P'!G23</f>
        <v>74252.55</v>
      </c>
      <c r="F224" s="476"/>
      <c r="G224" s="494"/>
      <c r="J224" s="479"/>
      <c r="K224" s="478"/>
    </row>
    <row r="225" spans="1:11" s="495" customFormat="1" ht="24.95" customHeight="1">
      <c r="A225" s="508"/>
      <c r="B225" s="556" t="s">
        <v>4576</v>
      </c>
      <c r="C225" s="557" t="s">
        <v>4577</v>
      </c>
      <c r="D225" s="493">
        <f>+'Alimentazione SP P'!F25</f>
        <v>16037135.33</v>
      </c>
      <c r="E225" s="493">
        <f>+'Alimentazione SP P'!G25</f>
        <v>17216607.98</v>
      </c>
      <c r="F225" s="476"/>
      <c r="G225" s="494"/>
      <c r="J225" s="479"/>
      <c r="K225" s="478"/>
    </row>
    <row r="226" spans="1:11" s="495" customFormat="1" ht="24.95" customHeight="1">
      <c r="A226" s="480"/>
      <c r="B226" s="481" t="s">
        <v>4580</v>
      </c>
      <c r="C226" s="482" t="s">
        <v>4581</v>
      </c>
      <c r="D226" s="483">
        <f>+D227+D228+D229+D230+D231</f>
        <v>4629064.99</v>
      </c>
      <c r="E226" s="483">
        <f>+E227+E228+E229+E230+E231</f>
        <v>4950113.8</v>
      </c>
      <c r="F226" s="476"/>
      <c r="G226" s="494"/>
      <c r="J226" s="479"/>
      <c r="K226" s="478"/>
    </row>
    <row r="227" spans="1:11" s="495" customFormat="1" ht="24.95" customHeight="1">
      <c r="A227" s="490"/>
      <c r="B227" s="497" t="s">
        <v>4582</v>
      </c>
      <c r="C227" s="498" t="s">
        <v>4583</v>
      </c>
      <c r="D227" s="493">
        <f>+'Alimentazione SP P'!F28</f>
        <v>0</v>
      </c>
      <c r="E227" s="493">
        <f>+'Alimentazione SP P'!G28</f>
        <v>0</v>
      </c>
      <c r="F227" s="476"/>
      <c r="G227" s="494"/>
      <c r="J227" s="479"/>
      <c r="K227" s="478"/>
    </row>
    <row r="228" spans="1:11" s="495" customFormat="1" ht="24.95" customHeight="1">
      <c r="A228" s="490"/>
      <c r="B228" s="497" t="s">
        <v>4586</v>
      </c>
      <c r="C228" s="498" t="s">
        <v>4587</v>
      </c>
      <c r="D228" s="493">
        <f>+'Alimentazione SP P'!F30</f>
        <v>279620.94</v>
      </c>
      <c r="E228" s="493">
        <f>+'Alimentazione SP P'!G30</f>
        <v>279620.94</v>
      </c>
      <c r="F228" s="476"/>
      <c r="G228" s="494"/>
      <c r="J228" s="479"/>
      <c r="K228" s="478"/>
    </row>
    <row r="229" spans="1:11" s="495" customFormat="1" ht="24.95" customHeight="1">
      <c r="A229" s="490"/>
      <c r="B229" s="497" t="s">
        <v>4590</v>
      </c>
      <c r="C229" s="498" t="s">
        <v>4591</v>
      </c>
      <c r="D229" s="493">
        <f>+'Alimentazione SP P'!F32</f>
        <v>6174.28</v>
      </c>
      <c r="E229" s="493">
        <f>+'Alimentazione SP P'!G32</f>
        <v>6427.48</v>
      </c>
      <c r="F229" s="476"/>
      <c r="G229" s="494"/>
      <c r="J229" s="479"/>
      <c r="K229" s="478"/>
    </row>
    <row r="230" spans="1:11" s="495" customFormat="1" ht="24.95" customHeight="1">
      <c r="A230" s="490"/>
      <c r="B230" s="497" t="s">
        <v>4594</v>
      </c>
      <c r="C230" s="498" t="s">
        <v>4595</v>
      </c>
      <c r="D230" s="493">
        <f>+'Alimentazione SP P'!F34</f>
        <v>776734.9</v>
      </c>
      <c r="E230" s="493">
        <f>+'Alimentazione SP P'!G34</f>
        <v>938716.83</v>
      </c>
      <c r="F230" s="476"/>
      <c r="G230" s="494"/>
      <c r="J230" s="479"/>
      <c r="K230" s="478"/>
    </row>
    <row r="231" spans="1:11" s="495" customFormat="1" ht="24.95" customHeight="1">
      <c r="A231" s="490"/>
      <c r="B231" s="497" t="s">
        <v>4598</v>
      </c>
      <c r="C231" s="498" t="s">
        <v>4599</v>
      </c>
      <c r="D231" s="493">
        <f>+'Alimentazione SP P'!F36</f>
        <v>3566534.87</v>
      </c>
      <c r="E231" s="493">
        <f>+'Alimentazione SP P'!G36</f>
        <v>3725348.55</v>
      </c>
      <c r="F231" s="476"/>
      <c r="G231" s="494"/>
      <c r="J231" s="479"/>
      <c r="K231" s="478"/>
    </row>
    <row r="232" spans="1:11" s="495" customFormat="1" ht="24.95" customHeight="1">
      <c r="A232" s="558"/>
      <c r="B232" s="481" t="s">
        <v>4602</v>
      </c>
      <c r="C232" s="482" t="s">
        <v>4603</v>
      </c>
      <c r="D232" s="483">
        <f>+D233+D234+D235</f>
        <v>0</v>
      </c>
      <c r="E232" s="483">
        <f>+E233+E234+E235</f>
        <v>0</v>
      </c>
      <c r="F232" s="476"/>
      <c r="G232" s="494"/>
      <c r="J232" s="479"/>
      <c r="K232" s="478"/>
    </row>
    <row r="233" spans="1:11" s="495" customFormat="1" ht="24.95" customHeight="1">
      <c r="A233" s="490"/>
      <c r="B233" s="497" t="s">
        <v>4604</v>
      </c>
      <c r="C233" s="498" t="s">
        <v>4605</v>
      </c>
      <c r="D233" s="493">
        <f>+'Alimentazione SP P'!F39</f>
        <v>0</v>
      </c>
      <c r="E233" s="493">
        <f>+'Alimentazione SP P'!G39</f>
        <v>0</v>
      </c>
      <c r="F233" s="476"/>
      <c r="G233" s="494"/>
      <c r="J233" s="479"/>
      <c r="K233" s="478"/>
    </row>
    <row r="234" spans="1:11" s="495" customFormat="1" ht="24.95" customHeight="1">
      <c r="A234" s="490"/>
      <c r="B234" s="497" t="s">
        <v>4608</v>
      </c>
      <c r="C234" s="498" t="s">
        <v>4609</v>
      </c>
      <c r="D234" s="493">
        <f>+'Alimentazione SP P'!F41</f>
        <v>0</v>
      </c>
      <c r="E234" s="493">
        <f>+'Alimentazione SP P'!G41</f>
        <v>0</v>
      </c>
      <c r="F234" s="476"/>
      <c r="G234" s="494"/>
      <c r="J234" s="479"/>
      <c r="K234" s="478"/>
    </row>
    <row r="235" spans="1:11" s="495" customFormat="1" ht="24.95" customHeight="1">
      <c r="A235" s="490"/>
      <c r="B235" s="497" t="s">
        <v>4612</v>
      </c>
      <c r="C235" s="498" t="s">
        <v>4613</v>
      </c>
      <c r="D235" s="493">
        <f>+'Alimentazione SP P'!F43</f>
        <v>0</v>
      </c>
      <c r="E235" s="493">
        <f>+'Alimentazione SP P'!G43</f>
        <v>0</v>
      </c>
      <c r="F235" s="476"/>
      <c r="G235" s="494"/>
      <c r="J235" s="479"/>
      <c r="K235" s="478"/>
    </row>
    <row r="236" spans="1:11" s="495" customFormat="1" ht="24.95" customHeight="1">
      <c r="A236" s="490"/>
      <c r="B236" s="556" t="s">
        <v>4616</v>
      </c>
      <c r="C236" s="557" t="s">
        <v>4617</v>
      </c>
      <c r="D236" s="493">
        <f>+'Alimentazione SP P'!F45</f>
        <v>0</v>
      </c>
      <c r="E236" s="493">
        <f>+'Alimentazione SP P'!G45</f>
        <v>0</v>
      </c>
      <c r="F236" s="476"/>
      <c r="G236" s="494"/>
      <c r="J236" s="479"/>
      <c r="K236" s="478"/>
    </row>
    <row r="237" spans="1:11" s="495" customFormat="1" ht="24.95" customHeight="1" thickBot="1">
      <c r="A237" s="500"/>
      <c r="B237" s="560" t="s">
        <v>4620</v>
      </c>
      <c r="C237" s="561" t="s">
        <v>4621</v>
      </c>
      <c r="D237" s="493">
        <f>+'Alimentazione SP P'!F47</f>
        <v>0</v>
      </c>
      <c r="E237" s="493">
        <f>+'Alimentazione SP P'!G47</f>
        <v>0</v>
      </c>
      <c r="F237" s="476"/>
      <c r="G237" s="494"/>
      <c r="J237" s="479"/>
      <c r="K237" s="478"/>
    </row>
    <row r="238" spans="1:11" s="495" customFormat="1" ht="24.95" customHeight="1">
      <c r="A238" s="472"/>
      <c r="B238" s="473" t="s">
        <v>4624</v>
      </c>
      <c r="C238" s="474" t="s">
        <v>4625</v>
      </c>
      <c r="D238" s="507">
        <f>+D239+D240+D248+D257+D263</f>
        <v>65819973.620000005</v>
      </c>
      <c r="E238" s="507">
        <f>+E239+E240+E248+E257+E263</f>
        <v>95761646.830000013</v>
      </c>
      <c r="F238" s="476"/>
      <c r="G238" s="494"/>
      <c r="J238" s="479"/>
      <c r="K238" s="478"/>
    </row>
    <row r="239" spans="1:11" s="495" customFormat="1" ht="24.95" customHeight="1">
      <c r="A239" s="490"/>
      <c r="B239" s="556" t="s">
        <v>4626</v>
      </c>
      <c r="C239" s="557" t="s">
        <v>4627</v>
      </c>
      <c r="D239" s="493">
        <f>+'Alimentazione SP P'!F50</f>
        <v>0</v>
      </c>
      <c r="E239" s="493">
        <f>+'Alimentazione SP P'!G50</f>
        <v>0</v>
      </c>
      <c r="F239" s="476"/>
      <c r="G239" s="494"/>
      <c r="J239" s="479"/>
      <c r="K239" s="478"/>
    </row>
    <row r="240" spans="1:11" s="495" customFormat="1" ht="24.95" customHeight="1">
      <c r="A240" s="480"/>
      <c r="B240" s="481" t="s">
        <v>4630</v>
      </c>
      <c r="C240" s="482" t="s">
        <v>4631</v>
      </c>
      <c r="D240" s="483">
        <f>SUM(D241:D247)</f>
        <v>11018613.209999999</v>
      </c>
      <c r="E240" s="483">
        <f>SUM(E241:E247)</f>
        <v>11049670.08</v>
      </c>
      <c r="F240" s="476"/>
      <c r="G240" s="494"/>
      <c r="J240" s="479"/>
      <c r="K240" s="478"/>
    </row>
    <row r="241" spans="1:11" s="495" customFormat="1" ht="24.95" customHeight="1">
      <c r="A241" s="490"/>
      <c r="B241" s="497" t="s">
        <v>4632</v>
      </c>
      <c r="C241" s="498" t="s">
        <v>4633</v>
      </c>
      <c r="D241" s="493">
        <f>+'Alimentazione SP P'!F53</f>
        <v>5231189.6399999997</v>
      </c>
      <c r="E241" s="493">
        <f>+'Alimentazione SP P'!G53</f>
        <v>3917881.86</v>
      </c>
      <c r="F241" s="476"/>
      <c r="G241" s="494"/>
      <c r="J241" s="479"/>
      <c r="K241" s="478"/>
    </row>
    <row r="242" spans="1:11" s="495" customFormat="1" ht="24.95" customHeight="1">
      <c r="A242" s="490"/>
      <c r="B242" s="497" t="s">
        <v>4636</v>
      </c>
      <c r="C242" s="498" t="s">
        <v>4637</v>
      </c>
      <c r="D242" s="493">
        <f>+'Alimentazione SP P'!F55</f>
        <v>628066.72</v>
      </c>
      <c r="E242" s="493">
        <f>+'Alimentazione SP P'!G55</f>
        <v>2280257.06</v>
      </c>
      <c r="F242" s="476"/>
      <c r="G242" s="494"/>
      <c r="J242" s="479"/>
      <c r="K242" s="478"/>
    </row>
    <row r="243" spans="1:11" s="495" customFormat="1" ht="24.95" customHeight="1">
      <c r="A243" s="490"/>
      <c r="B243" s="497" t="s">
        <v>4640</v>
      </c>
      <c r="C243" s="498" t="s">
        <v>4641</v>
      </c>
      <c r="D243" s="493">
        <f>+'Alimentazione SP P'!F57</f>
        <v>4064440.65</v>
      </c>
      <c r="E243" s="493">
        <f>+'Alimentazione SP P'!G57</f>
        <v>3829150.65</v>
      </c>
      <c r="F243" s="476"/>
      <c r="G243" s="494"/>
      <c r="J243" s="479"/>
      <c r="K243" s="478"/>
    </row>
    <row r="244" spans="1:11" s="495" customFormat="1" ht="24.95" customHeight="1">
      <c r="A244" s="490"/>
      <c r="B244" s="497" t="s">
        <v>4644</v>
      </c>
      <c r="C244" s="498" t="s">
        <v>4645</v>
      </c>
      <c r="D244" s="493">
        <f>+'Alimentazione SP P'!F59</f>
        <v>0</v>
      </c>
      <c r="E244" s="493">
        <f>+'Alimentazione SP P'!G59</f>
        <v>0</v>
      </c>
      <c r="F244" s="476"/>
      <c r="G244" s="494"/>
      <c r="J244" s="479"/>
      <c r="K244" s="478"/>
    </row>
    <row r="245" spans="1:11" s="495" customFormat="1" ht="24.95" customHeight="1">
      <c r="A245" s="490"/>
      <c r="B245" s="562" t="s">
        <v>4648</v>
      </c>
      <c r="C245" s="563" t="s">
        <v>4649</v>
      </c>
      <c r="D245" s="493">
        <f>+'Alimentazione SP P'!F61</f>
        <v>0</v>
      </c>
      <c r="E245" s="493">
        <f>+'Alimentazione SP P'!G61</f>
        <v>0</v>
      </c>
      <c r="F245" s="476"/>
      <c r="G245" s="494"/>
      <c r="J245" s="479"/>
      <c r="K245" s="478"/>
    </row>
    <row r="246" spans="1:11" s="495" customFormat="1" ht="24.95" customHeight="1">
      <c r="A246" s="490"/>
      <c r="B246" s="562" t="s">
        <v>4652</v>
      </c>
      <c r="C246" s="563" t="s">
        <v>4653</v>
      </c>
      <c r="D246" s="493">
        <f>+'Alimentazione SP P'!F63</f>
        <v>0</v>
      </c>
      <c r="E246" s="493">
        <f>+'Alimentazione SP P'!G63</f>
        <v>0</v>
      </c>
      <c r="F246" s="476"/>
      <c r="G246" s="494"/>
      <c r="J246" s="479"/>
      <c r="K246" s="478"/>
    </row>
    <row r="247" spans="1:11" s="495" customFormat="1" ht="24.95" customHeight="1">
      <c r="A247" s="490"/>
      <c r="B247" s="562" t="s">
        <v>4656</v>
      </c>
      <c r="C247" s="563" t="s">
        <v>4657</v>
      </c>
      <c r="D247" s="493">
        <f>+'Alimentazione SP P'!F65+'Alimentazione SP P'!F66+'Alimentazione SP P'!F67</f>
        <v>1094916.2</v>
      </c>
      <c r="E247" s="493">
        <f>+'Alimentazione SP P'!G65+'Alimentazione SP P'!G66+'Alimentazione SP P'!G67</f>
        <v>1022380.51</v>
      </c>
      <c r="F247" s="476"/>
      <c r="G247" s="494"/>
      <c r="J247" s="479"/>
      <c r="K247" s="478"/>
    </row>
    <row r="248" spans="1:11" s="495" customFormat="1" ht="24.95" customHeight="1">
      <c r="A248" s="480"/>
      <c r="B248" s="481" t="s">
        <v>4664</v>
      </c>
      <c r="C248" s="482" t="s">
        <v>4665</v>
      </c>
      <c r="D248" s="483">
        <f>SUM(D249:D256)</f>
        <v>0</v>
      </c>
      <c r="E248" s="483">
        <f>SUM(E249:E256)</f>
        <v>0</v>
      </c>
      <c r="F248" s="476"/>
      <c r="G248" s="494"/>
      <c r="J248" s="479"/>
      <c r="K248" s="478"/>
    </row>
    <row r="249" spans="1:11" s="495" customFormat="1" ht="24.95" customHeight="1">
      <c r="A249" s="490"/>
      <c r="B249" s="497" t="s">
        <v>4666</v>
      </c>
      <c r="C249" s="498" t="s">
        <v>4667</v>
      </c>
      <c r="D249" s="493">
        <f>+'Alimentazione SP P'!F70</f>
        <v>0</v>
      </c>
      <c r="E249" s="493">
        <f>+'Alimentazione SP P'!G70</f>
        <v>0</v>
      </c>
      <c r="F249" s="476"/>
      <c r="G249" s="494"/>
      <c r="J249" s="479"/>
      <c r="K249" s="478"/>
    </row>
    <row r="250" spans="1:11" s="495" customFormat="1" ht="24.95" customHeight="1">
      <c r="A250" s="490"/>
      <c r="B250" s="497" t="s">
        <v>4670</v>
      </c>
      <c r="C250" s="498" t="s">
        <v>4671</v>
      </c>
      <c r="D250" s="493">
        <f>+'Alimentazione SP P'!F72</f>
        <v>0</v>
      </c>
      <c r="E250" s="493">
        <f>+'Alimentazione SP P'!G72</f>
        <v>0</v>
      </c>
      <c r="F250" s="476"/>
      <c r="G250" s="494"/>
      <c r="J250" s="479"/>
      <c r="K250" s="478"/>
    </row>
    <row r="251" spans="1:11" s="495" customFormat="1" ht="24.95" customHeight="1">
      <c r="A251" s="490"/>
      <c r="B251" s="497" t="s">
        <v>4674</v>
      </c>
      <c r="C251" s="498" t="s">
        <v>4675</v>
      </c>
      <c r="D251" s="493">
        <f>+'Alimentazione SP P'!F74</f>
        <v>0</v>
      </c>
      <c r="E251" s="493">
        <f>+'Alimentazione SP P'!G74</f>
        <v>0</v>
      </c>
      <c r="F251" s="476"/>
      <c r="G251" s="494"/>
      <c r="J251" s="479"/>
      <c r="K251" s="478"/>
    </row>
    <row r="252" spans="1:11" s="495" customFormat="1" ht="24.95" customHeight="1">
      <c r="A252" s="490"/>
      <c r="B252" s="497" t="s">
        <v>4678</v>
      </c>
      <c r="C252" s="498" t="s">
        <v>4679</v>
      </c>
      <c r="D252" s="493">
        <f>+'Alimentazione SP P'!F76</f>
        <v>0</v>
      </c>
      <c r="E252" s="493">
        <f>+'Alimentazione SP P'!G76</f>
        <v>0</v>
      </c>
      <c r="F252" s="476"/>
      <c r="G252" s="494"/>
      <c r="J252" s="479"/>
      <c r="K252" s="478"/>
    </row>
    <row r="253" spans="1:11" s="495" customFormat="1" ht="24.95" customHeight="1">
      <c r="A253" s="490"/>
      <c r="B253" s="497" t="s">
        <v>4682</v>
      </c>
      <c r="C253" s="498" t="s">
        <v>4683</v>
      </c>
      <c r="D253" s="493">
        <f>+'Alimentazione SP P'!F78</f>
        <v>0</v>
      </c>
      <c r="E253" s="493">
        <f>+'Alimentazione SP P'!G78</f>
        <v>0</v>
      </c>
      <c r="F253" s="476"/>
      <c r="G253" s="494"/>
      <c r="J253" s="479"/>
      <c r="K253" s="478"/>
    </row>
    <row r="254" spans="1:11" s="495" customFormat="1" ht="24.95" customHeight="1">
      <c r="A254" s="490"/>
      <c r="B254" s="497" t="s">
        <v>4686</v>
      </c>
      <c r="C254" s="498" t="s">
        <v>4687</v>
      </c>
      <c r="D254" s="493">
        <f>+'Alimentazione SP P'!F80</f>
        <v>0</v>
      </c>
      <c r="E254" s="493">
        <f>+'Alimentazione SP P'!G80</f>
        <v>0</v>
      </c>
      <c r="F254" s="476"/>
      <c r="G254" s="494"/>
      <c r="J254" s="479"/>
      <c r="K254" s="478"/>
    </row>
    <row r="255" spans="1:11" s="495" customFormat="1" ht="24.95" customHeight="1">
      <c r="A255" s="490"/>
      <c r="B255" s="497" t="s">
        <v>4690</v>
      </c>
      <c r="C255" s="498" t="s">
        <v>4691</v>
      </c>
      <c r="D255" s="493">
        <f>+'Alimentazione SP P'!F82</f>
        <v>0</v>
      </c>
      <c r="E255" s="493">
        <f>+'Alimentazione SP P'!G82</f>
        <v>0</v>
      </c>
      <c r="F255" s="476"/>
      <c r="G255" s="494"/>
      <c r="J255" s="479"/>
      <c r="K255" s="478"/>
    </row>
    <row r="256" spans="1:11" s="495" customFormat="1" ht="33.75" customHeight="1">
      <c r="A256" s="490"/>
      <c r="B256" s="564" t="s">
        <v>4694</v>
      </c>
      <c r="C256" s="565" t="s">
        <v>4695</v>
      </c>
      <c r="D256" s="493">
        <f>+'Alimentazione SP P'!F84</f>
        <v>0</v>
      </c>
      <c r="E256" s="493">
        <f>+'Alimentazione SP P'!G84</f>
        <v>0</v>
      </c>
      <c r="F256" s="476"/>
      <c r="G256" s="494"/>
      <c r="J256" s="479"/>
      <c r="K256" s="478"/>
    </row>
    <row r="257" spans="1:11" s="495" customFormat="1" ht="24.95" customHeight="1">
      <c r="A257" s="480"/>
      <c r="B257" s="481" t="s">
        <v>4698</v>
      </c>
      <c r="C257" s="482" t="s">
        <v>4699</v>
      </c>
      <c r="D257" s="483">
        <f>SUM(D258:D262)</f>
        <v>25620113.399999999</v>
      </c>
      <c r="E257" s="483">
        <f>SUM(E258:E262)</f>
        <v>58995433.790000007</v>
      </c>
      <c r="F257" s="476"/>
      <c r="G257" s="494"/>
      <c r="J257" s="479"/>
      <c r="K257" s="478"/>
    </row>
    <row r="258" spans="1:11" s="524" customFormat="1" ht="24.95" customHeight="1">
      <c r="A258" s="490"/>
      <c r="B258" s="562" t="s">
        <v>4700</v>
      </c>
      <c r="C258" s="563" t="s">
        <v>5181</v>
      </c>
      <c r="D258" s="493">
        <f>+'Alimentazione SP P'!F87</f>
        <v>1190261.04</v>
      </c>
      <c r="E258" s="493">
        <f>+'Alimentazione SP P'!G87</f>
        <v>1013672.1</v>
      </c>
      <c r="F258" s="476"/>
      <c r="G258" s="494"/>
      <c r="J258" s="479"/>
      <c r="K258" s="478"/>
    </row>
    <row r="259" spans="1:11" s="495" customFormat="1" ht="24.95" customHeight="1">
      <c r="A259" s="490"/>
      <c r="B259" s="497" t="s">
        <v>4704</v>
      </c>
      <c r="C259" s="498" t="s">
        <v>4705</v>
      </c>
      <c r="D259" s="493">
        <f>+'Alimentazione SP P'!F89</f>
        <v>2376760.14</v>
      </c>
      <c r="E259" s="493">
        <f>+'Alimentazione SP P'!G89</f>
        <v>1617705.93</v>
      </c>
      <c r="F259" s="476"/>
      <c r="G259" s="494"/>
      <c r="J259" s="479"/>
      <c r="K259" s="478"/>
    </row>
    <row r="260" spans="1:11" s="495" customFormat="1" ht="24.95" customHeight="1">
      <c r="A260" s="490"/>
      <c r="B260" s="497" t="s">
        <v>4708</v>
      </c>
      <c r="C260" s="498" t="s">
        <v>4709</v>
      </c>
      <c r="D260" s="493">
        <f>+'Alimentazione SP P'!F91</f>
        <v>9759637.4100000001</v>
      </c>
      <c r="E260" s="493">
        <f>+'Alimentazione SP P'!G91</f>
        <v>14422482.74</v>
      </c>
      <c r="F260" s="476"/>
      <c r="G260" s="494"/>
      <c r="J260" s="479"/>
      <c r="K260" s="478"/>
    </row>
    <row r="261" spans="1:11" s="495" customFormat="1" ht="24.95" customHeight="1">
      <c r="A261" s="490"/>
      <c r="B261" s="497" t="s">
        <v>4712</v>
      </c>
      <c r="C261" s="498" t="s">
        <v>4713</v>
      </c>
      <c r="D261" s="493">
        <f>+'Alimentazione SP P'!F93</f>
        <v>0</v>
      </c>
      <c r="E261" s="493">
        <f>+'Alimentazione SP P'!G93</f>
        <v>0</v>
      </c>
      <c r="F261" s="476"/>
      <c r="G261" s="494"/>
      <c r="J261" s="479"/>
      <c r="K261" s="478"/>
    </row>
    <row r="262" spans="1:11" s="495" customFormat="1" ht="24.95" customHeight="1">
      <c r="A262" s="490"/>
      <c r="B262" s="497" t="s">
        <v>4716</v>
      </c>
      <c r="C262" s="498" t="s">
        <v>4717</v>
      </c>
      <c r="D262" s="493">
        <f>+'Alimentazione SP P'!F95+'Alimentazione SP P'!F96</f>
        <v>12293454.809999999</v>
      </c>
      <c r="E262" s="493">
        <f>+'Alimentazione SP P'!G95+'Alimentazione SP P'!G96</f>
        <v>41941573.020000003</v>
      </c>
      <c r="F262" s="476"/>
      <c r="G262" s="494"/>
      <c r="J262" s="479"/>
      <c r="K262" s="478"/>
    </row>
    <row r="263" spans="1:11" s="495" customFormat="1" ht="24.95" customHeight="1">
      <c r="A263" s="480"/>
      <c r="B263" s="481" t="s">
        <v>4722</v>
      </c>
      <c r="C263" s="482" t="s">
        <v>4723</v>
      </c>
      <c r="D263" s="483">
        <f>+D264+D265+D269+D270</f>
        <v>29181247.010000002</v>
      </c>
      <c r="E263" s="483">
        <f>+E264+E265+E269+E270</f>
        <v>25716542.960000001</v>
      </c>
      <c r="F263" s="476"/>
      <c r="G263" s="494"/>
      <c r="J263" s="479"/>
      <c r="K263" s="478"/>
    </row>
    <row r="264" spans="1:11" s="495" customFormat="1" ht="24.95" customHeight="1">
      <c r="A264" s="490"/>
      <c r="B264" s="497" t="s">
        <v>4724</v>
      </c>
      <c r="C264" s="498" t="s">
        <v>4725</v>
      </c>
      <c r="D264" s="493">
        <f>+'Alimentazione SP P'!F99</f>
        <v>0</v>
      </c>
      <c r="E264" s="493">
        <f>+'Alimentazione SP P'!G99</f>
        <v>0</v>
      </c>
      <c r="F264" s="476"/>
      <c r="G264" s="494"/>
      <c r="J264" s="479"/>
      <c r="K264" s="478"/>
    </row>
    <row r="265" spans="1:11" s="495" customFormat="1" ht="24.95" customHeight="1">
      <c r="A265" s="496"/>
      <c r="B265" s="486" t="s">
        <v>4728</v>
      </c>
      <c r="C265" s="487" t="s">
        <v>4729</v>
      </c>
      <c r="D265" s="488">
        <f>+D266+D267+D268</f>
        <v>25275905.23</v>
      </c>
      <c r="E265" s="488">
        <f>+E266+E267+E268</f>
        <v>21520733.23</v>
      </c>
      <c r="F265" s="476"/>
      <c r="G265" s="494"/>
      <c r="J265" s="479"/>
      <c r="K265" s="478"/>
    </row>
    <row r="266" spans="1:11" s="495" customFormat="1" ht="24.95" customHeight="1">
      <c r="A266" s="490"/>
      <c r="B266" s="491" t="s">
        <v>4730</v>
      </c>
      <c r="C266" s="492" t="s">
        <v>5182</v>
      </c>
      <c r="D266" s="493">
        <f>+'Alimentazione SP P'!F102</f>
        <v>15564266.060000001</v>
      </c>
      <c r="E266" s="493">
        <f>+'Alimentazione SP P'!G102</f>
        <v>13647448.060000001</v>
      </c>
      <c r="F266" s="476"/>
      <c r="G266" s="494"/>
      <c r="J266" s="479"/>
      <c r="K266" s="478"/>
    </row>
    <row r="267" spans="1:11" s="495" customFormat="1" ht="24.95" customHeight="1">
      <c r="A267" s="490"/>
      <c r="B267" s="491" t="s">
        <v>4734</v>
      </c>
      <c r="C267" s="492" t="s">
        <v>4735</v>
      </c>
      <c r="D267" s="493">
        <f>+'Alimentazione SP P'!F104</f>
        <v>8983661.5099999998</v>
      </c>
      <c r="E267" s="493">
        <f>+'Alimentazione SP P'!G104</f>
        <v>7264675.5099999998</v>
      </c>
      <c r="F267" s="476"/>
      <c r="G267" s="494"/>
      <c r="J267" s="479"/>
      <c r="K267" s="478"/>
    </row>
    <row r="268" spans="1:11" s="495" customFormat="1" ht="24.95" customHeight="1">
      <c r="A268" s="490"/>
      <c r="B268" s="491" t="s">
        <v>4738</v>
      </c>
      <c r="C268" s="492" t="s">
        <v>4739</v>
      </c>
      <c r="D268" s="493">
        <f>+'Alimentazione SP P'!F106</f>
        <v>727977.66</v>
      </c>
      <c r="E268" s="493">
        <f>+'Alimentazione SP P'!G106</f>
        <v>608609.66</v>
      </c>
      <c r="F268" s="476"/>
      <c r="G268" s="494"/>
      <c r="J268" s="479"/>
      <c r="K268" s="478"/>
    </row>
    <row r="269" spans="1:11" s="495" customFormat="1" ht="24.95" customHeight="1">
      <c r="A269" s="552"/>
      <c r="B269" s="566" t="s">
        <v>4742</v>
      </c>
      <c r="C269" s="567" t="s">
        <v>4743</v>
      </c>
      <c r="D269" s="493">
        <f>+'Alimentazione SP P'!F108+'Alimentazione SP P'!F109</f>
        <v>2962375.59</v>
      </c>
      <c r="E269" s="493">
        <f>+'Alimentazione SP P'!G108+'Alimentazione SP P'!G109</f>
        <v>3519419.58</v>
      </c>
      <c r="F269" s="476"/>
      <c r="G269" s="494"/>
      <c r="J269" s="479"/>
      <c r="K269" s="478"/>
    </row>
    <row r="270" spans="1:11" s="524" customFormat="1" ht="24.95" customHeight="1">
      <c r="A270" s="568"/>
      <c r="B270" s="569" t="s">
        <v>4748</v>
      </c>
      <c r="C270" s="570" t="s">
        <v>5183</v>
      </c>
      <c r="D270" s="493">
        <f>+'Alimentazione SP P'!F111</f>
        <v>942966.19</v>
      </c>
      <c r="E270" s="493">
        <f>+'Alimentazione SP P'!G111</f>
        <v>676390.15</v>
      </c>
      <c r="F270" s="476"/>
      <c r="G270" s="494"/>
      <c r="J270" s="479"/>
      <c r="K270" s="478"/>
    </row>
    <row r="271" spans="1:11" s="495" customFormat="1" ht="24.95" customHeight="1">
      <c r="A271" s="472"/>
      <c r="B271" s="571" t="s">
        <v>4752</v>
      </c>
      <c r="C271" s="548" t="s">
        <v>4753</v>
      </c>
      <c r="D271" s="549">
        <f>+D272+D273+D274</f>
        <v>2310418</v>
      </c>
      <c r="E271" s="549">
        <f>+E272+E273+E274</f>
        <v>2786062.25</v>
      </c>
      <c r="F271" s="476"/>
      <c r="G271" s="494"/>
      <c r="J271" s="479"/>
      <c r="K271" s="478"/>
    </row>
    <row r="272" spans="1:11" s="495" customFormat="1" ht="24.95" customHeight="1">
      <c r="A272" s="490"/>
      <c r="B272" s="556" t="s">
        <v>4754</v>
      </c>
      <c r="C272" s="557" t="s">
        <v>4755</v>
      </c>
      <c r="D272" s="493">
        <f>+'Alimentazione SP P'!F114</f>
        <v>2310418</v>
      </c>
      <c r="E272" s="493">
        <f>+'Alimentazione SP P'!G114</f>
        <v>2786062.25</v>
      </c>
      <c r="F272" s="476"/>
      <c r="G272" s="494"/>
      <c r="J272" s="479"/>
      <c r="K272" s="478"/>
    </row>
    <row r="273" spans="1:11" s="495" customFormat="1" ht="24.95" customHeight="1">
      <c r="A273" s="490"/>
      <c r="B273" s="556" t="s">
        <v>4758</v>
      </c>
      <c r="C273" s="557" t="s">
        <v>4759</v>
      </c>
      <c r="D273" s="493">
        <f>+'Alimentazione SP P'!F116</f>
        <v>0</v>
      </c>
      <c r="E273" s="493">
        <f>+'Alimentazione SP P'!G116</f>
        <v>0</v>
      </c>
      <c r="F273" s="476"/>
      <c r="G273" s="494"/>
      <c r="J273" s="479"/>
      <c r="K273" s="478"/>
    </row>
    <row r="274" spans="1:11" s="495" customFormat="1" ht="24.95" customHeight="1" thickBot="1">
      <c r="A274" s="500"/>
      <c r="B274" s="560" t="s">
        <v>4762</v>
      </c>
      <c r="C274" s="561" t="s">
        <v>5184</v>
      </c>
      <c r="D274" s="493">
        <f>+'Alimentazione SP P'!F118</f>
        <v>0</v>
      </c>
      <c r="E274" s="493">
        <f>+'Alimentazione SP P'!G118</f>
        <v>0</v>
      </c>
      <c r="F274" s="476"/>
      <c r="G274" s="494"/>
      <c r="J274" s="479"/>
      <c r="K274" s="478"/>
    </row>
    <row r="275" spans="1:11" s="495" customFormat="1" ht="24.95" customHeight="1">
      <c r="A275" s="572"/>
      <c r="B275" s="573" t="s">
        <v>4766</v>
      </c>
      <c r="C275" s="474" t="s">
        <v>4767</v>
      </c>
      <c r="D275" s="507">
        <f>+D276+D277+D283+D294+D295+D313+D317+D324+D325+D326+D327</f>
        <v>351420586.02999997</v>
      </c>
      <c r="E275" s="507">
        <f>+E276+E277+E283+E294+E295+E313+E317+E324+E325+E326+E327</f>
        <v>266010858.03999999</v>
      </c>
      <c r="F275" s="476"/>
      <c r="G275" s="494"/>
      <c r="J275" s="479"/>
      <c r="K275" s="478"/>
    </row>
    <row r="276" spans="1:11" s="495" customFormat="1" ht="24.95" customHeight="1">
      <c r="A276" s="490"/>
      <c r="B276" s="556" t="s">
        <v>4768</v>
      </c>
      <c r="C276" s="557" t="s">
        <v>4769</v>
      </c>
      <c r="D276" s="493">
        <f>+'Alimentazione SP P'!F121</f>
        <v>0</v>
      </c>
      <c r="E276" s="493">
        <f>+'Alimentazione SP P'!G121</f>
        <v>0</v>
      </c>
      <c r="F276" s="476"/>
      <c r="G276" s="494"/>
      <c r="J276" s="479"/>
      <c r="K276" s="478"/>
    </row>
    <row r="277" spans="1:11" s="495" customFormat="1" ht="24.95" customHeight="1">
      <c r="A277" s="490"/>
      <c r="B277" s="556" t="s">
        <v>4772</v>
      </c>
      <c r="C277" s="557" t="s">
        <v>4773</v>
      </c>
      <c r="D277" s="493">
        <f>SUM(D278:D282)</f>
        <v>0</v>
      </c>
      <c r="E277" s="493">
        <f>SUM(E278:E282)</f>
        <v>0</v>
      </c>
      <c r="F277" s="596" t="s">
        <v>1835</v>
      </c>
      <c r="G277" s="494"/>
      <c r="J277" s="479"/>
      <c r="K277" s="478"/>
    </row>
    <row r="278" spans="1:11" s="495" customFormat="1" ht="24.95" customHeight="1">
      <c r="A278" s="574" t="s">
        <v>1293</v>
      </c>
      <c r="B278" s="562" t="s">
        <v>4774</v>
      </c>
      <c r="C278" s="563" t="s">
        <v>4775</v>
      </c>
      <c r="D278" s="493">
        <f>+'Alimentazione SP P'!F124</f>
        <v>0</v>
      </c>
      <c r="E278" s="493">
        <f>+'Alimentazione SP P'!G124</f>
        <v>0</v>
      </c>
      <c r="F278" s="476"/>
      <c r="G278" s="494"/>
      <c r="J278" s="479"/>
      <c r="K278" s="478"/>
    </row>
    <row r="279" spans="1:11" s="495" customFormat="1" ht="24.95" customHeight="1">
      <c r="A279" s="574"/>
      <c r="B279" s="562" t="s">
        <v>4778</v>
      </c>
      <c r="C279" s="563" t="s">
        <v>4779</v>
      </c>
      <c r="D279" s="493">
        <f>+'Alimentazione SP P'!F126</f>
        <v>0</v>
      </c>
      <c r="E279" s="493">
        <f>+'Alimentazione SP P'!G126</f>
        <v>0</v>
      </c>
      <c r="F279" s="476"/>
      <c r="G279" s="494"/>
      <c r="J279" s="479"/>
      <c r="K279" s="478"/>
    </row>
    <row r="280" spans="1:11" s="495" customFormat="1" ht="24.95" customHeight="1">
      <c r="A280" s="541" t="s">
        <v>1297</v>
      </c>
      <c r="B280" s="562" t="s">
        <v>4782</v>
      </c>
      <c r="C280" s="563" t="s">
        <v>4783</v>
      </c>
      <c r="D280" s="493">
        <f>+'Alimentazione SP P'!F128</f>
        <v>0</v>
      </c>
      <c r="E280" s="493">
        <f>+'Alimentazione SP P'!G128</f>
        <v>0</v>
      </c>
      <c r="F280" s="476"/>
      <c r="G280" s="494"/>
      <c r="J280" s="479"/>
      <c r="K280" s="478"/>
    </row>
    <row r="281" spans="1:11" s="495" customFormat="1" ht="24.95" customHeight="1">
      <c r="A281" s="541" t="s">
        <v>1297</v>
      </c>
      <c r="B281" s="562" t="s">
        <v>4786</v>
      </c>
      <c r="C281" s="563" t="s">
        <v>4787</v>
      </c>
      <c r="D281" s="493">
        <f>+'Alimentazione SP P'!F130</f>
        <v>0</v>
      </c>
      <c r="E281" s="493">
        <f>+'Alimentazione SP P'!G130</f>
        <v>0</v>
      </c>
      <c r="F281" s="476"/>
      <c r="G281" s="494"/>
      <c r="J281" s="479"/>
      <c r="K281" s="478"/>
    </row>
    <row r="282" spans="1:11" s="495" customFormat="1" ht="24.95" customHeight="1">
      <c r="A282" s="541" t="s">
        <v>1297</v>
      </c>
      <c r="B282" s="562" t="s">
        <v>4790</v>
      </c>
      <c r="C282" s="563" t="s">
        <v>4791</v>
      </c>
      <c r="D282" s="493">
        <f>+'Alimentazione SP P'!F132+'Alimentazione SP P'!F133+'Alimentazione SP P'!F134+'Alimentazione SP P'!F135</f>
        <v>0</v>
      </c>
      <c r="E282" s="493">
        <f>+'Alimentazione SP P'!G132+'Alimentazione SP P'!G133+'Alimentazione SP P'!G134+'Alimentazione SP P'!G135</f>
        <v>0</v>
      </c>
      <c r="F282" s="476"/>
      <c r="G282" s="494"/>
      <c r="J282" s="479"/>
      <c r="K282" s="478"/>
    </row>
    <row r="283" spans="1:11" s="495" customFormat="1" ht="24.95" customHeight="1">
      <c r="A283" s="490"/>
      <c r="B283" s="556" t="s">
        <v>4800</v>
      </c>
      <c r="C283" s="557" t="s">
        <v>4801</v>
      </c>
      <c r="D283" s="493">
        <f>SUM(D284:D293)</f>
        <v>51635333.709999993</v>
      </c>
      <c r="E283" s="493">
        <f>SUM(E284:E293)</f>
        <v>37150114.530000001</v>
      </c>
      <c r="F283" s="596" t="s">
        <v>1835</v>
      </c>
      <c r="G283" s="494"/>
      <c r="J283" s="479"/>
      <c r="K283" s="478"/>
    </row>
    <row r="284" spans="1:11" s="524" customFormat="1" ht="24.95" customHeight="1">
      <c r="A284" s="541" t="s">
        <v>5169</v>
      </c>
      <c r="B284" s="497" t="s">
        <v>4802</v>
      </c>
      <c r="C284" s="498" t="s">
        <v>4803</v>
      </c>
      <c r="D284" s="493">
        <f>+'Alimentazione SP P'!F138</f>
        <v>0</v>
      </c>
      <c r="E284" s="493">
        <f>+'Alimentazione SP P'!G138</f>
        <v>0</v>
      </c>
      <c r="F284" s="476"/>
      <c r="G284" s="494"/>
      <c r="J284" s="479"/>
      <c r="K284" s="478"/>
    </row>
    <row r="285" spans="1:11" s="524" customFormat="1" ht="24.95" customHeight="1">
      <c r="A285" s="541"/>
      <c r="B285" s="497" t="s">
        <v>4806</v>
      </c>
      <c r="C285" s="498" t="s">
        <v>4807</v>
      </c>
      <c r="D285" s="493">
        <f>+'Alimentazione SP P'!F140</f>
        <v>8510844.25</v>
      </c>
      <c r="E285" s="493">
        <f>+'Alimentazione SP P'!G140</f>
        <v>10141708.279999999</v>
      </c>
      <c r="F285" s="476"/>
      <c r="G285" s="494"/>
      <c r="J285" s="479"/>
      <c r="K285" s="478"/>
    </row>
    <row r="286" spans="1:11" s="495" customFormat="1" ht="24.95" customHeight="1">
      <c r="A286" s="541" t="s">
        <v>1248</v>
      </c>
      <c r="B286" s="497" t="s">
        <v>4810</v>
      </c>
      <c r="C286" s="498" t="s">
        <v>4811</v>
      </c>
      <c r="D286" s="493">
        <f>+'Alimentazione SP P'!F142</f>
        <v>0</v>
      </c>
      <c r="E286" s="493">
        <f>+'Alimentazione SP P'!G142</f>
        <v>0</v>
      </c>
      <c r="F286" s="476"/>
      <c r="G286" s="494"/>
      <c r="J286" s="479"/>
      <c r="K286" s="478"/>
    </row>
    <row r="287" spans="1:11" s="495" customFormat="1" ht="24.95" customHeight="1">
      <c r="A287" s="574" t="s">
        <v>5169</v>
      </c>
      <c r="B287" s="562" t="s">
        <v>4814</v>
      </c>
      <c r="C287" s="563" t="s">
        <v>4815</v>
      </c>
      <c r="D287" s="493">
        <f>+'Alimentazione SP P'!F144</f>
        <v>31794940.969999999</v>
      </c>
      <c r="E287" s="493">
        <f>+'Alimentazione SP P'!G144</f>
        <v>15463152.300000001</v>
      </c>
      <c r="F287" s="476"/>
      <c r="G287" s="494"/>
      <c r="J287" s="479"/>
      <c r="K287" s="478"/>
    </row>
    <row r="288" spans="1:11" s="524" customFormat="1" ht="24.95" customHeight="1">
      <c r="A288" s="521" t="s">
        <v>5169</v>
      </c>
      <c r="B288" s="575" t="s">
        <v>4818</v>
      </c>
      <c r="C288" s="576" t="s">
        <v>4819</v>
      </c>
      <c r="D288" s="493">
        <f>+'Alimentazione SP P'!F146</f>
        <v>520280.41</v>
      </c>
      <c r="E288" s="493">
        <f>+'Alimentazione SP P'!G146</f>
        <v>520280.41</v>
      </c>
      <c r="F288" s="476"/>
      <c r="G288" s="494"/>
      <c r="J288" s="479"/>
      <c r="K288" s="478"/>
    </row>
    <row r="289" spans="1:11" s="495" customFormat="1" ht="24.95" customHeight="1">
      <c r="A289" s="521" t="s">
        <v>5169</v>
      </c>
      <c r="B289" s="575" t="s">
        <v>4822</v>
      </c>
      <c r="C289" s="576" t="s">
        <v>4823</v>
      </c>
      <c r="D289" s="493">
        <f>+'Alimentazione SP P'!F148</f>
        <v>0</v>
      </c>
      <c r="E289" s="493">
        <f>+'Alimentazione SP P'!G148</f>
        <v>0</v>
      </c>
      <c r="F289" s="476"/>
      <c r="G289" s="494"/>
      <c r="J289" s="479"/>
      <c r="K289" s="478"/>
    </row>
    <row r="290" spans="1:11" s="495" customFormat="1" ht="24.95" customHeight="1">
      <c r="A290" s="521" t="s">
        <v>5169</v>
      </c>
      <c r="B290" s="575" t="s">
        <v>4826</v>
      </c>
      <c r="C290" s="576" t="s">
        <v>4827</v>
      </c>
      <c r="D290" s="493">
        <f>+'Alimentazione SP P'!F150</f>
        <v>0</v>
      </c>
      <c r="E290" s="493">
        <f>+'Alimentazione SP P'!G150</f>
        <v>0</v>
      </c>
      <c r="F290" s="476"/>
      <c r="G290" s="494"/>
      <c r="J290" s="479"/>
      <c r="K290" s="478"/>
    </row>
    <row r="291" spans="1:11" s="495" customFormat="1" ht="24.95" customHeight="1">
      <c r="A291" s="577"/>
      <c r="B291" s="578" t="s">
        <v>4830</v>
      </c>
      <c r="C291" s="579" t="s">
        <v>5185</v>
      </c>
      <c r="D291" s="493">
        <f>+'Alimentazione SP P'!F152</f>
        <v>0</v>
      </c>
      <c r="E291" s="493">
        <f>+'Alimentazione SP P'!G152</f>
        <v>0</v>
      </c>
      <c r="F291" s="476"/>
      <c r="G291" s="494"/>
      <c r="J291" s="479"/>
      <c r="K291" s="478"/>
    </row>
    <row r="292" spans="1:11" s="524" customFormat="1" ht="24.95" customHeight="1">
      <c r="A292" s="580" t="s">
        <v>5169</v>
      </c>
      <c r="B292" s="575" t="s">
        <v>4834</v>
      </c>
      <c r="C292" s="576" t="s">
        <v>5186</v>
      </c>
      <c r="D292" s="493">
        <f>+'Alimentazione SP P'!F154</f>
        <v>0</v>
      </c>
      <c r="E292" s="493">
        <f>+'Alimentazione SP P'!G154</f>
        <v>0</v>
      </c>
      <c r="F292" s="476"/>
      <c r="G292" s="494"/>
      <c r="J292" s="479"/>
      <c r="K292" s="478"/>
    </row>
    <row r="293" spans="1:11" s="524" customFormat="1" ht="24.95" customHeight="1">
      <c r="A293" s="580"/>
      <c r="B293" s="575" t="s">
        <v>4838</v>
      </c>
      <c r="C293" s="576" t="s">
        <v>4839</v>
      </c>
      <c r="D293" s="493">
        <f>+'Alimentazione SP P'!F156+'Alimentazione SP P'!F157+'Alimentazione SP P'!F158+'Alimentazione SP P'!F159+'Alimentazione SP P'!F160</f>
        <v>10809268.08</v>
      </c>
      <c r="E293" s="493">
        <f>+'Alimentazione SP P'!G156+'Alimentazione SP P'!G157+'Alimentazione SP P'!G158+'Alimentazione SP P'!G159+'Alimentazione SP P'!G160</f>
        <v>11024973.539999999</v>
      </c>
      <c r="F293" s="476"/>
      <c r="G293" s="494"/>
      <c r="J293" s="479"/>
      <c r="K293" s="478"/>
    </row>
    <row r="294" spans="1:11" s="495" customFormat="1" ht="24.95" customHeight="1">
      <c r="A294" s="490"/>
      <c r="B294" s="556" t="s">
        <v>4850</v>
      </c>
      <c r="C294" s="557" t="s">
        <v>4851</v>
      </c>
      <c r="D294" s="493">
        <f>+'Alimentazione SP P'!F162+'Alimentazione SP P'!F163+'Alimentazione SP P'!F164+'Alimentazione SP P'!F165</f>
        <v>4150649.41</v>
      </c>
      <c r="E294" s="493">
        <f>+'Alimentazione SP P'!G162+'Alimentazione SP P'!G163+'Alimentazione SP P'!G164+'Alimentazione SP P'!G165</f>
        <v>4101944.89</v>
      </c>
      <c r="F294" s="476"/>
      <c r="G294" s="494"/>
      <c r="J294" s="479"/>
      <c r="K294" s="478"/>
    </row>
    <row r="295" spans="1:11" s="495" customFormat="1" ht="24.95" customHeight="1">
      <c r="A295" s="490"/>
      <c r="B295" s="556" t="s">
        <v>4860</v>
      </c>
      <c r="C295" s="557" t="s">
        <v>4861</v>
      </c>
      <c r="D295" s="493">
        <f>+D296+D306+D307</f>
        <v>120520097.68999998</v>
      </c>
      <c r="E295" s="493">
        <f>+E296+E306+E307</f>
        <v>69739895.61999999</v>
      </c>
      <c r="F295" s="596" t="s">
        <v>1835</v>
      </c>
      <c r="G295" s="494"/>
      <c r="J295" s="479"/>
      <c r="K295" s="478"/>
    </row>
    <row r="296" spans="1:11" s="495" customFormat="1" ht="24.95" customHeight="1">
      <c r="A296" s="490"/>
      <c r="B296" s="497" t="s">
        <v>4862</v>
      </c>
      <c r="C296" s="498" t="s">
        <v>4863</v>
      </c>
      <c r="D296" s="493">
        <f>SUM(D297:D305)</f>
        <v>119630355.41999999</v>
      </c>
      <c r="E296" s="493">
        <f>SUM(E297:E305)</f>
        <v>68690052.299999997</v>
      </c>
      <c r="F296" s="596" t="s">
        <v>1835</v>
      </c>
      <c r="G296" s="494"/>
      <c r="J296" s="479"/>
      <c r="K296" s="478"/>
    </row>
    <row r="297" spans="1:11" s="495" customFormat="1" ht="24.95" customHeight="1">
      <c r="A297" s="490" t="s">
        <v>5169</v>
      </c>
      <c r="B297" s="491" t="s">
        <v>4864</v>
      </c>
      <c r="C297" s="492" t="s">
        <v>4865</v>
      </c>
      <c r="D297" s="493">
        <f>+'Alimentazione SP P'!F169</f>
        <v>0</v>
      </c>
      <c r="E297" s="493">
        <f>+'Alimentazione SP P'!G169</f>
        <v>0</v>
      </c>
      <c r="F297" s="476"/>
      <c r="G297" s="494"/>
      <c r="J297" s="479"/>
      <c r="K297" s="478"/>
    </row>
    <row r="298" spans="1:11" s="495" customFormat="1" ht="24.95" customHeight="1">
      <c r="A298" s="490" t="s">
        <v>5169</v>
      </c>
      <c r="B298" s="491" t="s">
        <v>4868</v>
      </c>
      <c r="C298" s="492" t="s">
        <v>4869</v>
      </c>
      <c r="D298" s="493">
        <f>+'Alimentazione SP P'!F171</f>
        <v>0</v>
      </c>
      <c r="E298" s="493">
        <f>+'Alimentazione SP P'!G171</f>
        <v>0</v>
      </c>
      <c r="F298" s="476"/>
      <c r="G298" s="494"/>
      <c r="J298" s="479"/>
      <c r="K298" s="478"/>
    </row>
    <row r="299" spans="1:11" s="495" customFormat="1" ht="24.95" customHeight="1">
      <c r="A299" s="490" t="s">
        <v>5169</v>
      </c>
      <c r="B299" s="491" t="s">
        <v>4872</v>
      </c>
      <c r="C299" s="492" t="s">
        <v>4873</v>
      </c>
      <c r="D299" s="493">
        <f>+'Alimentazione SP P'!F173</f>
        <v>0</v>
      </c>
      <c r="E299" s="493">
        <f>+'Alimentazione SP P'!G173</f>
        <v>0</v>
      </c>
      <c r="F299" s="476"/>
      <c r="G299" s="494"/>
      <c r="J299" s="479"/>
      <c r="K299" s="478"/>
    </row>
    <row r="300" spans="1:11" s="495" customFormat="1" ht="24.95" customHeight="1">
      <c r="A300" s="490" t="s">
        <v>1248</v>
      </c>
      <c r="B300" s="491" t="s">
        <v>4876</v>
      </c>
      <c r="C300" s="492" t="s">
        <v>4877</v>
      </c>
      <c r="D300" s="493">
        <f>+'Alimentazione SP P'!F175</f>
        <v>25590.5</v>
      </c>
      <c r="E300" s="493">
        <f>+'Alimentazione SP P'!G175</f>
        <v>442971.7</v>
      </c>
      <c r="F300" s="476"/>
      <c r="G300" s="494"/>
      <c r="J300" s="479"/>
      <c r="K300" s="478"/>
    </row>
    <row r="301" spans="1:11" s="495" customFormat="1" ht="24.95" customHeight="1">
      <c r="A301" s="509" t="s">
        <v>1248</v>
      </c>
      <c r="B301" s="491" t="s">
        <v>4880</v>
      </c>
      <c r="C301" s="492" t="s">
        <v>4881</v>
      </c>
      <c r="D301" s="493">
        <f>+'Alimentazione SP P'!F177+'Alimentazione SP P'!F178+'Alimentazione SP P'!F179</f>
        <v>19378675.859999999</v>
      </c>
      <c r="E301" s="493">
        <f>+'Alimentazione SP P'!G177+'Alimentazione SP P'!G178+'Alimentazione SP P'!G179</f>
        <v>16997449.670000002</v>
      </c>
      <c r="F301" s="476"/>
      <c r="G301" s="494"/>
      <c r="J301" s="479"/>
      <c r="K301" s="478"/>
    </row>
    <row r="302" spans="1:11" s="495" customFormat="1" ht="24.95" customHeight="1">
      <c r="A302" s="509" t="s">
        <v>1248</v>
      </c>
      <c r="B302" s="491" t="s">
        <v>4888</v>
      </c>
      <c r="C302" s="492" t="s">
        <v>4889</v>
      </c>
      <c r="D302" s="493">
        <f>+'Alimentazione SP P'!F182+'Alimentazione SP P'!F181+'Alimentazione SP P'!F183</f>
        <v>100226089.05999999</v>
      </c>
      <c r="E302" s="493">
        <f>+'Alimentazione SP P'!G182+'Alimentazione SP P'!G181+'Alimentazione SP P'!G183</f>
        <v>51249630.93</v>
      </c>
      <c r="F302" s="476"/>
      <c r="G302" s="494"/>
      <c r="J302" s="479"/>
      <c r="K302" s="478"/>
    </row>
    <row r="303" spans="1:11" s="524" customFormat="1" ht="24.95" customHeight="1">
      <c r="A303" s="526" t="s">
        <v>5169</v>
      </c>
      <c r="B303" s="491" t="s">
        <v>4896</v>
      </c>
      <c r="C303" s="527" t="s">
        <v>5187</v>
      </c>
      <c r="D303" s="493">
        <f>+'Alimentazione SP P'!F185</f>
        <v>0</v>
      </c>
      <c r="E303" s="493">
        <f>+'Alimentazione SP P'!G185</f>
        <v>0</v>
      </c>
      <c r="G303" s="494"/>
      <c r="J303" s="479"/>
      <c r="K303" s="478"/>
    </row>
    <row r="304" spans="1:11" s="495" customFormat="1" ht="24.95" customHeight="1">
      <c r="A304" s="581" t="s">
        <v>1248</v>
      </c>
      <c r="B304" s="491" t="s">
        <v>4900</v>
      </c>
      <c r="C304" s="116" t="s">
        <v>5188</v>
      </c>
      <c r="D304" s="493">
        <f>+'Alimentazione SP P'!F187</f>
        <v>0</v>
      </c>
      <c r="E304" s="493">
        <f>+'Alimentazione SP P'!G187</f>
        <v>0</v>
      </c>
      <c r="F304" s="476"/>
      <c r="G304" s="494"/>
      <c r="J304" s="479"/>
      <c r="K304" s="478"/>
    </row>
    <row r="305" spans="1:11" s="524" customFormat="1" ht="24.95" customHeight="1">
      <c r="A305" s="528" t="s">
        <v>5169</v>
      </c>
      <c r="B305" s="582" t="s">
        <v>4904</v>
      </c>
      <c r="C305" s="116" t="s">
        <v>5189</v>
      </c>
      <c r="D305" s="493">
        <f>+'Alimentazione SP P'!F189</f>
        <v>0</v>
      </c>
      <c r="E305" s="493">
        <f>+'Alimentazione SP P'!G189</f>
        <v>0</v>
      </c>
      <c r="G305" s="494"/>
      <c r="J305" s="479"/>
      <c r="K305" s="478"/>
    </row>
    <row r="306" spans="1:11" s="495" customFormat="1" ht="24.95" customHeight="1">
      <c r="A306" s="541" t="s">
        <v>1297</v>
      </c>
      <c r="B306" s="497" t="s">
        <v>4908</v>
      </c>
      <c r="C306" s="498" t="s">
        <v>5190</v>
      </c>
      <c r="D306" s="493">
        <f>+'Alimentazione SP P'!F191+'Alimentazione SP P'!F192+'Alimentazione SP P'!F193</f>
        <v>889742.27</v>
      </c>
      <c r="E306" s="493">
        <f>+'Alimentazione SP P'!G191+'Alimentazione SP P'!G192+'Alimentazione SP P'!G193</f>
        <v>1049843.32</v>
      </c>
      <c r="F306" s="476"/>
      <c r="G306" s="494"/>
      <c r="J306" s="479"/>
      <c r="K306" s="478"/>
    </row>
    <row r="307" spans="1:11" s="495" customFormat="1" ht="24.95" customHeight="1">
      <c r="A307" s="583"/>
      <c r="B307" s="497" t="s">
        <v>4916</v>
      </c>
      <c r="C307" s="498" t="s">
        <v>4917</v>
      </c>
      <c r="D307" s="493">
        <f>SUM(D308:D312)</f>
        <v>0</v>
      </c>
      <c r="E307" s="493">
        <f>SUM(E308:E312)</f>
        <v>0</v>
      </c>
      <c r="F307" s="476"/>
      <c r="G307" s="494"/>
      <c r="J307" s="479"/>
      <c r="K307" s="478"/>
    </row>
    <row r="308" spans="1:11" s="495" customFormat="1" ht="24.95" customHeight="1">
      <c r="A308" s="583" t="s">
        <v>5169</v>
      </c>
      <c r="B308" s="510" t="s">
        <v>4918</v>
      </c>
      <c r="C308" s="511" t="s">
        <v>5191</v>
      </c>
      <c r="D308" s="493">
        <f>+'Alimentazione SP P'!F196</f>
        <v>0</v>
      </c>
      <c r="E308" s="493">
        <f>+'Alimentazione SP P'!G196</f>
        <v>0</v>
      </c>
      <c r="F308" s="476"/>
      <c r="G308" s="494"/>
      <c r="J308" s="479"/>
      <c r="K308" s="478"/>
    </row>
    <row r="309" spans="1:11" s="495" customFormat="1" ht="24.95" customHeight="1">
      <c r="A309" s="583" t="s">
        <v>5169</v>
      </c>
      <c r="B309" s="510" t="s">
        <v>4922</v>
      </c>
      <c r="C309" s="511" t="s">
        <v>4923</v>
      </c>
      <c r="D309" s="493">
        <f>+'Alimentazione SP P'!F198</f>
        <v>0</v>
      </c>
      <c r="E309" s="493">
        <f>+'Alimentazione SP P'!G198</f>
        <v>0</v>
      </c>
      <c r="F309" s="476"/>
      <c r="G309" s="494"/>
      <c r="J309" s="479"/>
      <c r="K309" s="478"/>
    </row>
    <row r="310" spans="1:11" s="495" customFormat="1" ht="24.95" customHeight="1">
      <c r="A310" s="583" t="s">
        <v>5169</v>
      </c>
      <c r="B310" s="510" t="s">
        <v>4926</v>
      </c>
      <c r="C310" s="511" t="s">
        <v>4927</v>
      </c>
      <c r="D310" s="493">
        <f>+'Alimentazione SP P'!F200</f>
        <v>0</v>
      </c>
      <c r="E310" s="493">
        <f>+'Alimentazione SP P'!G200</f>
        <v>0</v>
      </c>
      <c r="F310" s="476"/>
      <c r="G310" s="494"/>
      <c r="J310" s="479"/>
      <c r="K310" s="478"/>
    </row>
    <row r="311" spans="1:11" s="495" customFormat="1" ht="24.95" customHeight="1">
      <c r="A311" s="583" t="s">
        <v>5169</v>
      </c>
      <c r="B311" s="510" t="s">
        <v>4930</v>
      </c>
      <c r="C311" s="511" t="s">
        <v>4931</v>
      </c>
      <c r="D311" s="493">
        <f>+'Alimentazione SP P'!F202</f>
        <v>0</v>
      </c>
      <c r="E311" s="493">
        <f>+'Alimentazione SP P'!G202</f>
        <v>0</v>
      </c>
      <c r="F311" s="476"/>
      <c r="G311" s="494"/>
      <c r="J311" s="479"/>
      <c r="K311" s="478"/>
    </row>
    <row r="312" spans="1:11" s="495" customFormat="1" ht="24.95" customHeight="1">
      <c r="A312" s="583" t="s">
        <v>5169</v>
      </c>
      <c r="B312" s="510" t="s">
        <v>4934</v>
      </c>
      <c r="C312" s="511" t="s">
        <v>4935</v>
      </c>
      <c r="D312" s="493">
        <f>+'Alimentazione SP P'!F204</f>
        <v>0</v>
      </c>
      <c r="E312" s="493">
        <f>+'Alimentazione SP P'!G204</f>
        <v>0</v>
      </c>
      <c r="F312" s="476"/>
      <c r="G312" s="494"/>
      <c r="J312" s="479"/>
      <c r="K312" s="478"/>
    </row>
    <row r="313" spans="1:11" s="495" customFormat="1" ht="24.95" customHeight="1">
      <c r="A313" s="490"/>
      <c r="B313" s="556" t="s">
        <v>4938</v>
      </c>
      <c r="C313" s="557" t="s">
        <v>4939</v>
      </c>
      <c r="D313" s="493">
        <f>+D314+D315+D316</f>
        <v>1699.59</v>
      </c>
      <c r="E313" s="493">
        <f>+E314+E315+E316</f>
        <v>1699.59</v>
      </c>
      <c r="F313" s="596" t="s">
        <v>1835</v>
      </c>
      <c r="G313" s="494"/>
      <c r="J313" s="479"/>
      <c r="K313" s="478"/>
    </row>
    <row r="314" spans="1:11" s="495" customFormat="1" ht="24.95" customHeight="1">
      <c r="A314" s="490"/>
      <c r="B314" s="497" t="s">
        <v>4940</v>
      </c>
      <c r="C314" s="498" t="s">
        <v>4941</v>
      </c>
      <c r="D314" s="493">
        <f>+'Alimentazione SP P'!F207</f>
        <v>1699.59</v>
      </c>
      <c r="E314" s="493">
        <f>+'Alimentazione SP P'!G207</f>
        <v>1699.59</v>
      </c>
      <c r="F314" s="476"/>
      <c r="G314" s="494"/>
      <c r="J314" s="479"/>
      <c r="K314" s="478"/>
    </row>
    <row r="315" spans="1:11" s="495" customFormat="1" ht="24.95" customHeight="1">
      <c r="A315" s="490"/>
      <c r="B315" s="497" t="s">
        <v>4944</v>
      </c>
      <c r="C315" s="498" t="s">
        <v>4945</v>
      </c>
      <c r="D315" s="493">
        <f>+'Alimentazione SP P'!F209</f>
        <v>0</v>
      </c>
      <c r="E315" s="493">
        <f>+'Alimentazione SP P'!G209</f>
        <v>0</v>
      </c>
      <c r="F315" s="476"/>
      <c r="G315" s="494"/>
      <c r="J315" s="479"/>
      <c r="K315" s="478"/>
    </row>
    <row r="316" spans="1:11" s="495" customFormat="1" ht="24.95" customHeight="1">
      <c r="A316" s="490"/>
      <c r="B316" s="497" t="s">
        <v>4948</v>
      </c>
      <c r="C316" s="498" t="s">
        <v>4949</v>
      </c>
      <c r="D316" s="493">
        <f>+'Alimentazione SP P'!F211+'Alimentazione SP P'!F212+'Alimentazione SP P'!F213</f>
        <v>0</v>
      </c>
      <c r="E316" s="493">
        <f>+'Alimentazione SP P'!G211+'Alimentazione SP P'!G212+'Alimentazione SP P'!G213</f>
        <v>0</v>
      </c>
      <c r="F316" s="476"/>
      <c r="G316" s="494"/>
      <c r="J316" s="479"/>
      <c r="K316" s="478"/>
    </row>
    <row r="317" spans="1:11" s="495" customFormat="1" ht="24.95" customHeight="1">
      <c r="A317" s="508"/>
      <c r="B317" s="556" t="s">
        <v>4956</v>
      </c>
      <c r="C317" s="557" t="s">
        <v>4957</v>
      </c>
      <c r="D317" s="493">
        <f>+D318+D321</f>
        <v>69723239.24000001</v>
      </c>
      <c r="E317" s="493">
        <f>+E318+E321</f>
        <v>72791409.319999993</v>
      </c>
      <c r="F317" s="596" t="s">
        <v>1835</v>
      </c>
      <c r="G317" s="494"/>
      <c r="J317" s="479"/>
      <c r="K317" s="478"/>
    </row>
    <row r="318" spans="1:11" s="495" customFormat="1" ht="25.5">
      <c r="A318" s="490"/>
      <c r="B318" s="497" t="s">
        <v>4958</v>
      </c>
      <c r="C318" s="498" t="s">
        <v>5192</v>
      </c>
      <c r="D318" s="493">
        <f>+D319+D320</f>
        <v>7750357.1199999992</v>
      </c>
      <c r="E318" s="493">
        <f>+E319+E320</f>
        <v>5197933.5999999996</v>
      </c>
      <c r="F318" s="596" t="s">
        <v>1835</v>
      </c>
      <c r="G318" s="494"/>
      <c r="J318" s="479"/>
      <c r="K318" s="478"/>
    </row>
    <row r="319" spans="1:11" s="495" customFormat="1" ht="21">
      <c r="A319" s="490"/>
      <c r="B319" s="569" t="s">
        <v>4960</v>
      </c>
      <c r="C319" s="584" t="s">
        <v>5193</v>
      </c>
      <c r="D319" s="493">
        <f>+'Alimentazione SP P'!F217+'Alimentazione SP P'!F218</f>
        <v>11304925.289999999</v>
      </c>
      <c r="E319" s="493">
        <f>+'Alimentazione SP P'!G217+'Alimentazione SP P'!G218</f>
        <v>5197933.5999999996</v>
      </c>
      <c r="F319" s="476"/>
      <c r="G319" s="494"/>
      <c r="J319" s="479"/>
      <c r="K319" s="478"/>
    </row>
    <row r="320" spans="1:11" s="495" customFormat="1" ht="21">
      <c r="A320" s="490"/>
      <c r="B320" s="569" t="s">
        <v>4966</v>
      </c>
      <c r="C320" s="584" t="s">
        <v>4967</v>
      </c>
      <c r="D320" s="493">
        <f>+'Alimentazione SP P'!F220</f>
        <v>-3554568.17</v>
      </c>
      <c r="E320" s="493">
        <f>+'Alimentazione SP P'!G220</f>
        <v>0</v>
      </c>
      <c r="F320" s="476"/>
      <c r="G320" s="494"/>
      <c r="J320" s="479"/>
      <c r="K320" s="478"/>
    </row>
    <row r="321" spans="1:11" s="495" customFormat="1" ht="21">
      <c r="A321" s="490"/>
      <c r="B321" s="569" t="s">
        <v>4970</v>
      </c>
      <c r="C321" s="584" t="s">
        <v>4971</v>
      </c>
      <c r="D321" s="493">
        <f>+D322+D323</f>
        <v>61972882.120000005</v>
      </c>
      <c r="E321" s="493">
        <f>+E322+E323</f>
        <v>67593475.719999999</v>
      </c>
      <c r="F321" s="596" t="s">
        <v>1835</v>
      </c>
      <c r="G321" s="494"/>
      <c r="J321" s="479"/>
      <c r="K321" s="478"/>
    </row>
    <row r="322" spans="1:11" s="495" customFormat="1" ht="21">
      <c r="A322" s="490"/>
      <c r="B322" s="585" t="s">
        <v>4972</v>
      </c>
      <c r="C322" s="586" t="s">
        <v>4973</v>
      </c>
      <c r="D322" s="493">
        <f>+'Alimentazione SP P'!F223+'Alimentazione SP P'!F224+'Alimentazione SP P'!F225+'Alimentazione SP P'!F226+'Alimentazione SP P'!F227+'Alimentazione SP P'!F228</f>
        <v>64553044.920000002</v>
      </c>
      <c r="E322" s="493">
        <f>+'Alimentazione SP P'!G223+'Alimentazione SP P'!G224+'Alimentazione SP P'!G225+'Alimentazione SP P'!G226+'Alimentazione SP P'!G227+'Alimentazione SP P'!G228</f>
        <v>68492436.150000006</v>
      </c>
      <c r="F322" s="476"/>
      <c r="G322" s="494"/>
      <c r="J322" s="479"/>
      <c r="K322" s="478"/>
    </row>
    <row r="323" spans="1:11" s="495" customFormat="1" ht="21">
      <c r="A323" s="490"/>
      <c r="B323" s="585" t="s">
        <v>4986</v>
      </c>
      <c r="C323" s="586" t="s">
        <v>5194</v>
      </c>
      <c r="D323" s="493">
        <f>+'Alimentazione SP P'!F230</f>
        <v>-2580162.7999999998</v>
      </c>
      <c r="E323" s="493">
        <f>+'Alimentazione SP P'!G230</f>
        <v>-898960.43</v>
      </c>
      <c r="F323" s="476"/>
      <c r="G323" s="494"/>
      <c r="J323" s="479"/>
      <c r="K323" s="478"/>
    </row>
    <row r="324" spans="1:11" s="495" customFormat="1" ht="24.95" customHeight="1">
      <c r="A324" s="508"/>
      <c r="B324" s="556" t="s">
        <v>4990</v>
      </c>
      <c r="C324" s="557" t="s">
        <v>4991</v>
      </c>
      <c r="D324" s="493">
        <f>+'Alimentazione SP P'!F232+'Alimentazione SP P'!F233</f>
        <v>0</v>
      </c>
      <c r="E324" s="493">
        <f>+'Alimentazione SP P'!G232+'Alimentazione SP P'!G233</f>
        <v>0</v>
      </c>
      <c r="F324" s="476"/>
      <c r="G324" s="494"/>
      <c r="J324" s="479"/>
      <c r="K324" s="478"/>
    </row>
    <row r="325" spans="1:11" s="495" customFormat="1" ht="24.95" customHeight="1">
      <c r="A325" s="508"/>
      <c r="B325" s="556" t="s">
        <v>4996</v>
      </c>
      <c r="C325" s="557" t="s">
        <v>4997</v>
      </c>
      <c r="D325" s="493">
        <f>+'Alimentazione SP P'!F235+'Alimentazione SP P'!F236+'Alimentazione SP P'!F237+'Alimentazione SP P'!F238+'Alimentazione SP P'!F239+'Alimentazione SP P'!F240+'Alimentazione SP P'!F241+'Alimentazione SP P'!F242+'Alimentazione SP P'!F243+'Alimentazione SP P'!F244+'Alimentazione SP P'!F245+'Alimentazione SP P'!F246</f>
        <v>17305830.859999999</v>
      </c>
      <c r="E325" s="493">
        <f>+'Alimentazione SP P'!G235+'Alimentazione SP P'!G236+'Alimentazione SP P'!G237+'Alimentazione SP P'!G238+'Alimentazione SP P'!G239+'Alimentazione SP P'!G240+'Alimentazione SP P'!G241+'Alimentazione SP P'!G242+'Alimentazione SP P'!G243+'Alimentazione SP P'!G244+'Alimentazione SP P'!G245+'Alimentazione SP P'!G246</f>
        <v>9365276.6300000008</v>
      </c>
      <c r="F325" s="476"/>
      <c r="G325" s="494"/>
      <c r="J325" s="479"/>
      <c r="K325" s="478"/>
    </row>
    <row r="326" spans="1:11" s="495" customFormat="1" ht="24.95" customHeight="1">
      <c r="A326" s="508"/>
      <c r="B326" s="556" t="s">
        <v>5020</v>
      </c>
      <c r="C326" s="557" t="s">
        <v>5021</v>
      </c>
      <c r="D326" s="493">
        <f>+'Alimentazione SP P'!F248+'Alimentazione SP P'!F249+'Alimentazione SP P'!F250+'Alimentazione SP P'!F251+'Alimentazione SP P'!F252+'Alimentazione SP P'!F253+'Alimentazione SP P'!F254+'Alimentazione SP P'!F255+'Alimentazione SP P'!F256</f>
        <v>26653317.5</v>
      </c>
      <c r="E326" s="493">
        <f>+'Alimentazione SP P'!G248+'Alimentazione SP P'!G249+'Alimentazione SP P'!G250+'Alimentazione SP P'!G251+'Alimentazione SP P'!G252+'Alimentazione SP P'!G253+'Alimentazione SP P'!G254+'Alimentazione SP P'!G255+'Alimentazione SP P'!G256</f>
        <v>10942372.969999997</v>
      </c>
      <c r="F326" s="476"/>
      <c r="G326" s="494"/>
      <c r="J326" s="479"/>
      <c r="K326" s="478"/>
    </row>
    <row r="327" spans="1:11" s="495" customFormat="1" ht="24.95" customHeight="1">
      <c r="A327" s="508"/>
      <c r="B327" s="556" t="s">
        <v>5040</v>
      </c>
      <c r="C327" s="557" t="s">
        <v>5041</v>
      </c>
      <c r="D327" s="493">
        <f>+D328+D329+D330+D331</f>
        <v>61430418.030000001</v>
      </c>
      <c r="E327" s="493">
        <f>+E328+E329+E330+E331</f>
        <v>61918144.49000001</v>
      </c>
      <c r="F327" s="596" t="s">
        <v>1835</v>
      </c>
      <c r="G327" s="494"/>
      <c r="J327" s="479"/>
      <c r="K327" s="478"/>
    </row>
    <row r="328" spans="1:11" s="495" customFormat="1" ht="24.95" customHeight="1">
      <c r="A328" s="508"/>
      <c r="B328" s="497" t="s">
        <v>5042</v>
      </c>
      <c r="C328" s="498" t="s">
        <v>5043</v>
      </c>
      <c r="D328" s="493">
        <f>+'Alimentazione SP P'!F259</f>
        <v>0</v>
      </c>
      <c r="E328" s="493">
        <f>+'Alimentazione SP P'!G259</f>
        <v>0</v>
      </c>
      <c r="F328" s="476"/>
      <c r="G328" s="494"/>
      <c r="J328" s="479"/>
      <c r="K328" s="478"/>
    </row>
    <row r="329" spans="1:11" s="495" customFormat="1" ht="24.95" customHeight="1">
      <c r="A329" s="490"/>
      <c r="B329" s="497" t="s">
        <v>5046</v>
      </c>
      <c r="C329" s="498" t="s">
        <v>5047</v>
      </c>
      <c r="D329" s="493">
        <f>+'Alimentazione SP P'!F261+'Alimentazione SP P'!F262</f>
        <v>34089581.68</v>
      </c>
      <c r="E329" s="493">
        <f>+'Alimentazione SP P'!G261+'Alimentazione SP P'!G262</f>
        <v>38087360.870000005</v>
      </c>
      <c r="F329" s="476"/>
      <c r="G329" s="494"/>
      <c r="J329" s="479"/>
      <c r="K329" s="478"/>
    </row>
    <row r="330" spans="1:11" s="495" customFormat="1" ht="24.95" customHeight="1">
      <c r="A330" s="490"/>
      <c r="B330" s="497" t="s">
        <v>5052</v>
      </c>
      <c r="C330" s="498" t="s">
        <v>5053</v>
      </c>
      <c r="D330" s="493">
        <f>+'Alimentazione SP P'!F264+'Alimentazione SP P'!F265</f>
        <v>0</v>
      </c>
      <c r="E330" s="493">
        <f>+'Alimentazione SP P'!G264+'Alimentazione SP P'!G265</f>
        <v>0</v>
      </c>
      <c r="F330" s="476"/>
      <c r="G330" s="494"/>
      <c r="J330" s="479"/>
      <c r="K330" s="478"/>
    </row>
    <row r="331" spans="1:11" s="495" customFormat="1" ht="24.95" customHeight="1" thickBot="1">
      <c r="A331" s="500"/>
      <c r="B331" s="539" t="s">
        <v>5058</v>
      </c>
      <c r="C331" s="540" t="s">
        <v>5059</v>
      </c>
      <c r="D331" s="493">
        <f>+'Alimentazione SP P'!F267+'Alimentazione SP P'!F268+'Alimentazione SP P'!F269+'Alimentazione SP P'!F270+'Alimentazione SP P'!F272+'Alimentazione SP P'!F273+'Alimentazione SP P'!F274+'Alimentazione SP P'!F275+'Alimentazione SP P'!F276+'Alimentazione SP P'!F278+'Alimentazione SP P'!F279+'Alimentazione SP P'!F280+'Alimentazione SP P'!F281+'Alimentazione SP P'!F283+'Alimentazione SP P'!F284+'Alimentazione SP P'!F285+'Alimentazione SP P'!F286</f>
        <v>27340836.350000005</v>
      </c>
      <c r="E331" s="493">
        <f>+'Alimentazione SP P'!G267+'Alimentazione SP P'!G268+'Alimentazione SP P'!G269+'Alimentazione SP P'!G270+'Alimentazione SP P'!G272+'Alimentazione SP P'!G273+'Alimentazione SP P'!G274+'Alimentazione SP P'!G275+'Alimentazione SP P'!G276+'Alimentazione SP P'!G278+'Alimentazione SP P'!G279+'Alimentazione SP P'!G280+'Alimentazione SP P'!G281+'Alimentazione SP P'!G283+'Alimentazione SP P'!G284+'Alimentazione SP P'!G285+'Alimentazione SP P'!G286</f>
        <v>23830783.620000001</v>
      </c>
      <c r="F331" s="513"/>
      <c r="G331" s="525"/>
      <c r="J331" s="479"/>
      <c r="K331" s="478"/>
    </row>
    <row r="332" spans="1:11" s="495" customFormat="1" ht="24.95" customHeight="1">
      <c r="A332" s="547"/>
      <c r="B332" s="473" t="s">
        <v>5099</v>
      </c>
      <c r="C332" s="474" t="s">
        <v>5100</v>
      </c>
      <c r="D332" s="507">
        <f>+D333+D336</f>
        <v>16</v>
      </c>
      <c r="E332" s="507">
        <f>+E333+E336</f>
        <v>5849.23</v>
      </c>
      <c r="F332" s="476"/>
      <c r="G332" s="494"/>
      <c r="J332" s="479"/>
      <c r="K332" s="478"/>
    </row>
    <row r="333" spans="1:11" s="495" customFormat="1" ht="24.95" customHeight="1">
      <c r="A333" s="490"/>
      <c r="B333" s="556" t="s">
        <v>5101</v>
      </c>
      <c r="C333" s="557" t="s">
        <v>5102</v>
      </c>
      <c r="D333" s="493">
        <f>+D334+D335</f>
        <v>0</v>
      </c>
      <c r="E333" s="493">
        <f>+E334+E335</f>
        <v>5849.23</v>
      </c>
      <c r="F333" s="596" t="s">
        <v>1835</v>
      </c>
      <c r="G333" s="494"/>
      <c r="J333" s="479"/>
      <c r="K333" s="478"/>
    </row>
    <row r="334" spans="1:11" s="495" customFormat="1" ht="24.95" customHeight="1">
      <c r="A334" s="490"/>
      <c r="B334" s="497" t="s">
        <v>5103</v>
      </c>
      <c r="C334" s="498" t="s">
        <v>5104</v>
      </c>
      <c r="D334" s="493">
        <f>+'Alimentazione SP P'!F290</f>
        <v>0</v>
      </c>
      <c r="E334" s="493">
        <f>+'Alimentazione SP P'!G290</f>
        <v>5849.23</v>
      </c>
      <c r="F334" s="476"/>
      <c r="G334" s="494"/>
      <c r="J334" s="479"/>
      <c r="K334" s="478"/>
    </row>
    <row r="335" spans="1:11" s="495" customFormat="1" ht="24.95" customHeight="1">
      <c r="A335" s="587" t="s">
        <v>1248</v>
      </c>
      <c r="B335" s="497" t="s">
        <v>5107</v>
      </c>
      <c r="C335" s="498" t="s">
        <v>5108</v>
      </c>
      <c r="D335" s="493">
        <f>+'Alimentazione SP P'!F292</f>
        <v>0</v>
      </c>
      <c r="E335" s="493">
        <f>+'Alimentazione SP P'!G292</f>
        <v>0</v>
      </c>
      <c r="F335" s="476"/>
      <c r="G335" s="494"/>
      <c r="J335" s="479"/>
      <c r="K335" s="478"/>
    </row>
    <row r="336" spans="1:11" s="495" customFormat="1" ht="24.95" customHeight="1">
      <c r="A336" s="490"/>
      <c r="B336" s="556" t="s">
        <v>5111</v>
      </c>
      <c r="C336" s="557" t="s">
        <v>5112</v>
      </c>
      <c r="D336" s="493">
        <f>+D337+D338+D339</f>
        <v>16</v>
      </c>
      <c r="E336" s="493">
        <f>+E337+E338+E339</f>
        <v>0</v>
      </c>
      <c r="F336" s="596" t="s">
        <v>1835</v>
      </c>
      <c r="G336" s="494"/>
      <c r="J336" s="479"/>
      <c r="K336" s="478"/>
    </row>
    <row r="337" spans="1:17" s="495" customFormat="1" ht="24.95" customHeight="1">
      <c r="A337" s="490"/>
      <c r="B337" s="497" t="s">
        <v>5113</v>
      </c>
      <c r="C337" s="498" t="s">
        <v>5114</v>
      </c>
      <c r="D337" s="493">
        <f>+'Alimentazione SP P'!F295</f>
        <v>16</v>
      </c>
      <c r="E337" s="493">
        <f>+'Alimentazione SP P'!G295</f>
        <v>0</v>
      </c>
      <c r="F337" s="476"/>
      <c r="G337" s="494"/>
      <c r="J337" s="479"/>
      <c r="K337" s="478"/>
    </row>
    <row r="338" spans="1:17" s="495" customFormat="1" ht="24.95" customHeight="1">
      <c r="A338" s="588" t="s">
        <v>1248</v>
      </c>
      <c r="B338" s="566" t="s">
        <v>5117</v>
      </c>
      <c r="C338" s="567" t="s">
        <v>5118</v>
      </c>
      <c r="D338" s="493">
        <f>+'Alimentazione SP P'!F297</f>
        <v>0</v>
      </c>
      <c r="E338" s="493">
        <f>+'Alimentazione SP P'!G297</f>
        <v>0</v>
      </c>
      <c r="F338" s="476"/>
      <c r="G338" s="494"/>
      <c r="J338" s="479"/>
      <c r="K338" s="478"/>
    </row>
    <row r="339" spans="1:17" s="524" customFormat="1" ht="37.5" customHeight="1">
      <c r="A339" s="490"/>
      <c r="B339" s="497" t="s">
        <v>5121</v>
      </c>
      <c r="C339" s="498" t="s">
        <v>5195</v>
      </c>
      <c r="D339" s="493">
        <f>+'Alimentazione SP P'!F299</f>
        <v>0</v>
      </c>
      <c r="E339" s="493">
        <f>+'Alimentazione SP P'!G299</f>
        <v>0</v>
      </c>
      <c r="F339" s="476"/>
      <c r="G339" s="494"/>
      <c r="J339" s="479"/>
      <c r="K339" s="478"/>
    </row>
    <row r="340" spans="1:17" s="495" customFormat="1" ht="24.95" customHeight="1" thickBot="1">
      <c r="A340" s="543"/>
      <c r="B340" s="589" t="s">
        <v>5125</v>
      </c>
      <c r="C340" s="590" t="s">
        <v>5126</v>
      </c>
      <c r="D340" s="591">
        <f>+D332+D275+D271+D238+D214</f>
        <v>983398871.54000008</v>
      </c>
      <c r="E340" s="591">
        <f>+E332+E275+E271+E238+E214</f>
        <v>939263734.19000006</v>
      </c>
      <c r="F340" s="476"/>
      <c r="G340" s="494"/>
      <c r="J340" s="479"/>
      <c r="K340" s="478"/>
    </row>
    <row r="341" spans="1:17" s="495" customFormat="1" ht="24.95" customHeight="1">
      <c r="A341" s="547"/>
      <c r="B341" s="473" t="s">
        <v>5127</v>
      </c>
      <c r="C341" s="548" t="s">
        <v>5128</v>
      </c>
      <c r="D341" s="549">
        <f>+D342+D343+D344+D345+D346</f>
        <v>38099173.060000002</v>
      </c>
      <c r="E341" s="549">
        <f>+E342+E343+E344+E345+E346</f>
        <v>38204778.110000007</v>
      </c>
      <c r="F341" s="476"/>
      <c r="G341" s="494"/>
      <c r="J341" s="479"/>
      <c r="K341" s="478"/>
    </row>
    <row r="342" spans="1:17" s="495" customFormat="1" ht="24.95" customHeight="1">
      <c r="A342" s="490"/>
      <c r="B342" s="550" t="s">
        <v>5129</v>
      </c>
      <c r="C342" s="551" t="s">
        <v>5130</v>
      </c>
      <c r="D342" s="493">
        <f>+'Alimentazione SP P'!F303</f>
        <v>0</v>
      </c>
      <c r="E342" s="493">
        <f>+'Alimentazione SP P'!G303</f>
        <v>0</v>
      </c>
      <c r="F342" s="476"/>
      <c r="G342" s="494"/>
      <c r="J342" s="479"/>
      <c r="K342" s="478"/>
    </row>
    <row r="343" spans="1:17" s="495" customFormat="1" ht="24.95" customHeight="1">
      <c r="A343" s="490"/>
      <c r="B343" s="550" t="s">
        <v>5133</v>
      </c>
      <c r="C343" s="551" t="s">
        <v>5134</v>
      </c>
      <c r="D343" s="493">
        <f>+'Alimentazione SP P'!F305</f>
        <v>546694.87</v>
      </c>
      <c r="E343" s="493">
        <f>+'Alimentazione SP P'!G305</f>
        <v>539194.87</v>
      </c>
      <c r="F343" s="476"/>
      <c r="G343" s="494"/>
      <c r="J343" s="479"/>
      <c r="K343" s="478"/>
    </row>
    <row r="344" spans="1:17" s="495" customFormat="1" ht="24.95" customHeight="1">
      <c r="A344" s="490"/>
      <c r="B344" s="550" t="s">
        <v>5137</v>
      </c>
      <c r="C344" s="551" t="s">
        <v>5138</v>
      </c>
      <c r="D344" s="493">
        <f>+'Alimentazione SP P'!F307</f>
        <v>2749380.73</v>
      </c>
      <c r="E344" s="493">
        <f>+'Alimentazione SP P'!G307</f>
        <v>2749380.73</v>
      </c>
      <c r="F344" s="476"/>
      <c r="G344" s="494"/>
      <c r="J344" s="479"/>
      <c r="K344" s="478"/>
    </row>
    <row r="345" spans="1:17" s="495" customFormat="1" ht="24.95" customHeight="1">
      <c r="A345" s="552"/>
      <c r="B345" s="550" t="s">
        <v>5141</v>
      </c>
      <c r="C345" s="551" t="s">
        <v>5142</v>
      </c>
      <c r="D345" s="493">
        <f>+'Alimentazione SP P'!F309</f>
        <v>0</v>
      </c>
      <c r="E345" s="493">
        <f>+'Alimentazione SP P'!G309</f>
        <v>0</v>
      </c>
      <c r="F345" s="476"/>
      <c r="G345" s="494"/>
      <c r="J345" s="479"/>
      <c r="K345" s="478"/>
    </row>
    <row r="346" spans="1:17" s="495" customFormat="1" ht="24.95" customHeight="1" thickBot="1">
      <c r="A346" s="500"/>
      <c r="B346" s="553" t="s">
        <v>5145</v>
      </c>
      <c r="C346" s="554" t="s">
        <v>5146</v>
      </c>
      <c r="D346" s="592">
        <f>+SUM('Alimentazione SP P'!F311:F315)</f>
        <v>34803097.460000001</v>
      </c>
      <c r="E346" s="592">
        <f>+SUM('Alimentazione SP P'!G311:G315)</f>
        <v>34916202.510000005</v>
      </c>
      <c r="F346" s="476"/>
      <c r="G346" s="494"/>
      <c r="J346" s="479"/>
      <c r="K346" s="478"/>
    </row>
    <row r="347" spans="1:17" s="261" customFormat="1" ht="12.75">
      <c r="A347" s="131"/>
      <c r="B347" s="130"/>
      <c r="C347" s="131"/>
      <c r="D347" s="131"/>
      <c r="E347" s="131"/>
      <c r="F347" s="131"/>
      <c r="G347" s="131"/>
      <c r="H347" s="131"/>
      <c r="I347" s="134"/>
      <c r="J347" s="134"/>
      <c r="K347" s="134"/>
      <c r="L347" s="134"/>
      <c r="M347" s="134"/>
      <c r="N347" s="134"/>
      <c r="O347" s="134"/>
      <c r="P347" s="134"/>
      <c r="Q347" s="423"/>
    </row>
    <row r="348" spans="1:17" s="261" customFormat="1" ht="12.75">
      <c r="A348" s="131"/>
      <c r="B348" s="88" t="s">
        <v>1816</v>
      </c>
      <c r="C348" s="131"/>
      <c r="D348" s="131"/>
      <c r="E348" s="131"/>
      <c r="F348" s="131"/>
      <c r="G348" s="131"/>
      <c r="H348" s="131"/>
      <c r="I348" s="88"/>
      <c r="J348" s="88"/>
      <c r="K348" s="88"/>
      <c r="L348" s="88"/>
      <c r="M348" s="88"/>
      <c r="N348" s="88"/>
      <c r="O348" s="88"/>
      <c r="P348" s="88"/>
      <c r="Q348" s="423"/>
    </row>
    <row r="349" spans="1:17" s="261" customFormat="1" ht="15">
      <c r="A349" s="424"/>
      <c r="B349" s="59"/>
      <c r="C349" s="132"/>
      <c r="D349" s="132"/>
      <c r="E349" s="132"/>
      <c r="F349" s="132"/>
      <c r="G349" s="132"/>
      <c r="H349" s="132"/>
      <c r="I349" s="134"/>
      <c r="J349" s="134"/>
      <c r="K349" s="134"/>
      <c r="L349" s="134"/>
      <c r="M349" s="134"/>
      <c r="N349" s="134"/>
      <c r="O349" s="134"/>
      <c r="P349" s="134"/>
      <c r="Q349" s="425"/>
    </row>
    <row r="350" spans="1:17" s="261" customFormat="1" ht="12.75">
      <c r="A350" s="424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426"/>
    </row>
    <row r="351" spans="1:17" s="261" customFormat="1" ht="12.75">
      <c r="A351" s="424"/>
      <c r="B351" s="133" t="s">
        <v>1817</v>
      </c>
      <c r="C351" s="134"/>
      <c r="D351" s="134" t="s">
        <v>1818</v>
      </c>
      <c r="E351" s="134"/>
      <c r="G351" s="134"/>
      <c r="H351" s="134"/>
      <c r="I351" s="134"/>
      <c r="L351" s="134"/>
      <c r="M351" s="134"/>
      <c r="N351" s="134"/>
      <c r="O351" s="134"/>
      <c r="P351" s="88"/>
      <c r="Q351" s="358"/>
    </row>
    <row r="352" spans="1:17" s="261" customFormat="1" ht="12.75">
      <c r="A352" s="131"/>
      <c r="B352" s="88"/>
      <c r="C352" s="88"/>
      <c r="D352" s="88"/>
      <c r="E352" s="88"/>
      <c r="F352" s="88"/>
      <c r="G352" s="88"/>
      <c r="H352" s="88"/>
      <c r="I352" s="88"/>
      <c r="L352" s="88"/>
      <c r="M352" s="88"/>
      <c r="N352" s="88"/>
      <c r="O352" s="88"/>
      <c r="P352" s="88"/>
      <c r="Q352" s="426"/>
    </row>
    <row r="353" spans="1:22" s="261" customFormat="1" ht="15">
      <c r="A353" s="131"/>
      <c r="B353" s="133" t="s">
        <v>1819</v>
      </c>
      <c r="C353" s="131"/>
      <c r="D353" s="134" t="s">
        <v>1819</v>
      </c>
      <c r="E353" s="134"/>
      <c r="F353" s="134"/>
      <c r="G353" s="134"/>
      <c r="H353" s="134"/>
      <c r="I353" s="134"/>
      <c r="L353" s="134"/>
      <c r="M353" s="134"/>
      <c r="N353" s="134"/>
      <c r="O353" s="134"/>
      <c r="P353" s="134"/>
      <c r="Q353" s="427"/>
    </row>
    <row r="354" spans="1:22" s="261" customFormat="1" ht="12.75">
      <c r="A354" s="131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426"/>
    </row>
    <row r="355" spans="1:22" s="261" customFormat="1" ht="12.75">
      <c r="A355" s="131"/>
      <c r="B355" s="88"/>
      <c r="C355" s="88"/>
      <c r="D355" s="134" t="s">
        <v>1820</v>
      </c>
      <c r="E355" s="88"/>
      <c r="J355" s="134"/>
      <c r="K355" s="134"/>
      <c r="L355" s="134"/>
      <c r="M355" s="134"/>
      <c r="N355" s="134"/>
      <c r="O355" s="134"/>
      <c r="P355" s="134"/>
      <c r="Q355" s="426"/>
    </row>
    <row r="356" spans="1:22" s="261" customFormat="1" ht="15">
      <c r="A356" s="131"/>
      <c r="B356" s="88"/>
      <c r="C356" s="88"/>
      <c r="E356" s="134"/>
      <c r="F356" s="134"/>
      <c r="N356" s="135"/>
      <c r="O356" s="135"/>
      <c r="P356" s="135"/>
      <c r="Q356" s="426"/>
    </row>
    <row r="357" spans="1:22" s="261" customFormat="1" ht="15">
      <c r="A357" s="60"/>
      <c r="B357" s="59"/>
      <c r="C357" s="134"/>
      <c r="D357" s="134" t="s">
        <v>1819</v>
      </c>
      <c r="E357" s="88"/>
      <c r="F357" s="88"/>
      <c r="N357" s="135"/>
      <c r="O357" s="135"/>
      <c r="P357" s="135"/>
      <c r="Q357" s="427"/>
    </row>
    <row r="358" spans="1:22" s="261" customFormat="1" ht="15">
      <c r="A358" s="60"/>
      <c r="B358" s="88"/>
      <c r="C358" s="88"/>
      <c r="D358" s="88"/>
      <c r="E358" s="88"/>
      <c r="N358" s="135"/>
      <c r="O358" s="135"/>
      <c r="P358" s="135"/>
      <c r="Q358" s="426"/>
    </row>
    <row r="359" spans="1:22" s="261" customFormat="1" ht="15">
      <c r="A359" s="60"/>
      <c r="C359" s="135"/>
      <c r="D359" s="135"/>
      <c r="E359" s="135"/>
      <c r="F359" s="134"/>
      <c r="G359" s="134"/>
      <c r="H359" s="134"/>
      <c r="N359" s="135"/>
      <c r="O359" s="135"/>
      <c r="P359" s="135"/>
      <c r="R359" s="60"/>
    </row>
    <row r="360" spans="1:22" s="261" customFormat="1" ht="15">
      <c r="N360" s="135"/>
      <c r="O360" s="135"/>
      <c r="P360" s="135"/>
    </row>
    <row r="361" spans="1:22" s="261" customFormat="1" ht="15">
      <c r="Q361" s="135"/>
      <c r="R361" s="135"/>
      <c r="S361" s="135"/>
    </row>
    <row r="362" spans="1:22" customFormat="1" ht="15">
      <c r="A362" s="261"/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Q362" s="136"/>
      <c r="R362" s="136"/>
      <c r="S362" s="136"/>
    </row>
    <row r="363" spans="1:22" customFormat="1" ht="15">
      <c r="A363" s="261"/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  <c r="Q363" s="136"/>
      <c r="R363" s="136"/>
      <c r="S363" s="136"/>
    </row>
    <row r="364" spans="1:22" s="594" customFormat="1">
      <c r="A364" s="76"/>
      <c r="B364" s="76"/>
      <c r="C364" s="73"/>
      <c r="D364" s="429"/>
      <c r="E364" s="73"/>
      <c r="F364" s="460"/>
      <c r="G364" s="59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</row>
    <row r="365" spans="1:22" s="594" customFormat="1">
      <c r="A365" s="76"/>
      <c r="B365" s="76"/>
      <c r="C365" s="73"/>
      <c r="D365" s="429"/>
      <c r="E365" s="73"/>
      <c r="F365" s="460"/>
      <c r="G365" s="59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</row>
    <row r="366" spans="1:22" s="594" customFormat="1">
      <c r="A366" s="76"/>
      <c r="B366" s="76"/>
      <c r="C366" s="73"/>
      <c r="D366" s="429"/>
      <c r="E366" s="73"/>
      <c r="F366" s="460"/>
      <c r="G366" s="59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</row>
    <row r="367" spans="1:22" s="594" customFormat="1">
      <c r="A367" s="76"/>
      <c r="B367" s="76"/>
      <c r="C367" s="73"/>
      <c r="D367" s="429"/>
      <c r="E367" s="73"/>
      <c r="F367" s="460"/>
      <c r="G367" s="59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</row>
    <row r="368" spans="1:22" s="594" customFormat="1">
      <c r="A368" s="76"/>
      <c r="B368" s="76"/>
      <c r="C368" s="73"/>
      <c r="D368" s="429"/>
      <c r="E368" s="73"/>
      <c r="F368" s="460"/>
      <c r="G368" s="59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</row>
    <row r="369" spans="1:22" s="594" customFormat="1">
      <c r="A369" s="76"/>
      <c r="B369" s="76"/>
      <c r="C369" s="73"/>
      <c r="D369" s="429"/>
      <c r="E369" s="73"/>
      <c r="F369" s="460"/>
      <c r="G369" s="59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</row>
    <row r="370" spans="1:22" s="594" customFormat="1">
      <c r="A370" s="76"/>
      <c r="B370" s="76"/>
      <c r="C370" s="73"/>
      <c r="D370" s="429"/>
      <c r="E370" s="73"/>
      <c r="F370" s="460"/>
      <c r="G370" s="59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</row>
    <row r="371" spans="1:22" s="594" customFormat="1">
      <c r="A371" s="76"/>
      <c r="B371" s="76"/>
      <c r="C371" s="73"/>
      <c r="D371" s="429"/>
      <c r="E371" s="73"/>
      <c r="F371" s="460"/>
      <c r="G371" s="59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</row>
    <row r="372" spans="1:22" s="594" customFormat="1">
      <c r="A372" s="76"/>
      <c r="B372" s="76"/>
      <c r="C372" s="73"/>
      <c r="D372" s="429"/>
      <c r="E372" s="73"/>
      <c r="F372" s="460"/>
      <c r="G372" s="59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</row>
    <row r="373" spans="1:22" s="594" customFormat="1">
      <c r="A373" s="76"/>
      <c r="B373" s="76"/>
      <c r="C373" s="73"/>
      <c r="D373" s="429"/>
      <c r="E373" s="73"/>
      <c r="F373" s="460"/>
      <c r="G373" s="59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</row>
    <row r="374" spans="1:22" s="594" customFormat="1">
      <c r="A374" s="76"/>
      <c r="B374" s="76"/>
      <c r="C374" s="73"/>
      <c r="D374" s="429"/>
      <c r="E374" s="73"/>
      <c r="F374" s="460"/>
      <c r="G374" s="59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</row>
    <row r="375" spans="1:22" s="594" customFormat="1">
      <c r="A375" s="76"/>
      <c r="B375" s="76"/>
      <c r="C375" s="73"/>
      <c r="D375" s="429"/>
      <c r="E375" s="73"/>
      <c r="F375" s="460"/>
      <c r="G375" s="59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</row>
    <row r="376" spans="1:22" s="594" customFormat="1">
      <c r="A376" s="76"/>
      <c r="B376" s="76"/>
      <c r="C376" s="73"/>
      <c r="D376" s="429"/>
      <c r="E376" s="73"/>
      <c r="F376" s="460"/>
      <c r="G376" s="59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</row>
    <row r="377" spans="1:22" s="594" customFormat="1">
      <c r="A377" s="76"/>
      <c r="B377" s="76"/>
      <c r="C377" s="73"/>
      <c r="D377" s="429"/>
      <c r="E377" s="73"/>
      <c r="F377" s="460"/>
      <c r="G377" s="59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</row>
    <row r="378" spans="1:22" s="594" customFormat="1">
      <c r="A378" s="76"/>
      <c r="B378" s="76"/>
      <c r="C378" s="73"/>
      <c r="D378" s="429"/>
      <c r="E378" s="73"/>
      <c r="F378" s="460"/>
      <c r="G378" s="59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</row>
    <row r="379" spans="1:22" s="594" customFormat="1">
      <c r="A379" s="76"/>
      <c r="B379" s="76"/>
      <c r="C379" s="73"/>
      <c r="D379" s="429"/>
      <c r="E379" s="73"/>
      <c r="F379" s="460"/>
      <c r="G379" s="59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</row>
    <row r="380" spans="1:22" s="594" customFormat="1">
      <c r="A380" s="76"/>
      <c r="B380" s="76"/>
      <c r="C380" s="73"/>
      <c r="D380" s="429"/>
      <c r="E380" s="73"/>
      <c r="F380" s="460"/>
      <c r="G380" s="59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</row>
    <row r="381" spans="1:22" s="594" customFormat="1">
      <c r="A381" s="76"/>
      <c r="B381" s="76"/>
      <c r="C381" s="73"/>
      <c r="D381" s="429"/>
      <c r="E381" s="73"/>
      <c r="F381" s="460"/>
      <c r="G381" s="59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</row>
    <row r="382" spans="1:22" s="594" customFormat="1">
      <c r="A382" s="76"/>
      <c r="B382" s="76"/>
      <c r="C382" s="73"/>
      <c r="D382" s="429"/>
      <c r="E382" s="73"/>
      <c r="F382" s="460"/>
      <c r="G382" s="59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</row>
    <row r="383" spans="1:22" s="594" customFormat="1">
      <c r="A383" s="76"/>
      <c r="B383" s="76"/>
      <c r="C383" s="73"/>
      <c r="D383" s="429"/>
      <c r="E383" s="73"/>
      <c r="F383" s="460"/>
      <c r="G383" s="59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</row>
    <row r="384" spans="1:22" s="594" customFormat="1">
      <c r="A384" s="76"/>
      <c r="B384" s="76"/>
      <c r="C384" s="73"/>
      <c r="D384" s="429"/>
      <c r="E384" s="73"/>
      <c r="F384" s="460"/>
      <c r="G384" s="59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</row>
    <row r="385" spans="1:22" s="594" customFormat="1">
      <c r="A385" s="76"/>
      <c r="B385" s="76"/>
      <c r="C385" s="73"/>
      <c r="D385" s="429"/>
      <c r="E385" s="73"/>
      <c r="F385" s="460"/>
      <c r="G385" s="59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</row>
    <row r="386" spans="1:22" s="594" customFormat="1">
      <c r="A386" s="76"/>
      <c r="B386" s="76"/>
      <c r="C386" s="73"/>
      <c r="D386" s="429"/>
      <c r="E386" s="73"/>
      <c r="F386" s="460"/>
      <c r="G386" s="59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</row>
    <row r="387" spans="1:22" s="594" customFormat="1">
      <c r="A387" s="76"/>
      <c r="B387" s="76"/>
      <c r="C387" s="73"/>
      <c r="D387" s="429"/>
      <c r="E387" s="73"/>
      <c r="F387" s="460"/>
      <c r="G387" s="59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</row>
    <row r="388" spans="1:22" s="594" customFormat="1">
      <c r="A388" s="76"/>
      <c r="B388" s="76"/>
      <c r="C388" s="73"/>
      <c r="D388" s="429"/>
      <c r="E388" s="73"/>
      <c r="F388" s="460"/>
      <c r="G388" s="59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</row>
    <row r="389" spans="1:22" s="594" customFormat="1">
      <c r="A389" s="76"/>
      <c r="B389" s="76"/>
      <c r="C389" s="73"/>
      <c r="D389" s="429"/>
      <c r="E389" s="73"/>
      <c r="F389" s="460"/>
      <c r="G389" s="59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</row>
    <row r="390" spans="1:22" s="594" customFormat="1">
      <c r="A390" s="76"/>
      <c r="B390" s="76"/>
      <c r="C390" s="73"/>
      <c r="D390" s="429"/>
      <c r="E390" s="73"/>
      <c r="F390" s="460"/>
      <c r="G390" s="59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</row>
    <row r="391" spans="1:22" s="594" customFormat="1">
      <c r="A391" s="76"/>
      <c r="B391" s="76"/>
      <c r="C391" s="73"/>
      <c r="D391" s="429"/>
      <c r="E391" s="73"/>
      <c r="F391" s="460"/>
      <c r="G391" s="59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</row>
    <row r="392" spans="1:22" s="594" customFormat="1">
      <c r="A392" s="76"/>
      <c r="B392" s="76"/>
      <c r="C392" s="73"/>
      <c r="D392" s="429"/>
      <c r="E392" s="73"/>
      <c r="F392" s="460"/>
      <c r="G392" s="59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</row>
    <row r="393" spans="1:22" s="594" customFormat="1">
      <c r="A393" s="76"/>
      <c r="B393" s="76"/>
      <c r="C393" s="73"/>
      <c r="D393" s="429"/>
      <c r="E393" s="73"/>
      <c r="F393" s="460"/>
      <c r="G393" s="59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</row>
    <row r="394" spans="1:22" s="594" customFormat="1">
      <c r="A394" s="76"/>
      <c r="B394" s="76"/>
      <c r="C394" s="73"/>
      <c r="D394" s="429"/>
      <c r="E394" s="73"/>
      <c r="F394" s="460"/>
      <c r="G394" s="59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</row>
    <row r="395" spans="1:22" s="594" customFormat="1">
      <c r="A395" s="76"/>
      <c r="B395" s="76"/>
      <c r="C395" s="73"/>
      <c r="D395" s="429"/>
      <c r="E395" s="73"/>
      <c r="F395" s="460"/>
      <c r="G395" s="59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</row>
    <row r="396" spans="1:22" s="594" customFormat="1">
      <c r="A396" s="76"/>
      <c r="B396" s="76"/>
      <c r="C396" s="73"/>
      <c r="D396" s="429"/>
      <c r="E396" s="73"/>
      <c r="F396" s="460"/>
      <c r="G396" s="59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</row>
    <row r="397" spans="1:22" s="594" customFormat="1">
      <c r="A397" s="76"/>
      <c r="B397" s="76"/>
      <c r="C397" s="73"/>
      <c r="D397" s="429"/>
      <c r="E397" s="73"/>
      <c r="F397" s="460"/>
      <c r="G397" s="59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</row>
    <row r="398" spans="1:22" s="594" customFormat="1">
      <c r="A398" s="76"/>
      <c r="B398" s="76"/>
      <c r="C398" s="73"/>
      <c r="D398" s="429"/>
      <c r="E398" s="73"/>
      <c r="F398" s="460"/>
      <c r="G398" s="59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</row>
    <row r="399" spans="1:22" s="594" customFormat="1">
      <c r="A399" s="76"/>
      <c r="B399" s="76"/>
      <c r="C399" s="73"/>
      <c r="D399" s="429"/>
      <c r="E399" s="73"/>
      <c r="F399" s="460"/>
      <c r="G399" s="59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</row>
    <row r="400" spans="1:22" s="594" customFormat="1">
      <c r="A400" s="76"/>
      <c r="B400" s="76"/>
      <c r="C400" s="73"/>
      <c r="D400" s="429"/>
      <c r="E400" s="73"/>
      <c r="F400" s="460"/>
      <c r="G400" s="59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</row>
    <row r="401" spans="1:22" s="594" customFormat="1">
      <c r="A401" s="76"/>
      <c r="B401" s="76"/>
      <c r="C401" s="73"/>
      <c r="D401" s="429"/>
      <c r="E401" s="73"/>
      <c r="F401" s="460"/>
      <c r="G401" s="59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</row>
    <row r="402" spans="1:22" s="594" customFormat="1">
      <c r="A402" s="76"/>
      <c r="B402" s="76"/>
      <c r="C402" s="73"/>
      <c r="D402" s="429"/>
      <c r="E402" s="73"/>
      <c r="F402" s="460"/>
      <c r="G402" s="59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</row>
    <row r="403" spans="1:22" s="594" customFormat="1">
      <c r="A403" s="76"/>
      <c r="B403" s="76"/>
      <c r="C403" s="73"/>
      <c r="D403" s="429"/>
      <c r="E403" s="73"/>
      <c r="F403" s="460"/>
      <c r="G403" s="59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</row>
    <row r="404" spans="1:22" s="594" customFormat="1">
      <c r="A404" s="76"/>
      <c r="B404" s="76"/>
      <c r="C404" s="73"/>
      <c r="D404" s="429"/>
      <c r="E404" s="73"/>
      <c r="F404" s="460"/>
      <c r="G404" s="59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</row>
    <row r="405" spans="1:22" s="594" customFormat="1">
      <c r="A405" s="76"/>
      <c r="B405" s="76"/>
      <c r="C405" s="73"/>
      <c r="D405" s="429"/>
      <c r="E405" s="73"/>
      <c r="F405" s="460"/>
      <c r="G405" s="59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</row>
    <row r="406" spans="1:22" s="594" customFormat="1">
      <c r="A406" s="76"/>
      <c r="B406" s="76"/>
      <c r="C406" s="73"/>
      <c r="D406" s="429"/>
      <c r="E406" s="73"/>
      <c r="F406" s="460"/>
      <c r="G406" s="59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</row>
    <row r="407" spans="1:22" s="594" customFormat="1">
      <c r="A407" s="76"/>
      <c r="B407" s="76"/>
      <c r="C407" s="73"/>
      <c r="D407" s="429"/>
      <c r="E407" s="73"/>
      <c r="F407" s="460"/>
      <c r="G407" s="59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</row>
    <row r="408" spans="1:22" s="594" customFormat="1">
      <c r="A408" s="76"/>
      <c r="B408" s="76"/>
      <c r="C408" s="73"/>
      <c r="D408" s="429"/>
      <c r="E408" s="73"/>
      <c r="F408" s="460"/>
      <c r="G408" s="59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</row>
    <row r="409" spans="1:22" s="594" customFormat="1">
      <c r="A409" s="76"/>
      <c r="B409" s="76"/>
      <c r="C409" s="73"/>
      <c r="D409" s="429"/>
      <c r="E409" s="73"/>
      <c r="F409" s="460"/>
      <c r="G409" s="59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</row>
    <row r="410" spans="1:22" s="594" customFormat="1">
      <c r="A410" s="76"/>
      <c r="B410" s="76"/>
      <c r="C410" s="73"/>
      <c r="D410" s="429"/>
      <c r="E410" s="73"/>
      <c r="F410" s="460"/>
      <c r="G410" s="59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</row>
    <row r="411" spans="1:22" s="594" customFormat="1">
      <c r="A411" s="76"/>
      <c r="B411" s="76"/>
      <c r="C411" s="73"/>
      <c r="D411" s="429"/>
      <c r="E411" s="73"/>
      <c r="F411" s="460"/>
      <c r="G411" s="59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</row>
    <row r="412" spans="1:22" s="594" customFormat="1">
      <c r="A412" s="76"/>
      <c r="B412" s="76"/>
      <c r="C412" s="73"/>
      <c r="D412" s="429"/>
      <c r="E412" s="73"/>
      <c r="F412" s="460"/>
      <c r="G412" s="59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</row>
    <row r="413" spans="1:22" s="594" customFormat="1">
      <c r="A413" s="76"/>
      <c r="B413" s="76"/>
      <c r="C413" s="73"/>
      <c r="D413" s="429"/>
      <c r="E413" s="73"/>
      <c r="F413" s="460"/>
      <c r="G413" s="59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</row>
    <row r="414" spans="1:22" s="594" customFormat="1">
      <c r="A414" s="76"/>
      <c r="B414" s="76"/>
      <c r="C414" s="73"/>
      <c r="D414" s="429"/>
      <c r="E414" s="73"/>
      <c r="F414" s="460"/>
      <c r="G414" s="59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</row>
    <row r="415" spans="1:22" s="594" customFormat="1">
      <c r="A415" s="76"/>
      <c r="B415" s="76"/>
      <c r="C415" s="73"/>
      <c r="D415" s="429"/>
      <c r="E415" s="73"/>
      <c r="F415" s="460"/>
      <c r="G415" s="59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</row>
    <row r="416" spans="1:22" s="594" customFormat="1">
      <c r="A416" s="76"/>
      <c r="B416" s="76"/>
      <c r="C416" s="73"/>
      <c r="D416" s="429"/>
      <c r="E416" s="73"/>
      <c r="F416" s="460"/>
      <c r="G416" s="59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</row>
    <row r="417" spans="1:22" s="594" customFormat="1">
      <c r="A417" s="76"/>
      <c r="B417" s="76"/>
      <c r="C417" s="73"/>
      <c r="D417" s="429"/>
      <c r="E417" s="73"/>
      <c r="F417" s="460"/>
      <c r="G417" s="59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</row>
    <row r="418" spans="1:22" s="594" customFormat="1">
      <c r="A418" s="76"/>
      <c r="B418" s="76"/>
      <c r="C418" s="73"/>
      <c r="D418" s="429"/>
      <c r="E418" s="73"/>
      <c r="F418" s="460"/>
      <c r="G418" s="59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</row>
    <row r="419" spans="1:22" s="594" customFormat="1">
      <c r="A419" s="76"/>
      <c r="B419" s="76"/>
      <c r="C419" s="73"/>
      <c r="D419" s="429"/>
      <c r="E419" s="73"/>
      <c r="F419" s="460"/>
      <c r="G419" s="59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</row>
    <row r="420" spans="1:22" s="594" customFormat="1">
      <c r="A420" s="76"/>
      <c r="B420" s="76"/>
      <c r="C420" s="73"/>
      <c r="D420" s="429"/>
      <c r="E420" s="73"/>
      <c r="F420" s="460"/>
      <c r="G420" s="59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</row>
    <row r="421" spans="1:22" s="594" customFormat="1">
      <c r="A421" s="76"/>
      <c r="B421" s="76"/>
      <c r="C421" s="73"/>
      <c r="D421" s="429"/>
      <c r="E421" s="73"/>
      <c r="F421" s="460"/>
      <c r="G421" s="59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</row>
    <row r="422" spans="1:22" s="594" customFormat="1">
      <c r="A422" s="76"/>
      <c r="B422" s="76"/>
      <c r="C422" s="73"/>
      <c r="D422" s="429"/>
      <c r="E422" s="73"/>
      <c r="F422" s="460"/>
      <c r="G422" s="59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</row>
    <row r="423" spans="1:22" s="594" customFormat="1">
      <c r="A423" s="76"/>
      <c r="B423" s="76"/>
      <c r="C423" s="73"/>
      <c r="D423" s="429"/>
      <c r="E423" s="73"/>
      <c r="F423" s="460"/>
      <c r="G423" s="59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</row>
    <row r="424" spans="1:22" s="594" customFormat="1">
      <c r="A424" s="76"/>
      <c r="B424" s="76"/>
      <c r="C424" s="73"/>
      <c r="D424" s="429"/>
      <c r="E424" s="73"/>
      <c r="F424" s="460"/>
      <c r="G424" s="59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</row>
    <row r="425" spans="1:22" s="594" customFormat="1">
      <c r="A425" s="76"/>
      <c r="B425" s="76"/>
      <c r="C425" s="73"/>
      <c r="D425" s="429"/>
      <c r="E425" s="73"/>
      <c r="F425" s="460"/>
      <c r="G425" s="59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</row>
    <row r="426" spans="1:22" s="594" customFormat="1">
      <c r="A426" s="76"/>
      <c r="B426" s="76"/>
      <c r="C426" s="73"/>
      <c r="D426" s="429"/>
      <c r="E426" s="73"/>
      <c r="F426" s="460"/>
      <c r="G426" s="59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</row>
    <row r="427" spans="1:22" s="594" customFormat="1">
      <c r="A427" s="76"/>
      <c r="B427" s="76"/>
      <c r="C427" s="73"/>
      <c r="D427" s="429"/>
      <c r="E427" s="73"/>
      <c r="F427" s="460"/>
      <c r="G427" s="59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</row>
    <row r="428" spans="1:22" s="594" customFormat="1">
      <c r="A428" s="76"/>
      <c r="B428" s="76"/>
      <c r="C428" s="73"/>
      <c r="D428" s="429"/>
      <c r="E428" s="73"/>
      <c r="F428" s="460"/>
      <c r="G428" s="59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</row>
    <row r="429" spans="1:22" s="594" customFormat="1">
      <c r="A429" s="76"/>
      <c r="B429" s="76"/>
      <c r="C429" s="73"/>
      <c r="D429" s="429"/>
      <c r="E429" s="73"/>
      <c r="F429" s="460"/>
      <c r="G429" s="59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</row>
    <row r="430" spans="1:22" s="594" customFormat="1">
      <c r="A430" s="76"/>
      <c r="B430" s="76"/>
      <c r="C430" s="73"/>
      <c r="D430" s="429"/>
      <c r="E430" s="73"/>
      <c r="F430" s="460"/>
      <c r="G430" s="59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</row>
    <row r="431" spans="1:22" s="594" customFormat="1">
      <c r="A431" s="76"/>
      <c r="B431" s="76"/>
      <c r="C431" s="73"/>
      <c r="D431" s="429"/>
      <c r="E431" s="73"/>
      <c r="F431" s="460"/>
      <c r="G431" s="59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</row>
    <row r="432" spans="1:22" s="594" customFormat="1">
      <c r="A432" s="76"/>
      <c r="B432" s="76"/>
      <c r="C432" s="73"/>
      <c r="D432" s="429"/>
      <c r="E432" s="73"/>
      <c r="F432" s="460"/>
      <c r="G432" s="59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</row>
    <row r="433" spans="1:22" s="594" customFormat="1">
      <c r="A433" s="76"/>
      <c r="B433" s="76"/>
      <c r="C433" s="73"/>
      <c r="D433" s="429"/>
      <c r="E433" s="73"/>
      <c r="F433" s="460"/>
      <c r="G433" s="59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</row>
    <row r="434" spans="1:22" s="594" customFormat="1">
      <c r="A434" s="76"/>
      <c r="B434" s="76"/>
      <c r="C434" s="73"/>
      <c r="D434" s="429"/>
      <c r="E434" s="73"/>
      <c r="F434" s="460"/>
      <c r="G434" s="59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</row>
    <row r="435" spans="1:22" s="594" customFormat="1">
      <c r="A435" s="76"/>
      <c r="B435" s="76"/>
      <c r="C435" s="73"/>
      <c r="D435" s="429"/>
      <c r="E435" s="73"/>
      <c r="F435" s="460"/>
      <c r="G435" s="59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</row>
    <row r="436" spans="1:22" s="594" customFormat="1">
      <c r="A436" s="76"/>
      <c r="B436" s="76"/>
      <c r="C436" s="73"/>
      <c r="D436" s="429"/>
      <c r="E436" s="73"/>
      <c r="F436" s="460"/>
      <c r="G436" s="59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</row>
    <row r="437" spans="1:22" s="594" customFormat="1">
      <c r="A437" s="76"/>
      <c r="B437" s="76"/>
      <c r="C437" s="73"/>
      <c r="D437" s="429"/>
      <c r="E437" s="73"/>
      <c r="F437" s="460"/>
      <c r="G437" s="59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</row>
    <row r="438" spans="1:22" s="594" customFormat="1">
      <c r="A438" s="76"/>
      <c r="B438" s="76"/>
      <c r="C438" s="73"/>
      <c r="D438" s="429"/>
      <c r="E438" s="73"/>
      <c r="F438" s="460"/>
      <c r="G438" s="59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</row>
    <row r="439" spans="1:22" s="594" customFormat="1">
      <c r="A439" s="76"/>
      <c r="B439" s="76"/>
      <c r="C439" s="73"/>
      <c r="D439" s="429"/>
      <c r="E439" s="73"/>
      <c r="F439" s="460"/>
      <c r="G439" s="59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</row>
    <row r="440" spans="1:22" s="594" customFormat="1">
      <c r="A440" s="76"/>
      <c r="B440" s="76"/>
      <c r="C440" s="73"/>
      <c r="D440" s="429"/>
      <c r="E440" s="73"/>
      <c r="F440" s="460"/>
      <c r="G440" s="59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</row>
    <row r="441" spans="1:22" s="594" customFormat="1">
      <c r="A441" s="76"/>
      <c r="B441" s="76"/>
      <c r="C441" s="73"/>
      <c r="D441" s="429"/>
      <c r="E441" s="73"/>
      <c r="F441" s="460"/>
      <c r="G441" s="59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</row>
    <row r="442" spans="1:22" s="594" customFormat="1">
      <c r="A442" s="76"/>
      <c r="B442" s="76"/>
      <c r="C442" s="73"/>
      <c r="D442" s="429"/>
      <c r="E442" s="73"/>
      <c r="F442" s="460"/>
      <c r="G442" s="59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</row>
    <row r="443" spans="1:22" s="594" customFormat="1">
      <c r="A443" s="76"/>
      <c r="B443" s="76"/>
      <c r="C443" s="73"/>
      <c r="D443" s="429"/>
      <c r="E443" s="73"/>
      <c r="F443" s="460"/>
      <c r="G443" s="59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</row>
    <row r="444" spans="1:22" s="594" customFormat="1">
      <c r="A444" s="76"/>
      <c r="B444" s="76"/>
      <c r="C444" s="73"/>
      <c r="D444" s="429"/>
      <c r="E444" s="73"/>
      <c r="F444" s="460"/>
      <c r="G444" s="59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</row>
    <row r="445" spans="1:22" s="594" customFormat="1">
      <c r="A445" s="76"/>
      <c r="B445" s="76"/>
      <c r="C445" s="73"/>
      <c r="D445" s="429"/>
      <c r="E445" s="73"/>
      <c r="F445" s="460"/>
      <c r="G445" s="59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</row>
    <row r="446" spans="1:22" s="594" customFormat="1">
      <c r="A446" s="76"/>
      <c r="B446" s="76"/>
      <c r="C446" s="73"/>
      <c r="D446" s="429"/>
      <c r="E446" s="73"/>
      <c r="F446" s="460"/>
      <c r="G446" s="59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</row>
    <row r="447" spans="1:22" s="594" customFormat="1">
      <c r="A447" s="76"/>
      <c r="B447" s="76"/>
      <c r="C447" s="73"/>
      <c r="D447" s="429"/>
      <c r="E447" s="73"/>
      <c r="F447" s="460"/>
      <c r="G447" s="59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</row>
    <row r="448" spans="1:22" s="594" customFormat="1">
      <c r="A448" s="76"/>
      <c r="B448" s="76"/>
      <c r="C448" s="73"/>
      <c r="D448" s="429"/>
      <c r="E448" s="73"/>
      <c r="F448" s="460"/>
      <c r="G448" s="59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</row>
    <row r="449" spans="1:22" s="594" customFormat="1">
      <c r="A449" s="76"/>
      <c r="B449" s="76"/>
      <c r="C449" s="73"/>
      <c r="D449" s="429"/>
      <c r="E449" s="73"/>
      <c r="F449" s="460"/>
      <c r="G449" s="59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</row>
    <row r="450" spans="1:22" s="594" customFormat="1">
      <c r="A450" s="76"/>
      <c r="B450" s="76"/>
      <c r="C450" s="73"/>
      <c r="D450" s="429"/>
      <c r="E450" s="73"/>
      <c r="F450" s="460"/>
      <c r="G450" s="59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</row>
    <row r="451" spans="1:22" s="594" customFormat="1">
      <c r="A451" s="76"/>
      <c r="B451" s="76"/>
      <c r="C451" s="73"/>
      <c r="D451" s="429"/>
      <c r="E451" s="73"/>
      <c r="F451" s="460"/>
      <c r="G451" s="59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</row>
    <row r="452" spans="1:22" s="594" customFormat="1">
      <c r="A452" s="76"/>
      <c r="B452" s="76"/>
      <c r="C452" s="73"/>
      <c r="D452" s="429"/>
      <c r="E452" s="73"/>
      <c r="F452" s="460"/>
      <c r="G452" s="59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</row>
    <row r="453" spans="1:22" s="594" customFormat="1">
      <c r="A453" s="76"/>
      <c r="B453" s="76"/>
      <c r="C453" s="73"/>
      <c r="D453" s="429"/>
      <c r="E453" s="73"/>
      <c r="F453" s="460"/>
      <c r="G453" s="59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</row>
    <row r="454" spans="1:22" s="594" customFormat="1">
      <c r="A454" s="76"/>
      <c r="B454" s="76"/>
      <c r="C454" s="73"/>
      <c r="D454" s="429"/>
      <c r="E454" s="73"/>
      <c r="F454" s="460"/>
      <c r="G454" s="59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</row>
    <row r="455" spans="1:22" s="594" customFormat="1">
      <c r="A455" s="76"/>
      <c r="B455" s="76"/>
      <c r="C455" s="73"/>
      <c r="D455" s="429"/>
      <c r="E455" s="73"/>
      <c r="F455" s="460"/>
      <c r="G455" s="59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</row>
    <row r="456" spans="1:22" s="594" customFormat="1">
      <c r="A456" s="76"/>
      <c r="B456" s="76"/>
      <c r="C456" s="73"/>
      <c r="D456" s="429"/>
      <c r="E456" s="73"/>
      <c r="F456" s="460"/>
      <c r="G456" s="59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</row>
    <row r="457" spans="1:22" s="594" customFormat="1">
      <c r="A457" s="76"/>
      <c r="B457" s="76"/>
      <c r="C457" s="73"/>
      <c r="D457" s="429"/>
      <c r="E457" s="73"/>
      <c r="F457" s="460"/>
      <c r="G457" s="59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</row>
    <row r="458" spans="1:22" s="594" customFormat="1">
      <c r="A458" s="76"/>
      <c r="B458" s="76"/>
      <c r="C458" s="73"/>
      <c r="D458" s="429"/>
      <c r="E458" s="73"/>
      <c r="F458" s="460"/>
      <c r="G458" s="59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</row>
    <row r="459" spans="1:22" s="594" customFormat="1">
      <c r="A459" s="76"/>
      <c r="B459" s="76"/>
      <c r="C459" s="73"/>
      <c r="D459" s="429"/>
      <c r="E459" s="73"/>
      <c r="F459" s="460"/>
      <c r="G459" s="59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</row>
    <row r="460" spans="1:22" s="594" customFormat="1">
      <c r="A460" s="76"/>
      <c r="B460" s="76"/>
      <c r="C460" s="73"/>
      <c r="D460" s="429"/>
      <c r="E460" s="73"/>
      <c r="F460" s="460"/>
      <c r="G460" s="59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</row>
    <row r="461" spans="1:22" s="594" customFormat="1">
      <c r="A461" s="76"/>
      <c r="B461" s="76"/>
      <c r="C461" s="73"/>
      <c r="D461" s="429"/>
      <c r="E461" s="73"/>
      <c r="F461" s="460"/>
      <c r="G461" s="59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</row>
    <row r="462" spans="1:22" s="594" customFormat="1">
      <c r="A462" s="76"/>
      <c r="B462" s="76"/>
      <c r="C462" s="73"/>
      <c r="D462" s="429"/>
      <c r="E462" s="73"/>
      <c r="F462" s="460"/>
      <c r="G462" s="59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</row>
    <row r="463" spans="1:22" s="594" customFormat="1">
      <c r="A463" s="76"/>
      <c r="B463" s="76"/>
      <c r="C463" s="73"/>
      <c r="D463" s="429"/>
      <c r="E463" s="73"/>
      <c r="F463" s="460"/>
      <c r="G463" s="59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</row>
    <row r="464" spans="1:22" s="594" customFormat="1">
      <c r="A464" s="76"/>
      <c r="B464" s="76"/>
      <c r="C464" s="73"/>
      <c r="D464" s="429"/>
      <c r="E464" s="73"/>
      <c r="F464" s="460"/>
      <c r="G464" s="59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</row>
    <row r="465" spans="1:22" s="594" customFormat="1">
      <c r="A465" s="76"/>
      <c r="B465" s="76"/>
      <c r="C465" s="73"/>
      <c r="D465" s="429"/>
      <c r="E465" s="73"/>
      <c r="F465" s="460"/>
      <c r="G465" s="59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</row>
    <row r="466" spans="1:22" s="594" customFormat="1">
      <c r="A466" s="76"/>
      <c r="B466" s="76"/>
      <c r="C466" s="73"/>
      <c r="D466" s="429"/>
      <c r="E466" s="73"/>
      <c r="F466" s="460"/>
      <c r="G466" s="59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</row>
    <row r="467" spans="1:22" s="594" customFormat="1">
      <c r="A467" s="76"/>
      <c r="B467" s="76"/>
      <c r="C467" s="73"/>
      <c r="D467" s="429"/>
      <c r="E467" s="73"/>
      <c r="F467" s="460"/>
      <c r="G467" s="59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</row>
    <row r="468" spans="1:22" s="594" customFormat="1">
      <c r="A468" s="76"/>
      <c r="B468" s="76"/>
      <c r="C468" s="73"/>
      <c r="D468" s="429"/>
      <c r="E468" s="73"/>
      <c r="F468" s="460"/>
      <c r="G468" s="59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</row>
    <row r="469" spans="1:22" s="594" customFormat="1">
      <c r="A469" s="76"/>
      <c r="B469" s="76"/>
      <c r="C469" s="73"/>
      <c r="D469" s="429"/>
      <c r="E469" s="73"/>
      <c r="F469" s="460"/>
      <c r="G469" s="59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</row>
    <row r="470" spans="1:22" s="594" customFormat="1">
      <c r="A470" s="76"/>
      <c r="B470" s="76"/>
      <c r="C470" s="73"/>
      <c r="D470" s="429"/>
      <c r="E470" s="73"/>
      <c r="F470" s="460"/>
      <c r="G470" s="59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</row>
    <row r="471" spans="1:22" s="594" customFormat="1">
      <c r="A471" s="76"/>
      <c r="B471" s="76"/>
      <c r="C471" s="73"/>
      <c r="D471" s="429"/>
      <c r="E471" s="73"/>
      <c r="F471" s="460"/>
      <c r="G471" s="59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</row>
    <row r="472" spans="1:22" s="594" customFormat="1">
      <c r="A472" s="76"/>
      <c r="B472" s="76"/>
      <c r="C472" s="73"/>
      <c r="D472" s="429"/>
      <c r="E472" s="73"/>
      <c r="F472" s="460"/>
      <c r="G472" s="59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</row>
    <row r="473" spans="1:22" s="594" customFormat="1">
      <c r="A473" s="76"/>
      <c r="B473" s="76"/>
      <c r="C473" s="73"/>
      <c r="D473" s="429"/>
      <c r="E473" s="73"/>
      <c r="F473" s="460"/>
      <c r="G473" s="59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</row>
    <row r="474" spans="1:22" s="594" customFormat="1">
      <c r="A474" s="76"/>
      <c r="B474" s="76"/>
      <c r="C474" s="73"/>
      <c r="D474" s="429"/>
      <c r="E474" s="73"/>
      <c r="F474" s="460"/>
      <c r="G474" s="59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</row>
    <row r="475" spans="1:22" s="594" customFormat="1">
      <c r="A475" s="76"/>
      <c r="B475" s="76"/>
      <c r="C475" s="73"/>
      <c r="D475" s="429"/>
      <c r="E475" s="73"/>
      <c r="F475" s="460"/>
      <c r="G475" s="59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</row>
    <row r="476" spans="1:22" s="594" customFormat="1">
      <c r="A476" s="76"/>
      <c r="B476" s="76"/>
      <c r="C476" s="73"/>
      <c r="D476" s="429"/>
      <c r="E476" s="73"/>
      <c r="F476" s="460"/>
      <c r="G476" s="59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</row>
    <row r="477" spans="1:22" s="594" customFormat="1">
      <c r="A477" s="76"/>
      <c r="B477" s="76"/>
      <c r="C477" s="73"/>
      <c r="D477" s="429"/>
      <c r="E477" s="73"/>
      <c r="F477" s="460"/>
      <c r="G477" s="59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</row>
    <row r="478" spans="1:22" s="594" customFormat="1">
      <c r="A478" s="76"/>
      <c r="B478" s="76"/>
      <c r="C478" s="73"/>
      <c r="D478" s="429"/>
      <c r="E478" s="73"/>
      <c r="F478" s="460"/>
      <c r="G478" s="59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</row>
    <row r="479" spans="1:22" s="594" customFormat="1">
      <c r="A479" s="76"/>
      <c r="B479" s="76"/>
      <c r="C479" s="73"/>
      <c r="D479" s="429"/>
      <c r="E479" s="73"/>
      <c r="F479" s="460"/>
      <c r="G479" s="59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</row>
    <row r="480" spans="1:22" s="594" customFormat="1">
      <c r="A480" s="76"/>
      <c r="B480" s="76"/>
      <c r="C480" s="73"/>
      <c r="D480" s="429"/>
      <c r="E480" s="73"/>
      <c r="F480" s="460"/>
      <c r="G480" s="59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</row>
    <row r="481" spans="1:22" s="594" customFormat="1">
      <c r="A481" s="76"/>
      <c r="B481" s="76"/>
      <c r="C481" s="73"/>
      <c r="D481" s="429"/>
      <c r="E481" s="73"/>
      <c r="F481" s="460"/>
      <c r="G481" s="59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</row>
    <row r="482" spans="1:22" s="594" customFormat="1">
      <c r="A482" s="76"/>
      <c r="B482" s="76"/>
      <c r="C482" s="73"/>
      <c r="D482" s="429"/>
      <c r="E482" s="73"/>
      <c r="F482" s="460"/>
      <c r="G482" s="59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</row>
    <row r="483" spans="1:22" s="594" customFormat="1">
      <c r="A483" s="76"/>
      <c r="B483" s="76"/>
      <c r="C483" s="73"/>
      <c r="D483" s="429"/>
      <c r="E483" s="73"/>
      <c r="F483" s="460"/>
      <c r="G483" s="59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</row>
    <row r="484" spans="1:22" s="594" customFormat="1">
      <c r="A484" s="76"/>
      <c r="B484" s="76"/>
      <c r="C484" s="73"/>
      <c r="D484" s="429"/>
      <c r="E484" s="73"/>
      <c r="F484" s="460"/>
      <c r="G484" s="59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</row>
    <row r="485" spans="1:22" s="594" customFormat="1">
      <c r="A485" s="76"/>
      <c r="B485" s="76"/>
      <c r="C485" s="73"/>
      <c r="D485" s="429"/>
      <c r="E485" s="73"/>
      <c r="F485" s="460"/>
      <c r="G485" s="59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</row>
    <row r="486" spans="1:22" s="594" customFormat="1">
      <c r="A486" s="76"/>
      <c r="B486" s="76"/>
      <c r="C486" s="73"/>
      <c r="D486" s="429"/>
      <c r="E486" s="73"/>
      <c r="F486" s="460"/>
      <c r="G486" s="59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</row>
    <row r="487" spans="1:22" s="594" customFormat="1">
      <c r="A487" s="76"/>
      <c r="B487" s="76"/>
      <c r="C487" s="73"/>
      <c r="D487" s="429"/>
      <c r="E487" s="73"/>
      <c r="F487" s="460"/>
      <c r="G487" s="59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</row>
    <row r="488" spans="1:22" s="594" customFormat="1">
      <c r="A488" s="76"/>
      <c r="B488" s="76"/>
      <c r="C488" s="73"/>
      <c r="D488" s="429"/>
      <c r="E488" s="73"/>
      <c r="F488" s="460"/>
      <c r="G488" s="59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</row>
    <row r="489" spans="1:22" s="594" customFormat="1">
      <c r="A489" s="76"/>
      <c r="B489" s="76"/>
      <c r="C489" s="73"/>
      <c r="D489" s="429"/>
      <c r="E489" s="73"/>
      <c r="F489" s="460"/>
      <c r="G489" s="59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</row>
    <row r="490" spans="1:22" s="594" customFormat="1">
      <c r="A490" s="76"/>
      <c r="B490" s="76"/>
      <c r="C490" s="73"/>
      <c r="D490" s="429"/>
      <c r="E490" s="73"/>
      <c r="F490" s="460"/>
      <c r="G490" s="59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</row>
    <row r="491" spans="1:22" s="594" customFormat="1">
      <c r="A491" s="76"/>
      <c r="B491" s="76"/>
      <c r="C491" s="73"/>
      <c r="D491" s="429"/>
      <c r="E491" s="73"/>
      <c r="F491" s="460"/>
      <c r="G491" s="59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</row>
    <row r="492" spans="1:22" s="594" customFormat="1">
      <c r="A492" s="76"/>
      <c r="B492" s="76"/>
      <c r="C492" s="73"/>
      <c r="D492" s="429"/>
      <c r="E492" s="73"/>
      <c r="F492" s="460"/>
      <c r="G492" s="59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</row>
    <row r="493" spans="1:22" s="594" customFormat="1">
      <c r="A493" s="76"/>
      <c r="B493" s="76"/>
      <c r="C493" s="73"/>
      <c r="D493" s="429"/>
      <c r="E493" s="73"/>
      <c r="F493" s="460"/>
      <c r="G493" s="59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</row>
    <row r="494" spans="1:22" s="594" customFormat="1">
      <c r="A494" s="76"/>
      <c r="B494" s="76"/>
      <c r="C494" s="73"/>
      <c r="D494" s="429"/>
      <c r="E494" s="73"/>
      <c r="F494" s="460"/>
      <c r="G494" s="59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</row>
    <row r="495" spans="1:22" s="594" customFormat="1">
      <c r="A495" s="76"/>
      <c r="B495" s="76"/>
      <c r="C495" s="73"/>
      <c r="D495" s="429"/>
      <c r="E495" s="73"/>
      <c r="F495" s="460"/>
      <c r="G495" s="59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</row>
    <row r="496" spans="1:22" s="594" customFormat="1">
      <c r="A496" s="76"/>
      <c r="B496" s="76"/>
      <c r="C496" s="73"/>
      <c r="D496" s="429"/>
      <c r="E496" s="73"/>
      <c r="F496" s="460"/>
      <c r="G496" s="59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</row>
    <row r="497" spans="1:22" s="594" customFormat="1">
      <c r="A497" s="76"/>
      <c r="B497" s="76"/>
      <c r="C497" s="73"/>
      <c r="D497" s="429"/>
      <c r="E497" s="73"/>
      <c r="F497" s="460"/>
      <c r="G497" s="59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</row>
    <row r="498" spans="1:22" s="594" customFormat="1">
      <c r="A498" s="76"/>
      <c r="B498" s="76"/>
      <c r="C498" s="73"/>
      <c r="D498" s="429"/>
      <c r="E498" s="73"/>
      <c r="F498" s="460"/>
      <c r="G498" s="59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</row>
    <row r="499" spans="1:22" s="594" customFormat="1">
      <c r="A499" s="76"/>
      <c r="B499" s="76"/>
      <c r="C499" s="73"/>
      <c r="D499" s="429"/>
      <c r="E499" s="73"/>
      <c r="F499" s="460"/>
      <c r="G499" s="59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</row>
    <row r="500" spans="1:22" s="594" customFormat="1">
      <c r="A500" s="76"/>
      <c r="B500" s="76"/>
      <c r="C500" s="73"/>
      <c r="D500" s="429"/>
      <c r="E500" s="73"/>
      <c r="F500" s="460"/>
      <c r="G500" s="59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</row>
    <row r="501" spans="1:22" s="594" customFormat="1">
      <c r="A501" s="76"/>
      <c r="B501" s="76"/>
      <c r="C501" s="73"/>
      <c r="D501" s="429"/>
      <c r="E501" s="73"/>
      <c r="F501" s="460"/>
      <c r="G501" s="59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</row>
    <row r="502" spans="1:22" s="594" customFormat="1">
      <c r="A502" s="76"/>
      <c r="B502" s="76"/>
      <c r="C502" s="73"/>
      <c r="D502" s="429"/>
      <c r="E502" s="73"/>
      <c r="F502" s="460"/>
      <c r="G502" s="59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</row>
    <row r="503" spans="1:22" s="594" customFormat="1">
      <c r="A503" s="76"/>
      <c r="B503" s="76"/>
      <c r="C503" s="73"/>
      <c r="D503" s="429"/>
      <c r="E503" s="73"/>
      <c r="F503" s="460"/>
      <c r="G503" s="59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</row>
    <row r="504" spans="1:22" s="594" customFormat="1">
      <c r="A504" s="76"/>
      <c r="B504" s="76"/>
      <c r="C504" s="73"/>
      <c r="D504" s="429"/>
      <c r="E504" s="73"/>
      <c r="F504" s="460"/>
      <c r="G504" s="59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</row>
    <row r="505" spans="1:22" s="594" customFormat="1">
      <c r="A505" s="76"/>
      <c r="B505" s="76"/>
      <c r="C505" s="73"/>
      <c r="D505" s="429"/>
      <c r="E505" s="73"/>
      <c r="F505" s="460"/>
      <c r="G505" s="59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</row>
    <row r="506" spans="1:22" s="594" customFormat="1">
      <c r="A506" s="76"/>
      <c r="B506" s="76"/>
      <c r="C506" s="73"/>
      <c r="D506" s="429"/>
      <c r="E506" s="73"/>
      <c r="F506" s="460"/>
      <c r="G506" s="59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</row>
    <row r="507" spans="1:22" s="594" customFormat="1">
      <c r="A507" s="76"/>
      <c r="B507" s="76"/>
      <c r="C507" s="73"/>
      <c r="D507" s="429"/>
      <c r="E507" s="73"/>
      <c r="F507" s="460"/>
      <c r="G507" s="59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</row>
    <row r="508" spans="1:22" s="594" customFormat="1">
      <c r="A508" s="76"/>
      <c r="B508" s="76"/>
      <c r="C508" s="73"/>
      <c r="D508" s="429"/>
      <c r="E508" s="73"/>
      <c r="F508" s="460"/>
      <c r="G508" s="59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</row>
    <row r="509" spans="1:22" s="594" customFormat="1">
      <c r="A509" s="76"/>
      <c r="B509" s="76"/>
      <c r="C509" s="73"/>
      <c r="D509" s="429"/>
      <c r="E509" s="73"/>
      <c r="F509" s="460"/>
      <c r="G509" s="59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</row>
    <row r="510" spans="1:22" s="594" customFormat="1">
      <c r="A510" s="76"/>
      <c r="B510" s="76"/>
      <c r="C510" s="73"/>
      <c r="D510" s="429"/>
      <c r="E510" s="73"/>
      <c r="F510" s="460"/>
      <c r="G510" s="59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</row>
    <row r="511" spans="1:22" s="594" customFormat="1">
      <c r="A511" s="76"/>
      <c r="B511" s="76"/>
      <c r="C511" s="73"/>
      <c r="D511" s="429"/>
      <c r="E511" s="73"/>
      <c r="F511" s="460"/>
      <c r="G511" s="59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</row>
    <row r="512" spans="1:22" s="594" customFormat="1">
      <c r="A512" s="76"/>
      <c r="B512" s="76"/>
      <c r="C512" s="73"/>
      <c r="D512" s="429"/>
      <c r="E512" s="73"/>
      <c r="F512" s="460"/>
      <c r="G512" s="59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</row>
    <row r="513" spans="1:22" s="594" customFormat="1">
      <c r="A513" s="76"/>
      <c r="B513" s="76"/>
      <c r="C513" s="73"/>
      <c r="D513" s="429"/>
      <c r="E513" s="73"/>
      <c r="F513" s="460"/>
      <c r="G513" s="59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</row>
    <row r="514" spans="1:22" s="594" customFormat="1">
      <c r="A514" s="76"/>
      <c r="B514" s="76"/>
      <c r="C514" s="73"/>
      <c r="D514" s="429"/>
      <c r="E514" s="73"/>
      <c r="F514" s="460"/>
      <c r="G514" s="59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</row>
    <row r="515" spans="1:22" s="594" customFormat="1">
      <c r="A515" s="76"/>
      <c r="B515" s="76"/>
      <c r="C515" s="73"/>
      <c r="D515" s="429"/>
      <c r="E515" s="73"/>
      <c r="F515" s="460"/>
      <c r="G515" s="59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</row>
    <row r="516" spans="1:22" s="594" customFormat="1">
      <c r="A516" s="76"/>
      <c r="B516" s="76"/>
      <c r="C516" s="73"/>
      <c r="D516" s="429"/>
      <c r="E516" s="73"/>
      <c r="F516" s="460"/>
      <c r="G516" s="59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</row>
    <row r="517" spans="1:22" s="594" customFormat="1">
      <c r="A517" s="76"/>
      <c r="B517" s="76"/>
      <c r="C517" s="73"/>
      <c r="D517" s="429"/>
      <c r="E517" s="73"/>
      <c r="F517" s="460"/>
      <c r="G517" s="59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</row>
    <row r="518" spans="1:22" s="594" customFormat="1">
      <c r="A518" s="76"/>
      <c r="B518" s="76"/>
      <c r="C518" s="73"/>
      <c r="D518" s="429"/>
      <c r="E518" s="73"/>
      <c r="F518" s="460"/>
      <c r="G518" s="59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</row>
    <row r="519" spans="1:22" s="594" customFormat="1">
      <c r="A519" s="76"/>
      <c r="B519" s="76"/>
      <c r="C519" s="73"/>
      <c r="D519" s="429"/>
      <c r="E519" s="73"/>
      <c r="F519" s="460"/>
      <c r="G519" s="59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</row>
    <row r="520" spans="1:22" s="594" customFormat="1">
      <c r="A520" s="76"/>
      <c r="B520" s="76"/>
      <c r="C520" s="73"/>
      <c r="D520" s="429"/>
      <c r="E520" s="73"/>
      <c r="F520" s="460"/>
      <c r="G520" s="59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</row>
    <row r="521" spans="1:22" s="594" customFormat="1">
      <c r="A521" s="76"/>
      <c r="B521" s="76"/>
      <c r="C521" s="73"/>
      <c r="D521" s="429"/>
      <c r="E521" s="73"/>
      <c r="F521" s="460"/>
      <c r="G521" s="59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</row>
    <row r="522" spans="1:22" s="594" customFormat="1">
      <c r="A522" s="76"/>
      <c r="B522" s="76"/>
      <c r="C522" s="73"/>
      <c r="D522" s="429"/>
      <c r="E522" s="73"/>
      <c r="F522" s="460"/>
      <c r="G522" s="59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</row>
    <row r="523" spans="1:22" s="594" customFormat="1">
      <c r="A523" s="76"/>
      <c r="B523" s="76"/>
      <c r="C523" s="73"/>
      <c r="D523" s="429"/>
      <c r="E523" s="73"/>
      <c r="F523" s="460"/>
      <c r="G523" s="59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</row>
    <row r="524" spans="1:22" s="594" customFormat="1">
      <c r="A524" s="76"/>
      <c r="B524" s="76"/>
      <c r="C524" s="73"/>
      <c r="D524" s="429"/>
      <c r="E524" s="73"/>
      <c r="F524" s="460"/>
      <c r="G524" s="59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</row>
    <row r="525" spans="1:22" s="594" customFormat="1">
      <c r="A525" s="76"/>
      <c r="B525" s="76"/>
      <c r="C525" s="73"/>
      <c r="D525" s="429"/>
      <c r="E525" s="73"/>
      <c r="F525" s="460"/>
      <c r="G525" s="59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</row>
    <row r="526" spans="1:22" s="594" customFormat="1">
      <c r="A526" s="76"/>
      <c r="B526" s="76"/>
      <c r="C526" s="73"/>
      <c r="D526" s="429"/>
      <c r="E526" s="73"/>
      <c r="F526" s="460"/>
      <c r="G526" s="59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</row>
    <row r="527" spans="1:22" s="594" customFormat="1">
      <c r="A527" s="76"/>
      <c r="B527" s="76"/>
      <c r="C527" s="73"/>
      <c r="D527" s="429"/>
      <c r="E527" s="73"/>
      <c r="F527" s="460"/>
      <c r="G527" s="59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</row>
    <row r="528" spans="1:22" s="594" customFormat="1">
      <c r="A528" s="76"/>
      <c r="B528" s="76"/>
      <c r="C528" s="73"/>
      <c r="D528" s="429"/>
      <c r="E528" s="73"/>
      <c r="F528" s="460"/>
      <c r="G528" s="59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</row>
    <row r="529" spans="1:22" s="594" customFormat="1">
      <c r="A529" s="76"/>
      <c r="B529" s="76"/>
      <c r="C529" s="73"/>
      <c r="D529" s="429"/>
      <c r="E529" s="73"/>
      <c r="F529" s="460"/>
      <c r="G529" s="59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</row>
    <row r="530" spans="1:22" s="594" customFormat="1">
      <c r="A530" s="76"/>
      <c r="B530" s="76"/>
      <c r="C530" s="73"/>
      <c r="D530" s="429"/>
      <c r="E530" s="73"/>
      <c r="F530" s="460"/>
      <c r="G530" s="59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</row>
    <row r="531" spans="1:22" s="594" customFormat="1">
      <c r="A531" s="76"/>
      <c r="B531" s="76"/>
      <c r="C531" s="73"/>
      <c r="D531" s="429"/>
      <c r="E531" s="73"/>
      <c r="F531" s="460"/>
      <c r="G531" s="59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</row>
    <row r="532" spans="1:22" s="594" customFormat="1">
      <c r="A532" s="76"/>
      <c r="B532" s="76"/>
      <c r="C532" s="73"/>
      <c r="D532" s="429"/>
      <c r="E532" s="73"/>
      <c r="F532" s="460"/>
      <c r="G532" s="59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</row>
    <row r="533" spans="1:22" s="594" customFormat="1">
      <c r="A533" s="76"/>
      <c r="B533" s="76"/>
      <c r="C533" s="73"/>
      <c r="D533" s="429"/>
      <c r="E533" s="73"/>
      <c r="F533" s="460"/>
      <c r="G533" s="59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</row>
    <row r="534" spans="1:22" s="594" customFormat="1">
      <c r="A534" s="76"/>
      <c r="B534" s="76"/>
      <c r="C534" s="73"/>
      <c r="D534" s="429"/>
      <c r="E534" s="73"/>
      <c r="F534" s="460"/>
      <c r="G534" s="59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</row>
    <row r="535" spans="1:22" s="594" customFormat="1">
      <c r="A535" s="76"/>
      <c r="B535" s="76"/>
      <c r="C535" s="73"/>
      <c r="D535" s="429"/>
      <c r="E535" s="73"/>
      <c r="F535" s="460"/>
      <c r="G535" s="59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</row>
    <row r="536" spans="1:22" s="594" customFormat="1">
      <c r="A536" s="76"/>
      <c r="B536" s="76"/>
      <c r="C536" s="73"/>
      <c r="D536" s="429"/>
      <c r="E536" s="73"/>
      <c r="F536" s="460"/>
      <c r="G536" s="59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</row>
    <row r="537" spans="1:22" s="594" customFormat="1">
      <c r="A537" s="76"/>
      <c r="B537" s="76"/>
      <c r="C537" s="73"/>
      <c r="D537" s="429"/>
      <c r="E537" s="73"/>
      <c r="F537" s="460"/>
      <c r="G537" s="59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</row>
    <row r="538" spans="1:22" s="594" customFormat="1">
      <c r="A538" s="76"/>
      <c r="B538" s="76"/>
      <c r="C538" s="73"/>
      <c r="D538" s="429"/>
      <c r="E538" s="73"/>
      <c r="F538" s="460"/>
      <c r="G538" s="59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</row>
    <row r="539" spans="1:22" s="594" customFormat="1">
      <c r="A539" s="76"/>
      <c r="B539" s="76"/>
      <c r="C539" s="73"/>
      <c r="D539" s="429"/>
      <c r="E539" s="73"/>
      <c r="F539" s="460"/>
      <c r="G539" s="59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</row>
    <row r="540" spans="1:22" s="594" customFormat="1">
      <c r="A540" s="76"/>
      <c r="B540" s="76"/>
      <c r="C540" s="73"/>
      <c r="D540" s="429"/>
      <c r="E540" s="73"/>
      <c r="F540" s="460"/>
      <c r="G540" s="59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</row>
    <row r="541" spans="1:22" s="594" customFormat="1">
      <c r="A541" s="76"/>
      <c r="B541" s="76"/>
      <c r="C541" s="73"/>
      <c r="D541" s="429"/>
      <c r="E541" s="73"/>
      <c r="F541" s="460"/>
      <c r="G541" s="59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</row>
    <row r="542" spans="1:22" s="594" customFormat="1">
      <c r="A542" s="76"/>
      <c r="B542" s="76"/>
      <c r="C542" s="73"/>
      <c r="D542" s="429"/>
      <c r="E542" s="73"/>
      <c r="F542" s="460"/>
      <c r="G542" s="59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</row>
    <row r="543" spans="1:22" s="594" customFormat="1">
      <c r="A543" s="76"/>
      <c r="B543" s="76"/>
      <c r="C543" s="73"/>
      <c r="D543" s="429"/>
      <c r="E543" s="73"/>
      <c r="F543" s="460"/>
      <c r="G543" s="59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</row>
    <row r="544" spans="1:22" s="594" customFormat="1">
      <c r="A544" s="76"/>
      <c r="B544" s="76"/>
      <c r="C544" s="73"/>
      <c r="D544" s="429"/>
      <c r="E544" s="73"/>
      <c r="F544" s="460"/>
      <c r="G544" s="59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</row>
    <row r="545" spans="1:22" s="594" customFormat="1">
      <c r="A545" s="76"/>
      <c r="B545" s="76"/>
      <c r="C545" s="73"/>
      <c r="D545" s="429"/>
      <c r="E545" s="73"/>
      <c r="F545" s="460"/>
      <c r="G545" s="59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</row>
    <row r="546" spans="1:22" s="594" customFormat="1">
      <c r="A546" s="76"/>
      <c r="B546" s="76"/>
      <c r="C546" s="73"/>
      <c r="D546" s="429"/>
      <c r="E546" s="73"/>
      <c r="F546" s="460"/>
      <c r="G546" s="59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</row>
    <row r="547" spans="1:22" s="594" customFormat="1">
      <c r="A547" s="76"/>
      <c r="B547" s="76"/>
      <c r="C547" s="73"/>
      <c r="D547" s="429"/>
      <c r="E547" s="73"/>
      <c r="F547" s="460"/>
      <c r="G547" s="59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</row>
    <row r="548" spans="1:22" s="594" customFormat="1">
      <c r="A548" s="76"/>
      <c r="B548" s="76"/>
      <c r="C548" s="73"/>
      <c r="D548" s="429"/>
      <c r="E548" s="73"/>
      <c r="F548" s="460"/>
      <c r="G548" s="59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</row>
    <row r="549" spans="1:22" s="594" customFormat="1">
      <c r="A549" s="76"/>
      <c r="B549" s="76"/>
      <c r="C549" s="73"/>
      <c r="D549" s="429"/>
      <c r="E549" s="73"/>
      <c r="F549" s="460"/>
      <c r="G549" s="59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</row>
    <row r="550" spans="1:22" s="594" customFormat="1">
      <c r="A550" s="76"/>
      <c r="B550" s="76"/>
      <c r="C550" s="73"/>
      <c r="D550" s="429"/>
      <c r="E550" s="73"/>
      <c r="F550" s="460"/>
      <c r="G550" s="59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</row>
    <row r="551" spans="1:22" s="594" customFormat="1">
      <c r="A551" s="76"/>
      <c r="B551" s="76"/>
      <c r="C551" s="73"/>
      <c r="D551" s="429"/>
      <c r="E551" s="73"/>
      <c r="F551" s="460"/>
      <c r="G551" s="59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</row>
    <row r="552" spans="1:22" s="594" customFormat="1">
      <c r="A552" s="76"/>
      <c r="B552" s="76"/>
      <c r="C552" s="73"/>
      <c r="D552" s="429"/>
      <c r="E552" s="73"/>
      <c r="F552" s="460"/>
      <c r="G552" s="59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</row>
    <row r="553" spans="1:22" s="594" customFormat="1">
      <c r="A553" s="76"/>
      <c r="B553" s="76"/>
      <c r="C553" s="73"/>
      <c r="D553" s="429"/>
      <c r="E553" s="73"/>
      <c r="F553" s="460"/>
      <c r="G553" s="59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</row>
    <row r="554" spans="1:22" s="594" customFormat="1">
      <c r="A554" s="76"/>
      <c r="B554" s="76"/>
      <c r="C554" s="73"/>
      <c r="D554" s="429"/>
      <c r="E554" s="73"/>
      <c r="F554" s="460"/>
      <c r="G554" s="59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</row>
    <row r="555" spans="1:22" s="594" customFormat="1">
      <c r="A555" s="76"/>
      <c r="B555" s="76"/>
      <c r="C555" s="73"/>
      <c r="D555" s="429"/>
      <c r="E555" s="73"/>
      <c r="F555" s="460"/>
      <c r="G555" s="59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</row>
    <row r="556" spans="1:22" s="594" customFormat="1">
      <c r="A556" s="76"/>
      <c r="B556" s="76"/>
      <c r="C556" s="73"/>
      <c r="D556" s="429"/>
      <c r="E556" s="73"/>
      <c r="F556" s="460"/>
      <c r="G556" s="59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</row>
    <row r="557" spans="1:22" s="594" customFormat="1">
      <c r="A557" s="76"/>
      <c r="B557" s="76"/>
      <c r="C557" s="73"/>
      <c r="D557" s="429"/>
      <c r="E557" s="73"/>
      <c r="F557" s="460"/>
      <c r="G557" s="59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</row>
    <row r="558" spans="1:22" s="594" customFormat="1">
      <c r="A558" s="76"/>
      <c r="B558" s="76"/>
      <c r="C558" s="73"/>
      <c r="D558" s="429"/>
      <c r="E558" s="73"/>
      <c r="F558" s="460"/>
      <c r="G558" s="59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</row>
    <row r="559" spans="1:22" s="594" customFormat="1">
      <c r="A559" s="76"/>
      <c r="B559" s="76"/>
      <c r="C559" s="73"/>
      <c r="D559" s="429"/>
      <c r="E559" s="73"/>
      <c r="F559" s="460"/>
      <c r="G559" s="59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</row>
    <row r="560" spans="1:22" s="594" customFormat="1">
      <c r="A560" s="76"/>
      <c r="B560" s="76"/>
      <c r="C560" s="73"/>
      <c r="D560" s="429"/>
      <c r="E560" s="73"/>
      <c r="F560" s="460"/>
      <c r="G560" s="59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</row>
    <row r="561" spans="1:22" s="594" customFormat="1">
      <c r="A561" s="76"/>
      <c r="B561" s="76"/>
      <c r="C561" s="73"/>
      <c r="D561" s="429"/>
      <c r="E561" s="73"/>
      <c r="F561" s="460"/>
      <c r="G561" s="59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</row>
    <row r="562" spans="1:22" s="594" customFormat="1">
      <c r="A562" s="76"/>
      <c r="B562" s="76"/>
      <c r="C562" s="73"/>
      <c r="D562" s="429"/>
      <c r="E562" s="73"/>
      <c r="F562" s="460"/>
      <c r="G562" s="59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</row>
    <row r="563" spans="1:22" s="594" customFormat="1">
      <c r="A563" s="76"/>
      <c r="B563" s="76"/>
      <c r="C563" s="73"/>
      <c r="D563" s="429"/>
      <c r="E563" s="73"/>
      <c r="F563" s="460"/>
      <c r="G563" s="59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</row>
    <row r="564" spans="1:22" s="594" customFormat="1">
      <c r="A564" s="76"/>
      <c r="B564" s="76"/>
      <c r="C564" s="73"/>
      <c r="D564" s="429"/>
      <c r="E564" s="73"/>
      <c r="F564" s="460"/>
      <c r="G564" s="59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</row>
    <row r="565" spans="1:22" s="594" customFormat="1">
      <c r="A565" s="76"/>
      <c r="B565" s="76"/>
      <c r="C565" s="73"/>
      <c r="D565" s="429"/>
      <c r="E565" s="73"/>
      <c r="F565" s="460"/>
      <c r="G565" s="59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</row>
    <row r="566" spans="1:22" s="594" customFormat="1">
      <c r="A566" s="76"/>
      <c r="B566" s="76"/>
      <c r="C566" s="73"/>
      <c r="D566" s="429"/>
      <c r="E566" s="73"/>
      <c r="F566" s="460"/>
      <c r="G566" s="59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</row>
    <row r="567" spans="1:22" s="594" customFormat="1">
      <c r="A567" s="76"/>
      <c r="B567" s="76"/>
      <c r="C567" s="73"/>
      <c r="D567" s="429"/>
      <c r="E567" s="73"/>
      <c r="F567" s="460"/>
      <c r="G567" s="59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</row>
    <row r="568" spans="1:22" s="594" customFormat="1">
      <c r="A568" s="76"/>
      <c r="B568" s="76"/>
      <c r="C568" s="73"/>
      <c r="D568" s="429"/>
      <c r="E568" s="73"/>
      <c r="F568" s="460"/>
      <c r="G568" s="59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</row>
    <row r="569" spans="1:22" s="594" customFormat="1">
      <c r="A569" s="76"/>
      <c r="B569" s="76"/>
      <c r="C569" s="73"/>
      <c r="D569" s="429"/>
      <c r="E569" s="73"/>
      <c r="F569" s="460"/>
      <c r="G569" s="59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</row>
    <row r="570" spans="1:22" s="594" customFormat="1">
      <c r="A570" s="76"/>
      <c r="B570" s="76"/>
      <c r="C570" s="73"/>
      <c r="D570" s="429"/>
      <c r="E570" s="73"/>
      <c r="F570" s="460"/>
      <c r="G570" s="59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</row>
    <row r="571" spans="1:22" s="594" customFormat="1">
      <c r="A571" s="76"/>
      <c r="B571" s="76"/>
      <c r="C571" s="73"/>
      <c r="D571" s="429"/>
      <c r="E571" s="73"/>
      <c r="F571" s="460"/>
      <c r="G571" s="59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</row>
    <row r="572" spans="1:22" s="594" customFormat="1">
      <c r="A572" s="76"/>
      <c r="B572" s="76"/>
      <c r="C572" s="73"/>
      <c r="D572" s="429"/>
      <c r="E572" s="73"/>
      <c r="F572" s="460"/>
      <c r="G572" s="59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</row>
    <row r="573" spans="1:22" s="594" customFormat="1">
      <c r="A573" s="76"/>
      <c r="B573" s="76"/>
      <c r="C573" s="73"/>
      <c r="D573" s="429"/>
      <c r="E573" s="73"/>
      <c r="F573" s="460"/>
      <c r="G573" s="59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</row>
    <row r="574" spans="1:22" s="594" customFormat="1">
      <c r="A574" s="76"/>
      <c r="B574" s="76"/>
      <c r="C574" s="73"/>
      <c r="D574" s="429"/>
      <c r="E574" s="73"/>
      <c r="F574" s="460"/>
      <c r="G574" s="59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</row>
    <row r="575" spans="1:22" s="594" customFormat="1">
      <c r="A575" s="76"/>
      <c r="B575" s="76"/>
      <c r="C575" s="73"/>
      <c r="D575" s="429"/>
      <c r="E575" s="73"/>
      <c r="F575" s="460"/>
      <c r="G575" s="59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</row>
    <row r="576" spans="1:22" s="594" customFormat="1">
      <c r="A576" s="76"/>
      <c r="B576" s="76"/>
      <c r="C576" s="73"/>
      <c r="D576" s="429"/>
      <c r="E576" s="73"/>
      <c r="F576" s="460"/>
      <c r="G576" s="59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</row>
    <row r="577" spans="1:22" s="594" customFormat="1">
      <c r="A577" s="76"/>
      <c r="B577" s="76"/>
      <c r="C577" s="73"/>
      <c r="D577" s="429"/>
      <c r="E577" s="73"/>
      <c r="F577" s="460"/>
      <c r="G577" s="59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</row>
    <row r="578" spans="1:22" s="594" customFormat="1">
      <c r="A578" s="76"/>
      <c r="B578" s="76"/>
      <c r="C578" s="73"/>
      <c r="D578" s="429"/>
      <c r="E578" s="73"/>
      <c r="F578" s="460"/>
      <c r="G578" s="59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</row>
    <row r="579" spans="1:22" s="594" customFormat="1">
      <c r="A579" s="76"/>
      <c r="B579" s="76"/>
      <c r="C579" s="73"/>
      <c r="D579" s="429"/>
      <c r="E579" s="73"/>
      <c r="F579" s="460"/>
      <c r="G579" s="59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</row>
    <row r="580" spans="1:22" s="594" customFormat="1">
      <c r="A580" s="76"/>
      <c r="B580" s="76"/>
      <c r="C580" s="73"/>
      <c r="D580" s="429"/>
      <c r="E580" s="73"/>
      <c r="F580" s="460"/>
      <c r="G580" s="59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</row>
    <row r="581" spans="1:22" s="594" customFormat="1">
      <c r="A581" s="76"/>
      <c r="B581" s="76"/>
      <c r="C581" s="73"/>
      <c r="D581" s="429"/>
      <c r="E581" s="73"/>
      <c r="F581" s="460"/>
      <c r="G581" s="59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</row>
    <row r="582" spans="1:22" s="594" customFormat="1">
      <c r="A582" s="76"/>
      <c r="B582" s="76"/>
      <c r="C582" s="73"/>
      <c r="D582" s="429"/>
      <c r="E582" s="73"/>
      <c r="F582" s="460"/>
      <c r="G582" s="59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</row>
    <row r="583" spans="1:22" s="594" customFormat="1">
      <c r="A583" s="76"/>
      <c r="B583" s="76"/>
      <c r="C583" s="73"/>
      <c r="D583" s="429"/>
      <c r="E583" s="73"/>
      <c r="F583" s="460"/>
      <c r="G583" s="59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</row>
    <row r="584" spans="1:22" s="594" customFormat="1">
      <c r="A584" s="76"/>
      <c r="B584" s="76"/>
      <c r="C584" s="73"/>
      <c r="D584" s="429"/>
      <c r="E584" s="73"/>
      <c r="F584" s="460"/>
      <c r="G584" s="59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</row>
    <row r="585" spans="1:22" s="594" customFormat="1">
      <c r="A585" s="76"/>
      <c r="B585" s="76"/>
      <c r="C585" s="73"/>
      <c r="D585" s="429"/>
      <c r="E585" s="73"/>
      <c r="F585" s="460"/>
      <c r="G585" s="59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</row>
    <row r="586" spans="1:22" s="594" customFormat="1">
      <c r="A586" s="76"/>
      <c r="B586" s="76"/>
      <c r="C586" s="73"/>
      <c r="D586" s="429"/>
      <c r="E586" s="73"/>
      <c r="F586" s="460"/>
      <c r="G586" s="59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</row>
    <row r="587" spans="1:22" s="594" customFormat="1">
      <c r="A587" s="76"/>
      <c r="B587" s="76"/>
      <c r="C587" s="73"/>
      <c r="D587" s="429"/>
      <c r="E587" s="73"/>
      <c r="F587" s="460"/>
      <c r="G587" s="59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</row>
    <row r="588" spans="1:22" s="594" customFormat="1">
      <c r="A588" s="76"/>
      <c r="B588" s="76"/>
      <c r="C588" s="73"/>
      <c r="D588" s="429"/>
      <c r="E588" s="73"/>
      <c r="F588" s="460"/>
      <c r="G588" s="59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</row>
    <row r="589" spans="1:22" s="594" customFormat="1">
      <c r="A589" s="76"/>
      <c r="B589" s="76"/>
      <c r="C589" s="73"/>
      <c r="D589" s="429"/>
      <c r="E589" s="73"/>
      <c r="F589" s="460"/>
      <c r="G589" s="59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</row>
    <row r="590" spans="1:22" s="594" customFormat="1">
      <c r="A590" s="76"/>
      <c r="B590" s="76"/>
      <c r="C590" s="73"/>
      <c r="D590" s="429"/>
      <c r="E590" s="73"/>
      <c r="F590" s="460"/>
      <c r="G590" s="59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</row>
    <row r="591" spans="1:22" s="594" customFormat="1">
      <c r="A591" s="76"/>
      <c r="B591" s="76"/>
      <c r="C591" s="73"/>
      <c r="D591" s="429"/>
      <c r="E591" s="73"/>
      <c r="F591" s="460"/>
      <c r="G591" s="59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</row>
    <row r="592" spans="1:22" s="594" customFormat="1">
      <c r="A592" s="76"/>
      <c r="B592" s="76"/>
      <c r="C592" s="73"/>
      <c r="D592" s="429"/>
      <c r="E592" s="73"/>
      <c r="F592" s="460"/>
      <c r="G592" s="59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</row>
    <row r="593" spans="1:22" s="594" customFormat="1">
      <c r="A593" s="76"/>
      <c r="B593" s="76"/>
      <c r="C593" s="73"/>
      <c r="D593" s="429"/>
      <c r="E593" s="73"/>
      <c r="F593" s="460"/>
      <c r="G593" s="59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</row>
    <row r="594" spans="1:22" s="594" customFormat="1">
      <c r="A594" s="76"/>
      <c r="B594" s="76"/>
      <c r="C594" s="73"/>
      <c r="D594" s="429"/>
      <c r="E594" s="73"/>
      <c r="F594" s="460"/>
      <c r="G594" s="59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</row>
    <row r="595" spans="1:22" s="594" customFormat="1">
      <c r="A595" s="76"/>
      <c r="B595" s="76"/>
      <c r="C595" s="73"/>
      <c r="D595" s="429"/>
      <c r="E595" s="73"/>
      <c r="F595" s="460"/>
      <c r="G595" s="59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</row>
    <row r="596" spans="1:22" s="594" customFormat="1">
      <c r="A596" s="76"/>
      <c r="B596" s="76"/>
      <c r="C596" s="73"/>
      <c r="D596" s="429"/>
      <c r="E596" s="73"/>
      <c r="F596" s="460"/>
      <c r="G596" s="59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</row>
    <row r="597" spans="1:22" s="594" customFormat="1">
      <c r="A597" s="76"/>
      <c r="B597" s="76"/>
      <c r="C597" s="73"/>
      <c r="D597" s="429"/>
      <c r="E597" s="73"/>
      <c r="F597" s="460"/>
      <c r="G597" s="59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</row>
    <row r="598" spans="1:22" s="594" customFormat="1">
      <c r="A598" s="76"/>
      <c r="B598" s="76"/>
      <c r="C598" s="73"/>
      <c r="D598" s="429"/>
      <c r="E598" s="73"/>
      <c r="F598" s="460"/>
      <c r="G598" s="59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</row>
    <row r="599" spans="1:22" s="594" customFormat="1">
      <c r="A599" s="76"/>
      <c r="B599" s="76"/>
      <c r="C599" s="73"/>
      <c r="D599" s="429"/>
      <c r="E599" s="73"/>
      <c r="F599" s="460"/>
      <c r="G599" s="59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</row>
    <row r="600" spans="1:22" s="594" customFormat="1">
      <c r="A600" s="76"/>
      <c r="B600" s="76"/>
      <c r="C600" s="73"/>
      <c r="D600" s="429"/>
      <c r="E600" s="73"/>
      <c r="F600" s="460"/>
      <c r="G600" s="59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</row>
    <row r="601" spans="1:22" s="594" customFormat="1">
      <c r="A601" s="76"/>
      <c r="B601" s="76"/>
      <c r="C601" s="73"/>
      <c r="D601" s="429"/>
      <c r="E601" s="73"/>
      <c r="F601" s="460"/>
      <c r="G601" s="59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</row>
    <row r="602" spans="1:22" s="594" customFormat="1">
      <c r="A602" s="76"/>
      <c r="B602" s="76"/>
      <c r="C602" s="73"/>
      <c r="D602" s="429"/>
      <c r="E602" s="73"/>
      <c r="F602" s="460"/>
      <c r="G602" s="59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</row>
    <row r="603" spans="1:22" s="594" customFormat="1">
      <c r="A603" s="76"/>
      <c r="B603" s="76"/>
      <c r="C603" s="73"/>
      <c r="D603" s="429"/>
      <c r="E603" s="73"/>
      <c r="F603" s="460"/>
      <c r="G603" s="59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</row>
    <row r="604" spans="1:22" s="594" customFormat="1">
      <c r="A604" s="76"/>
      <c r="B604" s="76"/>
      <c r="C604" s="73"/>
      <c r="D604" s="429"/>
      <c r="E604" s="73"/>
      <c r="F604" s="460"/>
      <c r="G604" s="59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</row>
    <row r="605" spans="1:22" s="594" customFormat="1">
      <c r="A605" s="76"/>
      <c r="B605" s="76"/>
      <c r="C605" s="73"/>
      <c r="D605" s="429"/>
      <c r="E605" s="73"/>
      <c r="F605" s="460"/>
      <c r="G605" s="59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</row>
    <row r="606" spans="1:22" s="594" customFormat="1">
      <c r="A606" s="76"/>
      <c r="B606" s="76"/>
      <c r="C606" s="73"/>
      <c r="D606" s="429"/>
      <c r="E606" s="73"/>
      <c r="F606" s="460"/>
      <c r="G606" s="59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</row>
    <row r="607" spans="1:22" s="594" customFormat="1">
      <c r="A607" s="76"/>
      <c r="B607" s="76"/>
      <c r="C607" s="73"/>
      <c r="D607" s="429"/>
      <c r="E607" s="73"/>
      <c r="F607" s="460"/>
      <c r="G607" s="59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</row>
    <row r="608" spans="1:22" s="594" customFormat="1">
      <c r="A608" s="76"/>
      <c r="B608" s="76"/>
      <c r="C608" s="73"/>
      <c r="D608" s="429"/>
      <c r="E608" s="73"/>
      <c r="F608" s="460"/>
      <c r="G608" s="59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</row>
    <row r="609" spans="1:22" s="594" customFormat="1">
      <c r="A609" s="76"/>
      <c r="B609" s="76"/>
      <c r="C609" s="73"/>
      <c r="D609" s="429"/>
      <c r="E609" s="73"/>
      <c r="F609" s="460"/>
      <c r="G609" s="59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</row>
    <row r="610" spans="1:22" s="594" customFormat="1">
      <c r="A610" s="76"/>
      <c r="B610" s="76"/>
      <c r="C610" s="73"/>
      <c r="D610" s="429"/>
      <c r="E610" s="73"/>
      <c r="F610" s="460"/>
      <c r="G610" s="59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</row>
    <row r="611" spans="1:22" s="594" customFormat="1">
      <c r="A611" s="76"/>
      <c r="B611" s="76"/>
      <c r="C611" s="73"/>
      <c r="D611" s="429"/>
      <c r="E611" s="73"/>
      <c r="F611" s="460"/>
      <c r="G611" s="59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</row>
    <row r="612" spans="1:22" s="594" customFormat="1">
      <c r="A612" s="76"/>
      <c r="B612" s="76"/>
      <c r="C612" s="73"/>
      <c r="D612" s="429"/>
      <c r="E612" s="73"/>
      <c r="F612" s="460"/>
      <c r="G612" s="59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</row>
    <row r="613" spans="1:22" s="594" customFormat="1">
      <c r="A613" s="76"/>
      <c r="B613" s="76"/>
      <c r="C613" s="73"/>
      <c r="D613" s="429"/>
      <c r="E613" s="73"/>
      <c r="F613" s="460"/>
      <c r="G613" s="59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</row>
    <row r="614" spans="1:22" s="594" customFormat="1">
      <c r="A614" s="76"/>
      <c r="B614" s="76"/>
      <c r="C614" s="73"/>
      <c r="D614" s="429"/>
      <c r="E614" s="73"/>
      <c r="F614" s="460"/>
      <c r="G614" s="59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</row>
    <row r="615" spans="1:22" s="594" customFormat="1">
      <c r="A615" s="76"/>
      <c r="B615" s="76"/>
      <c r="C615" s="73"/>
      <c r="D615" s="429"/>
      <c r="E615" s="73"/>
      <c r="F615" s="460"/>
      <c r="G615" s="59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</row>
    <row r="616" spans="1:22" s="594" customFormat="1">
      <c r="A616" s="76"/>
      <c r="B616" s="76"/>
      <c r="C616" s="73"/>
      <c r="D616" s="429"/>
      <c r="E616" s="73"/>
      <c r="F616" s="460"/>
      <c r="G616" s="59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</row>
    <row r="617" spans="1:22" s="594" customFormat="1">
      <c r="A617" s="76"/>
      <c r="B617" s="76"/>
      <c r="C617" s="73"/>
      <c r="D617" s="429"/>
      <c r="E617" s="73"/>
      <c r="F617" s="460"/>
      <c r="G617" s="59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</row>
    <row r="618" spans="1:22" s="594" customFormat="1">
      <c r="A618" s="76"/>
      <c r="B618" s="76"/>
      <c r="C618" s="73"/>
      <c r="D618" s="429"/>
      <c r="E618" s="73"/>
      <c r="F618" s="460"/>
      <c r="G618" s="59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</row>
    <row r="619" spans="1:22" s="594" customFormat="1">
      <c r="A619" s="76"/>
      <c r="B619" s="76"/>
      <c r="C619" s="73"/>
      <c r="D619" s="429"/>
      <c r="E619" s="73"/>
      <c r="F619" s="460"/>
      <c r="G619" s="59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</row>
    <row r="620" spans="1:22" s="594" customFormat="1">
      <c r="A620" s="76"/>
      <c r="B620" s="76"/>
      <c r="C620" s="73"/>
      <c r="D620" s="429"/>
      <c r="E620" s="73"/>
      <c r="F620" s="460"/>
      <c r="G620" s="59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</row>
    <row r="621" spans="1:22" s="594" customFormat="1">
      <c r="A621" s="76"/>
      <c r="B621" s="76"/>
      <c r="C621" s="73"/>
      <c r="D621" s="429"/>
      <c r="E621" s="73"/>
      <c r="F621" s="460"/>
      <c r="G621" s="59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</row>
    <row r="622" spans="1:22" s="594" customFormat="1">
      <c r="A622" s="76"/>
      <c r="B622" s="76"/>
      <c r="C622" s="73"/>
      <c r="D622" s="429"/>
      <c r="E622" s="73"/>
      <c r="F622" s="460"/>
      <c r="G622" s="59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</row>
    <row r="623" spans="1:22" s="594" customFormat="1">
      <c r="A623" s="76"/>
      <c r="B623" s="76"/>
      <c r="C623" s="73"/>
      <c r="D623" s="429"/>
      <c r="E623" s="73"/>
      <c r="F623" s="460"/>
      <c r="G623" s="59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</row>
    <row r="624" spans="1:22" s="594" customFormat="1">
      <c r="A624" s="76"/>
      <c r="B624" s="76"/>
      <c r="C624" s="73"/>
      <c r="D624" s="429"/>
      <c r="E624" s="73"/>
      <c r="F624" s="460"/>
      <c r="G624" s="59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</row>
    <row r="625" spans="1:22" s="594" customFormat="1">
      <c r="A625" s="76"/>
      <c r="B625" s="76"/>
      <c r="C625" s="73"/>
      <c r="D625" s="429"/>
      <c r="E625" s="73"/>
      <c r="F625" s="460"/>
      <c r="G625" s="59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</row>
    <row r="626" spans="1:22" s="594" customFormat="1">
      <c r="A626" s="76"/>
      <c r="B626" s="76"/>
      <c r="C626" s="73"/>
      <c r="D626" s="429"/>
      <c r="E626" s="73"/>
      <c r="F626" s="460"/>
      <c r="G626" s="59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</row>
    <row r="627" spans="1:22" s="594" customFormat="1">
      <c r="A627" s="76"/>
      <c r="B627" s="76"/>
      <c r="C627" s="73"/>
      <c r="D627" s="429"/>
      <c r="E627" s="73"/>
      <c r="F627" s="460"/>
      <c r="G627" s="59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</row>
    <row r="628" spans="1:22" s="594" customFormat="1">
      <c r="A628" s="76"/>
      <c r="B628" s="76"/>
      <c r="C628" s="73"/>
      <c r="D628" s="429"/>
      <c r="E628" s="73"/>
      <c r="F628" s="460"/>
      <c r="G628" s="59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</row>
    <row r="629" spans="1:22" s="594" customFormat="1">
      <c r="A629" s="76"/>
      <c r="B629" s="76"/>
      <c r="C629" s="73"/>
      <c r="D629" s="429"/>
      <c r="E629" s="73"/>
      <c r="F629" s="460"/>
      <c r="G629" s="59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</row>
    <row r="630" spans="1:22" s="594" customFormat="1">
      <c r="A630" s="76"/>
      <c r="B630" s="76"/>
      <c r="C630" s="73"/>
      <c r="D630" s="429"/>
      <c r="E630" s="73"/>
      <c r="F630" s="460"/>
      <c r="G630" s="59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</row>
    <row r="631" spans="1:22" s="594" customFormat="1">
      <c r="A631" s="76"/>
      <c r="B631" s="76"/>
      <c r="C631" s="73"/>
      <c r="D631" s="429"/>
      <c r="E631" s="73"/>
      <c r="F631" s="460"/>
      <c r="G631" s="59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</row>
    <row r="632" spans="1:22" s="594" customFormat="1">
      <c r="A632" s="76"/>
      <c r="B632" s="76"/>
      <c r="C632" s="73"/>
      <c r="D632" s="429"/>
      <c r="E632" s="73"/>
      <c r="F632" s="460"/>
      <c r="G632" s="59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</row>
    <row r="633" spans="1:22" s="594" customFormat="1">
      <c r="A633" s="76"/>
      <c r="B633" s="76"/>
      <c r="C633" s="73"/>
      <c r="D633" s="429"/>
      <c r="E633" s="73"/>
      <c r="F633" s="460"/>
      <c r="G633" s="59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</row>
    <row r="634" spans="1:22" s="594" customFormat="1">
      <c r="A634" s="76"/>
      <c r="B634" s="76"/>
      <c r="C634" s="73"/>
      <c r="D634" s="429"/>
      <c r="E634" s="73"/>
      <c r="F634" s="460"/>
      <c r="G634" s="59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</row>
    <row r="635" spans="1:22" s="594" customFormat="1">
      <c r="A635" s="76"/>
      <c r="B635" s="76"/>
      <c r="C635" s="73"/>
      <c r="D635" s="429"/>
      <c r="E635" s="73"/>
      <c r="F635" s="460"/>
      <c r="G635" s="59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</row>
    <row r="636" spans="1:22" s="594" customFormat="1">
      <c r="A636" s="76"/>
      <c r="B636" s="76"/>
      <c r="C636" s="73"/>
      <c r="D636" s="429"/>
      <c r="E636" s="73"/>
      <c r="F636" s="460"/>
      <c r="G636" s="59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</row>
    <row r="637" spans="1:22" s="594" customFormat="1">
      <c r="A637" s="76"/>
      <c r="B637" s="76"/>
      <c r="C637" s="73"/>
      <c r="D637" s="429"/>
      <c r="E637" s="73"/>
      <c r="F637" s="460"/>
      <c r="G637" s="59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</row>
    <row r="638" spans="1:22" s="594" customFormat="1">
      <c r="A638" s="76"/>
      <c r="B638" s="76"/>
      <c r="C638" s="73"/>
      <c r="D638" s="429"/>
      <c r="E638" s="73"/>
      <c r="F638" s="460"/>
      <c r="G638" s="59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</row>
    <row r="639" spans="1:22" s="594" customFormat="1">
      <c r="A639" s="76"/>
      <c r="B639" s="76"/>
      <c r="C639" s="73"/>
      <c r="D639" s="429"/>
      <c r="E639" s="73"/>
      <c r="F639" s="460"/>
      <c r="G639" s="59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</row>
    <row r="640" spans="1:22" s="594" customFormat="1">
      <c r="A640" s="76"/>
      <c r="B640" s="76"/>
      <c r="C640" s="73"/>
      <c r="D640" s="429"/>
      <c r="E640" s="73"/>
      <c r="F640" s="460"/>
      <c r="G640" s="59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</row>
    <row r="641" spans="1:22" s="594" customFormat="1">
      <c r="A641" s="76"/>
      <c r="B641" s="76"/>
      <c r="C641" s="73"/>
      <c r="D641" s="429"/>
      <c r="E641" s="73"/>
      <c r="F641" s="460"/>
      <c r="G641" s="59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</row>
    <row r="642" spans="1:22" s="594" customFormat="1">
      <c r="A642" s="76"/>
      <c r="B642" s="76"/>
      <c r="C642" s="73"/>
      <c r="D642" s="429"/>
      <c r="E642" s="73"/>
      <c r="F642" s="460"/>
      <c r="G642" s="59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</row>
    <row r="643" spans="1:22" s="594" customFormat="1">
      <c r="A643" s="76"/>
      <c r="B643" s="76"/>
      <c r="C643" s="73"/>
      <c r="D643" s="429"/>
      <c r="E643" s="73"/>
      <c r="F643" s="460"/>
      <c r="G643" s="59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</row>
    <row r="644" spans="1:22" s="594" customFormat="1">
      <c r="A644" s="76"/>
      <c r="B644" s="76"/>
      <c r="C644" s="73"/>
      <c r="D644" s="429"/>
      <c r="E644" s="73"/>
      <c r="F644" s="460"/>
      <c r="G644" s="59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</row>
    <row r="645" spans="1:22" s="594" customFormat="1">
      <c r="A645" s="76"/>
      <c r="B645" s="76"/>
      <c r="C645" s="73"/>
      <c r="D645" s="429"/>
      <c r="E645" s="73"/>
      <c r="F645" s="460"/>
      <c r="G645" s="59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</row>
    <row r="646" spans="1:22" s="594" customFormat="1">
      <c r="A646" s="76"/>
      <c r="B646" s="76"/>
      <c r="C646" s="73"/>
      <c r="D646" s="429"/>
      <c r="E646" s="73"/>
      <c r="F646" s="460"/>
      <c r="G646" s="59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</row>
    <row r="647" spans="1:22" s="594" customFormat="1">
      <c r="A647" s="76"/>
      <c r="B647" s="76"/>
      <c r="C647" s="73"/>
      <c r="D647" s="429"/>
      <c r="E647" s="73"/>
      <c r="F647" s="460"/>
      <c r="G647" s="59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</row>
    <row r="648" spans="1:22" s="594" customFormat="1">
      <c r="A648" s="76"/>
      <c r="B648" s="76"/>
      <c r="C648" s="73"/>
      <c r="D648" s="429"/>
      <c r="E648" s="73"/>
      <c r="F648" s="460"/>
      <c r="G648" s="59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</row>
    <row r="649" spans="1:22" s="594" customFormat="1">
      <c r="A649" s="76"/>
      <c r="B649" s="76"/>
      <c r="C649" s="73"/>
      <c r="D649" s="429"/>
      <c r="E649" s="73"/>
      <c r="F649" s="460"/>
      <c r="G649" s="59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</row>
    <row r="650" spans="1:22" s="594" customFormat="1">
      <c r="A650" s="76"/>
      <c r="B650" s="76"/>
      <c r="C650" s="73"/>
      <c r="D650" s="429"/>
      <c r="E650" s="73"/>
      <c r="F650" s="460"/>
      <c r="G650" s="59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</row>
    <row r="651" spans="1:22" s="594" customFormat="1">
      <c r="A651" s="76"/>
      <c r="B651" s="76"/>
      <c r="C651" s="73"/>
      <c r="D651" s="429"/>
      <c r="E651" s="73"/>
      <c r="F651" s="460"/>
      <c r="G651" s="59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</row>
    <row r="652" spans="1:22" s="594" customFormat="1">
      <c r="A652" s="76"/>
      <c r="B652" s="76"/>
      <c r="C652" s="73"/>
      <c r="D652" s="429"/>
      <c r="E652" s="73"/>
      <c r="F652" s="460"/>
      <c r="G652" s="59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</row>
    <row r="653" spans="1:22" s="594" customFormat="1">
      <c r="A653" s="76"/>
      <c r="B653" s="76"/>
      <c r="C653" s="73"/>
      <c r="D653" s="429"/>
      <c r="E653" s="73"/>
      <c r="F653" s="460"/>
      <c r="G653" s="59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</row>
    <row r="654" spans="1:22" s="594" customFormat="1">
      <c r="A654" s="76"/>
      <c r="B654" s="76"/>
      <c r="C654" s="73"/>
      <c r="D654" s="429"/>
      <c r="E654" s="73"/>
      <c r="F654" s="460"/>
      <c r="G654" s="59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</row>
    <row r="655" spans="1:22" s="594" customFormat="1">
      <c r="A655" s="76"/>
      <c r="B655" s="76"/>
      <c r="C655" s="73"/>
      <c r="D655" s="429"/>
      <c r="E655" s="73"/>
      <c r="F655" s="460"/>
      <c r="G655" s="59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</row>
    <row r="656" spans="1:22" s="594" customFormat="1">
      <c r="A656" s="76"/>
      <c r="B656" s="76"/>
      <c r="C656" s="73"/>
      <c r="D656" s="429"/>
      <c r="E656" s="73"/>
      <c r="F656" s="460"/>
      <c r="G656" s="59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</row>
    <row r="657" spans="1:22" s="594" customFormat="1">
      <c r="A657" s="76"/>
      <c r="B657" s="76"/>
      <c r="C657" s="73"/>
      <c r="D657" s="429"/>
      <c r="E657" s="73"/>
      <c r="F657" s="460"/>
      <c r="G657" s="59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</row>
    <row r="658" spans="1:22" s="594" customFormat="1">
      <c r="A658" s="76"/>
      <c r="B658" s="76"/>
      <c r="C658" s="73"/>
      <c r="D658" s="429"/>
      <c r="E658" s="73"/>
      <c r="F658" s="460"/>
      <c r="G658" s="59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</row>
    <row r="659" spans="1:22" s="594" customFormat="1">
      <c r="A659" s="76"/>
      <c r="B659" s="76"/>
      <c r="C659" s="73"/>
      <c r="D659" s="429"/>
      <c r="E659" s="73"/>
      <c r="F659" s="460"/>
      <c r="G659" s="59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</row>
    <row r="660" spans="1:22" s="594" customFormat="1">
      <c r="A660" s="76"/>
      <c r="B660" s="76"/>
      <c r="C660" s="73"/>
      <c r="D660" s="429"/>
      <c r="E660" s="73"/>
      <c r="F660" s="460"/>
      <c r="G660" s="59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</row>
    <row r="661" spans="1:22" s="594" customFormat="1">
      <c r="A661" s="76"/>
      <c r="B661" s="76"/>
      <c r="C661" s="73"/>
      <c r="D661" s="429"/>
      <c r="E661" s="73"/>
      <c r="F661" s="460"/>
      <c r="G661" s="59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</row>
    <row r="662" spans="1:22" s="594" customFormat="1">
      <c r="A662" s="76"/>
      <c r="B662" s="76"/>
      <c r="C662" s="73"/>
      <c r="D662" s="429"/>
      <c r="E662" s="73"/>
      <c r="F662" s="460"/>
      <c r="G662" s="59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</row>
    <row r="663" spans="1:22" s="594" customFormat="1">
      <c r="A663" s="76"/>
      <c r="B663" s="76"/>
      <c r="C663" s="73"/>
      <c r="D663" s="429"/>
      <c r="E663" s="73"/>
      <c r="F663" s="460"/>
      <c r="G663" s="59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</row>
    <row r="664" spans="1:22" s="594" customFormat="1">
      <c r="A664" s="76"/>
      <c r="B664" s="76"/>
      <c r="C664" s="73"/>
      <c r="D664" s="429"/>
      <c r="E664" s="73"/>
      <c r="F664" s="460"/>
      <c r="G664" s="59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</row>
    <row r="665" spans="1:22" s="594" customFormat="1">
      <c r="A665" s="76"/>
      <c r="B665" s="76"/>
      <c r="C665" s="73"/>
      <c r="D665" s="429"/>
      <c r="E665" s="73"/>
      <c r="F665" s="460"/>
      <c r="G665" s="59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</row>
    <row r="666" spans="1:22" s="594" customFormat="1">
      <c r="A666" s="76"/>
      <c r="B666" s="76"/>
      <c r="C666" s="73"/>
      <c r="D666" s="429"/>
      <c r="E666" s="73"/>
      <c r="F666" s="460"/>
      <c r="G666" s="59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</row>
    <row r="667" spans="1:22" s="594" customFormat="1">
      <c r="A667" s="76"/>
      <c r="B667" s="76"/>
      <c r="C667" s="73"/>
      <c r="D667" s="429"/>
      <c r="E667" s="73"/>
      <c r="F667" s="460"/>
      <c r="G667" s="59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</row>
    <row r="668" spans="1:22" s="594" customFormat="1">
      <c r="A668" s="76"/>
      <c r="B668" s="76"/>
      <c r="C668" s="73"/>
      <c r="D668" s="429"/>
      <c r="E668" s="73"/>
      <c r="F668" s="460"/>
      <c r="G668" s="59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</row>
    <row r="669" spans="1:22" s="594" customFormat="1">
      <c r="A669" s="76"/>
      <c r="B669" s="76"/>
      <c r="C669" s="73"/>
      <c r="D669" s="429"/>
      <c r="E669" s="73"/>
      <c r="F669" s="460"/>
      <c r="G669" s="59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</row>
    <row r="670" spans="1:22" s="594" customFormat="1">
      <c r="A670" s="76"/>
      <c r="B670" s="76"/>
      <c r="C670" s="73"/>
      <c r="D670" s="429"/>
      <c r="E670" s="73"/>
      <c r="F670" s="460"/>
      <c r="G670" s="59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</row>
    <row r="671" spans="1:22" s="594" customFormat="1">
      <c r="A671" s="76"/>
      <c r="B671" s="76"/>
      <c r="C671" s="73"/>
      <c r="D671" s="429"/>
      <c r="E671" s="73"/>
      <c r="F671" s="460"/>
      <c r="G671" s="59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</row>
    <row r="672" spans="1:22" s="594" customFormat="1">
      <c r="A672" s="76"/>
      <c r="B672" s="76"/>
      <c r="C672" s="73"/>
      <c r="D672" s="429"/>
      <c r="E672" s="73"/>
      <c r="F672" s="460"/>
      <c r="G672" s="59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</row>
    <row r="673" spans="1:22" s="594" customFormat="1">
      <c r="A673" s="76"/>
      <c r="B673" s="76"/>
      <c r="C673" s="73"/>
      <c r="D673" s="429"/>
      <c r="E673" s="73"/>
      <c r="F673" s="460"/>
      <c r="G673" s="59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</row>
    <row r="674" spans="1:22" s="594" customFormat="1">
      <c r="A674" s="76"/>
      <c r="B674" s="76"/>
      <c r="C674" s="73"/>
      <c r="D674" s="429"/>
      <c r="E674" s="73"/>
      <c r="F674" s="460"/>
      <c r="G674" s="59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</row>
    <row r="675" spans="1:22" s="594" customFormat="1">
      <c r="A675" s="76"/>
      <c r="B675" s="76"/>
      <c r="C675" s="73"/>
      <c r="D675" s="429"/>
      <c r="E675" s="73"/>
      <c r="F675" s="460"/>
      <c r="G675" s="59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</row>
    <row r="676" spans="1:22" s="594" customFormat="1">
      <c r="A676" s="76"/>
      <c r="B676" s="76"/>
      <c r="C676" s="73"/>
      <c r="D676" s="429"/>
      <c r="E676" s="73"/>
      <c r="F676" s="460"/>
      <c r="G676" s="59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</row>
    <row r="677" spans="1:22" s="594" customFormat="1">
      <c r="A677" s="76"/>
      <c r="B677" s="76"/>
      <c r="C677" s="73"/>
      <c r="D677" s="429"/>
      <c r="E677" s="73"/>
      <c r="F677" s="460"/>
      <c r="G677" s="59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</row>
    <row r="678" spans="1:22" s="594" customFormat="1">
      <c r="A678" s="76"/>
      <c r="B678" s="76"/>
      <c r="C678" s="73"/>
      <c r="D678" s="429"/>
      <c r="E678" s="73"/>
      <c r="F678" s="460"/>
      <c r="G678" s="59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</row>
  </sheetData>
  <autoFilter ref="A29:E29"/>
  <mergeCells count="4">
    <mergeCell ref="A8:I8"/>
    <mergeCell ref="A20:W20"/>
    <mergeCell ref="Q1:T2"/>
    <mergeCell ref="Q14:U14"/>
  </mergeCells>
  <printOptions horizontalCentered="1"/>
  <pageMargins left="0" right="0" top="0.19685039370078741" bottom="0.19685039370078741" header="0.31496062992125984" footer="0.31496062992125984"/>
  <pageSetup paperSize="9" scale="50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6.140625" bestFit="1" customWidth="1"/>
    <col min="2" max="2" width="19.7109375" customWidth="1"/>
    <col min="3" max="3" width="62.85546875" customWidth="1"/>
    <col min="4" max="4" width="9.7109375" bestFit="1" customWidth="1"/>
    <col min="5" max="5" width="9.7109375" hidden="1" customWidth="1"/>
    <col min="6" max="7" width="18.85546875" style="258" customWidth="1"/>
    <col min="8" max="8" width="18" bestFit="1" customWidth="1"/>
  </cols>
  <sheetData>
    <row r="1" spans="1:8" ht="26.25" thickBot="1">
      <c r="A1" s="257" t="s">
        <v>120</v>
      </c>
      <c r="B1" s="360" t="s">
        <v>2233</v>
      </c>
      <c r="C1" s="360" t="s">
        <v>121</v>
      </c>
      <c r="D1" s="360" t="s">
        <v>1936</v>
      </c>
      <c r="E1" s="360"/>
      <c r="F1" s="361" t="s">
        <v>3632</v>
      </c>
      <c r="G1" s="361" t="s">
        <v>3633</v>
      </c>
      <c r="H1" s="595" t="s">
        <v>5197</v>
      </c>
    </row>
    <row r="2" spans="1:8">
      <c r="A2" s="388" t="s">
        <v>1842</v>
      </c>
      <c r="B2" s="410" t="s">
        <v>3635</v>
      </c>
      <c r="C2" s="410" t="s">
        <v>3636</v>
      </c>
      <c r="D2" s="411"/>
      <c r="E2" s="411"/>
      <c r="F2" s="417"/>
      <c r="G2" s="417"/>
    </row>
    <row r="3" spans="1:8">
      <c r="A3" s="388" t="s">
        <v>1963</v>
      </c>
      <c r="B3" s="363" t="s">
        <v>3637</v>
      </c>
      <c r="C3" s="363" t="s">
        <v>3638</v>
      </c>
      <c r="D3" s="378"/>
      <c r="E3" s="378"/>
      <c r="F3" s="391"/>
      <c r="G3" s="391"/>
    </row>
    <row r="4" spans="1:8">
      <c r="A4" s="388" t="s">
        <v>1966</v>
      </c>
      <c r="B4" s="363" t="s">
        <v>3639</v>
      </c>
      <c r="C4" s="363" t="s">
        <v>3640</v>
      </c>
      <c r="D4" s="378"/>
      <c r="E4" s="378"/>
      <c r="F4" s="391"/>
      <c r="G4" s="391"/>
    </row>
    <row r="5" spans="1:8">
      <c r="A5" s="388" t="s">
        <v>1968</v>
      </c>
      <c r="B5" s="363" t="s">
        <v>3641</v>
      </c>
      <c r="C5" s="363" t="s">
        <v>3642</v>
      </c>
      <c r="D5" s="378"/>
      <c r="E5" s="378"/>
      <c r="F5" s="391"/>
      <c r="G5" s="391"/>
    </row>
    <row r="6" spans="1:8">
      <c r="A6" s="388" t="s">
        <v>1970</v>
      </c>
      <c r="B6" s="363" t="s">
        <v>3643</v>
      </c>
      <c r="C6" s="363" t="s">
        <v>3644</v>
      </c>
      <c r="D6" s="378"/>
      <c r="E6" s="378"/>
      <c r="F6" s="391"/>
      <c r="G6" s="391"/>
    </row>
    <row r="7" spans="1:8">
      <c r="A7" s="366" t="s">
        <v>1972</v>
      </c>
      <c r="B7" s="366" t="s">
        <v>3645</v>
      </c>
      <c r="C7" s="367" t="s">
        <v>3646</v>
      </c>
      <c r="D7" s="412"/>
      <c r="E7" s="412" t="str">
        <f>+B6</f>
        <v>AAA020</v>
      </c>
      <c r="F7" s="393"/>
      <c r="G7" s="393"/>
    </row>
    <row r="8" spans="1:8">
      <c r="A8" s="388" t="s">
        <v>1970</v>
      </c>
      <c r="B8" s="363" t="s">
        <v>3647</v>
      </c>
      <c r="C8" s="363" t="s">
        <v>3648</v>
      </c>
      <c r="D8" s="378"/>
      <c r="E8" s="378"/>
      <c r="F8" s="391"/>
      <c r="G8" s="391"/>
    </row>
    <row r="9" spans="1:8">
      <c r="A9" s="366" t="s">
        <v>1972</v>
      </c>
      <c r="B9" s="366" t="s">
        <v>3649</v>
      </c>
      <c r="C9" s="367" t="s">
        <v>3650</v>
      </c>
      <c r="D9" s="412"/>
      <c r="E9" s="412" t="str">
        <f>+B8</f>
        <v>AAA030</v>
      </c>
      <c r="F9" s="393"/>
      <c r="G9" s="393"/>
      <c r="H9" t="s">
        <v>5196</v>
      </c>
    </row>
    <row r="10" spans="1:8">
      <c r="A10" s="388" t="s">
        <v>1968</v>
      </c>
      <c r="B10" s="363" t="s">
        <v>3651</v>
      </c>
      <c r="C10" s="363" t="s">
        <v>3652</v>
      </c>
      <c r="D10" s="378"/>
      <c r="E10" s="378"/>
      <c r="F10" s="391"/>
      <c r="G10" s="391"/>
    </row>
    <row r="11" spans="1:8">
      <c r="A11" s="388" t="s">
        <v>1970</v>
      </c>
      <c r="B11" s="363" t="s">
        <v>3653</v>
      </c>
      <c r="C11" s="363" t="s">
        <v>3654</v>
      </c>
      <c r="D11" s="378"/>
      <c r="E11" s="378"/>
      <c r="F11" s="391"/>
      <c r="G11" s="391"/>
    </row>
    <row r="12" spans="1:8">
      <c r="A12" s="366" t="s">
        <v>1972</v>
      </c>
      <c r="B12" s="366" t="s">
        <v>3655</v>
      </c>
      <c r="C12" s="367" t="s">
        <v>3656</v>
      </c>
      <c r="D12" s="412"/>
      <c r="E12" s="412" t="str">
        <f>+B11</f>
        <v>AAA050</v>
      </c>
      <c r="F12" s="393">
        <v>60773.06</v>
      </c>
      <c r="G12" s="393">
        <v>60773.06</v>
      </c>
    </row>
    <row r="13" spans="1:8">
      <c r="A13" s="388" t="s">
        <v>1970</v>
      </c>
      <c r="B13" s="363" t="s">
        <v>3657</v>
      </c>
      <c r="C13" s="363" t="s">
        <v>3658</v>
      </c>
      <c r="D13" s="378"/>
      <c r="E13" s="378"/>
      <c r="F13" s="391"/>
      <c r="G13" s="391"/>
    </row>
    <row r="14" spans="1:8">
      <c r="A14" s="366" t="s">
        <v>1972</v>
      </c>
      <c r="B14" s="366" t="s">
        <v>3659</v>
      </c>
      <c r="C14" s="367" t="s">
        <v>3660</v>
      </c>
      <c r="D14" s="412"/>
      <c r="E14" s="412" t="str">
        <f>+B13</f>
        <v>AAA060</v>
      </c>
      <c r="F14" s="393">
        <v>-60773.06</v>
      </c>
      <c r="G14" s="393">
        <v>-60773.06</v>
      </c>
      <c r="H14" t="s">
        <v>5196</v>
      </c>
    </row>
    <row r="15" spans="1:8">
      <c r="A15" s="388" t="s">
        <v>1968</v>
      </c>
      <c r="B15" s="363" t="s">
        <v>3661</v>
      </c>
      <c r="C15" s="363" t="s">
        <v>3662</v>
      </c>
      <c r="D15" s="378"/>
      <c r="E15" s="378"/>
      <c r="F15" s="391"/>
      <c r="G15" s="391"/>
    </row>
    <row r="16" spans="1:8" ht="25.5">
      <c r="A16" s="388" t="s">
        <v>1970</v>
      </c>
      <c r="B16" s="363" t="s">
        <v>3663</v>
      </c>
      <c r="C16" s="363" t="s">
        <v>3664</v>
      </c>
      <c r="D16" s="378"/>
      <c r="E16" s="378"/>
      <c r="F16" s="391"/>
      <c r="G16" s="391"/>
    </row>
    <row r="17" spans="1:8" ht="24">
      <c r="A17" s="366" t="s">
        <v>1972</v>
      </c>
      <c r="B17" s="366" t="s">
        <v>3665</v>
      </c>
      <c r="C17" s="367" t="s">
        <v>3666</v>
      </c>
      <c r="D17" s="412"/>
      <c r="E17" s="412" t="str">
        <f>+B16</f>
        <v>AAA080</v>
      </c>
      <c r="F17" s="393"/>
      <c r="G17" s="393"/>
    </row>
    <row r="18" spans="1:8" ht="25.5">
      <c r="A18" s="388" t="s">
        <v>1970</v>
      </c>
      <c r="B18" s="363" t="s">
        <v>3667</v>
      </c>
      <c r="C18" s="363" t="s">
        <v>3668</v>
      </c>
      <c r="D18" s="378"/>
      <c r="E18" s="378"/>
      <c r="F18" s="391"/>
      <c r="G18" s="391"/>
    </row>
    <row r="19" spans="1:8" ht="24">
      <c r="A19" s="366" t="s">
        <v>1972</v>
      </c>
      <c r="B19" s="366" t="s">
        <v>3669</v>
      </c>
      <c r="C19" s="367" t="s">
        <v>3670</v>
      </c>
      <c r="D19" s="412"/>
      <c r="E19" s="412" t="str">
        <f>+B18</f>
        <v>AAA090</v>
      </c>
      <c r="F19" s="393"/>
      <c r="G19" s="393"/>
      <c r="H19" t="s">
        <v>5196</v>
      </c>
    </row>
    <row r="20" spans="1:8" ht="25.5">
      <c r="A20" s="388" t="s">
        <v>1970</v>
      </c>
      <c r="B20" s="363" t="s">
        <v>3671</v>
      </c>
      <c r="C20" s="363" t="s">
        <v>3672</v>
      </c>
      <c r="D20" s="378"/>
      <c r="E20" s="378"/>
      <c r="F20" s="391"/>
      <c r="G20" s="391"/>
    </row>
    <row r="21" spans="1:8">
      <c r="A21" s="366" t="s">
        <v>1972</v>
      </c>
      <c r="B21" s="366" t="s">
        <v>3673</v>
      </c>
      <c r="C21" s="367" t="s">
        <v>3674</v>
      </c>
      <c r="D21" s="412"/>
      <c r="E21" s="412" t="str">
        <f>+B20</f>
        <v>AAA100</v>
      </c>
      <c r="F21" s="393">
        <v>7278.97</v>
      </c>
      <c r="G21" s="393">
        <v>7278.97</v>
      </c>
    </row>
    <row r="22" spans="1:8" ht="25.5">
      <c r="A22" s="388" t="s">
        <v>1970</v>
      </c>
      <c r="B22" s="363" t="s">
        <v>3675</v>
      </c>
      <c r="C22" s="363" t="s">
        <v>3676</v>
      </c>
      <c r="D22" s="378"/>
      <c r="E22" s="378"/>
      <c r="F22" s="391"/>
      <c r="G22" s="391"/>
    </row>
    <row r="23" spans="1:8" ht="24">
      <c r="A23" s="366" t="s">
        <v>1972</v>
      </c>
      <c r="B23" s="366" t="s">
        <v>3677</v>
      </c>
      <c r="C23" s="367" t="s">
        <v>3678</v>
      </c>
      <c r="D23" s="412"/>
      <c r="E23" s="412" t="str">
        <f>+B22</f>
        <v>AAA110</v>
      </c>
      <c r="F23" s="393"/>
      <c r="G23" s="393"/>
      <c r="H23" t="s">
        <v>5196</v>
      </c>
    </row>
    <row r="24" spans="1:8">
      <c r="A24" s="388" t="s">
        <v>1968</v>
      </c>
      <c r="B24" s="363" t="s">
        <v>3679</v>
      </c>
      <c r="C24" s="363" t="s">
        <v>3680</v>
      </c>
      <c r="D24" s="378"/>
      <c r="E24" s="378"/>
      <c r="F24" s="391"/>
      <c r="G24" s="391"/>
    </row>
    <row r="25" spans="1:8">
      <c r="A25" s="366"/>
      <c r="B25" s="366" t="s">
        <v>3681</v>
      </c>
      <c r="C25" s="367" t="s">
        <v>3682</v>
      </c>
      <c r="D25" s="412"/>
      <c r="E25" s="412" t="str">
        <f>+B24</f>
        <v>AAA120</v>
      </c>
      <c r="F25" s="393">
        <v>94555.05</v>
      </c>
      <c r="G25" s="393">
        <v>94555.05</v>
      </c>
    </row>
    <row r="26" spans="1:8">
      <c r="A26" s="388" t="s">
        <v>1968</v>
      </c>
      <c r="B26" s="363" t="s">
        <v>3683</v>
      </c>
      <c r="C26" s="363" t="s">
        <v>3684</v>
      </c>
      <c r="D26" s="378"/>
      <c r="E26" s="378"/>
      <c r="F26" s="391"/>
      <c r="G26" s="391"/>
    </row>
    <row r="27" spans="1:8">
      <c r="A27" s="388" t="s">
        <v>1970</v>
      </c>
      <c r="B27" s="363" t="s">
        <v>3685</v>
      </c>
      <c r="C27" s="363" t="s">
        <v>3686</v>
      </c>
      <c r="D27" s="378"/>
      <c r="E27" s="378"/>
      <c r="F27" s="391"/>
      <c r="G27" s="391"/>
    </row>
    <row r="28" spans="1:8">
      <c r="A28" s="414" t="s">
        <v>1972</v>
      </c>
      <c r="B28" s="414" t="s">
        <v>3687</v>
      </c>
      <c r="C28" s="415" t="s">
        <v>3688</v>
      </c>
      <c r="D28" s="416"/>
      <c r="E28" s="412" t="str">
        <f>+B27</f>
        <v>AAA140</v>
      </c>
      <c r="F28" s="597">
        <v>6974291.8700000001</v>
      </c>
      <c r="G28" s="597">
        <v>6814311.5099999998</v>
      </c>
    </row>
    <row r="29" spans="1:8">
      <c r="A29" s="388" t="s">
        <v>1970</v>
      </c>
      <c r="B29" s="363" t="s">
        <v>3689</v>
      </c>
      <c r="C29" s="363" t="s">
        <v>3690</v>
      </c>
      <c r="D29" s="378"/>
      <c r="E29" s="378"/>
      <c r="F29" s="391"/>
      <c r="G29" s="391"/>
    </row>
    <row r="30" spans="1:8">
      <c r="A30" s="366" t="s">
        <v>1972</v>
      </c>
      <c r="B30" s="366" t="s">
        <v>3691</v>
      </c>
      <c r="C30" s="367" t="s">
        <v>3692</v>
      </c>
      <c r="D30" s="412"/>
      <c r="E30" s="412" t="str">
        <f>+B29</f>
        <v>AAA150</v>
      </c>
      <c r="F30" s="393">
        <v>-6254896.6399999997</v>
      </c>
      <c r="G30" s="393">
        <v>-6029164.9000000004</v>
      </c>
      <c r="H30" t="s">
        <v>5196</v>
      </c>
    </row>
    <row r="31" spans="1:8">
      <c r="A31" s="388" t="s">
        <v>1970</v>
      </c>
      <c r="B31" s="363" t="s">
        <v>3693</v>
      </c>
      <c r="C31" s="363" t="s">
        <v>3694</v>
      </c>
      <c r="D31" s="378"/>
      <c r="E31" s="378"/>
      <c r="F31" s="391"/>
      <c r="G31" s="391"/>
    </row>
    <row r="32" spans="1:8">
      <c r="A32" s="366" t="s">
        <v>1972</v>
      </c>
      <c r="B32" s="366" t="s">
        <v>3695</v>
      </c>
      <c r="C32" s="367" t="s">
        <v>3696</v>
      </c>
      <c r="D32" s="412"/>
      <c r="E32" s="412" t="str">
        <f>+B31</f>
        <v>AAA160</v>
      </c>
      <c r="F32" s="393">
        <v>1443598.06</v>
      </c>
      <c r="G32" s="393">
        <v>1413903.58</v>
      </c>
    </row>
    <row r="33" spans="1:8">
      <c r="A33" s="388" t="s">
        <v>1970</v>
      </c>
      <c r="B33" s="363" t="s">
        <v>3697</v>
      </c>
      <c r="C33" s="363" t="s">
        <v>3698</v>
      </c>
      <c r="D33" s="378"/>
      <c r="E33" s="378"/>
      <c r="F33" s="391"/>
      <c r="G33" s="391"/>
    </row>
    <row r="34" spans="1:8">
      <c r="A34" s="366" t="s">
        <v>1972</v>
      </c>
      <c r="B34" s="366" t="s">
        <v>3699</v>
      </c>
      <c r="C34" s="367" t="s">
        <v>3700</v>
      </c>
      <c r="D34" s="412"/>
      <c r="E34" s="412" t="str">
        <f>+B33</f>
        <v>AAA170</v>
      </c>
      <c r="F34" s="393">
        <v>-620850.37</v>
      </c>
      <c r="G34" s="393">
        <v>-578581.9</v>
      </c>
      <c r="H34" t="s">
        <v>5196</v>
      </c>
    </row>
    <row r="35" spans="1:8">
      <c r="A35" s="388" t="s">
        <v>1970</v>
      </c>
      <c r="B35" s="363" t="s">
        <v>3701</v>
      </c>
      <c r="C35" s="363" t="s">
        <v>3702</v>
      </c>
      <c r="D35" s="378"/>
      <c r="E35" s="378"/>
      <c r="F35" s="391"/>
      <c r="G35" s="391"/>
    </row>
    <row r="36" spans="1:8">
      <c r="A36" s="366" t="s">
        <v>1972</v>
      </c>
      <c r="B36" s="366" t="s">
        <v>3703</v>
      </c>
      <c r="C36" s="367" t="s">
        <v>3704</v>
      </c>
      <c r="D36" s="412"/>
      <c r="E36" s="412" t="str">
        <f>+B35</f>
        <v>AAA180</v>
      </c>
      <c r="F36" s="393"/>
      <c r="G36" s="393"/>
    </row>
    <row r="37" spans="1:8">
      <c r="A37" s="388" t="s">
        <v>1970</v>
      </c>
      <c r="B37" s="363" t="s">
        <v>3705</v>
      </c>
      <c r="C37" s="363" t="s">
        <v>3706</v>
      </c>
      <c r="D37" s="378"/>
      <c r="E37" s="378"/>
      <c r="F37" s="391"/>
      <c r="G37" s="391"/>
    </row>
    <row r="38" spans="1:8">
      <c r="A38" s="366" t="s">
        <v>1972</v>
      </c>
      <c r="B38" s="366" t="s">
        <v>3707</v>
      </c>
      <c r="C38" s="367" t="s">
        <v>3708</v>
      </c>
      <c r="D38" s="412"/>
      <c r="E38" s="412" t="str">
        <f>+B37</f>
        <v>AAA190</v>
      </c>
      <c r="F38" s="393"/>
      <c r="G38" s="393"/>
      <c r="H38" t="s">
        <v>5196</v>
      </c>
    </row>
    <row r="39" spans="1:8">
      <c r="A39" s="388" t="s">
        <v>1970</v>
      </c>
      <c r="B39" s="363" t="s">
        <v>3709</v>
      </c>
      <c r="C39" s="363" t="s">
        <v>3710</v>
      </c>
      <c r="D39" s="378"/>
      <c r="E39" s="378"/>
      <c r="F39" s="391"/>
      <c r="G39" s="391"/>
    </row>
    <row r="40" spans="1:8">
      <c r="A40" s="366" t="s">
        <v>1972</v>
      </c>
      <c r="B40" s="366" t="s">
        <v>3711</v>
      </c>
      <c r="C40" s="367" t="s">
        <v>3712</v>
      </c>
      <c r="D40" s="412"/>
      <c r="E40" s="412" t="str">
        <f>+B39</f>
        <v>AAA200</v>
      </c>
      <c r="F40" s="393"/>
      <c r="G40" s="393"/>
    </row>
    <row r="41" spans="1:8">
      <c r="A41" s="388" t="s">
        <v>1970</v>
      </c>
      <c r="B41" s="363" t="s">
        <v>3713</v>
      </c>
      <c r="C41" s="363" t="s">
        <v>3714</v>
      </c>
      <c r="D41" s="378"/>
      <c r="E41" s="378"/>
      <c r="F41" s="391"/>
      <c r="G41" s="391"/>
    </row>
    <row r="42" spans="1:8">
      <c r="A42" s="366" t="s">
        <v>1972</v>
      </c>
      <c r="B42" s="366" t="s">
        <v>3715</v>
      </c>
      <c r="C42" s="367" t="s">
        <v>3716</v>
      </c>
      <c r="D42" s="412"/>
      <c r="E42" s="412" t="str">
        <f>+B41</f>
        <v>AAA210</v>
      </c>
      <c r="F42" s="795"/>
      <c r="G42" s="393"/>
      <c r="H42" t="s">
        <v>5196</v>
      </c>
    </row>
    <row r="43" spans="1:8">
      <c r="A43" s="388" t="s">
        <v>1968</v>
      </c>
      <c r="B43" s="363" t="s">
        <v>3717</v>
      </c>
      <c r="C43" s="363" t="s">
        <v>3718</v>
      </c>
      <c r="D43" s="378"/>
      <c r="E43" s="378"/>
      <c r="F43" s="391"/>
      <c r="G43" s="391"/>
    </row>
    <row r="44" spans="1:8">
      <c r="A44" s="388" t="s">
        <v>1970</v>
      </c>
      <c r="B44" s="363" t="s">
        <v>3719</v>
      </c>
      <c r="C44" s="363" t="s">
        <v>3720</v>
      </c>
      <c r="D44" s="378"/>
      <c r="E44" s="378"/>
      <c r="F44" s="391"/>
      <c r="G44" s="391"/>
    </row>
    <row r="45" spans="1:8">
      <c r="A45" s="366" t="s">
        <v>1972</v>
      </c>
      <c r="B45" s="366" t="s">
        <v>3721</v>
      </c>
      <c r="C45" s="367" t="s">
        <v>3722</v>
      </c>
      <c r="D45" s="412"/>
      <c r="E45" s="412" t="str">
        <f>+B44</f>
        <v>AAA230</v>
      </c>
      <c r="F45" s="393"/>
      <c r="G45" s="393"/>
      <c r="H45" t="s">
        <v>5196</v>
      </c>
    </row>
    <row r="46" spans="1:8">
      <c r="A46" s="388" t="s">
        <v>1970</v>
      </c>
      <c r="B46" s="363" t="s">
        <v>3723</v>
      </c>
      <c r="C46" s="363" t="s">
        <v>3724</v>
      </c>
      <c r="D46" s="378"/>
      <c r="E46" s="378"/>
      <c r="F46" s="391"/>
      <c r="G46" s="391"/>
    </row>
    <row r="47" spans="1:8">
      <c r="A47" s="366" t="s">
        <v>1972</v>
      </c>
      <c r="B47" s="366" t="s">
        <v>3725</v>
      </c>
      <c r="C47" s="367" t="s">
        <v>3726</v>
      </c>
      <c r="D47" s="412"/>
      <c r="E47" s="412" t="str">
        <f>+B46</f>
        <v>AAA240</v>
      </c>
      <c r="F47" s="393"/>
      <c r="G47" s="393"/>
      <c r="H47" t="s">
        <v>5196</v>
      </c>
    </row>
    <row r="48" spans="1:8" ht="25.5">
      <c r="A48" s="388" t="s">
        <v>1970</v>
      </c>
      <c r="B48" s="363" t="s">
        <v>3727</v>
      </c>
      <c r="C48" s="363" t="s">
        <v>3728</v>
      </c>
      <c r="D48" s="378"/>
      <c r="E48" s="378"/>
      <c r="F48" s="391"/>
      <c r="G48" s="391"/>
    </row>
    <row r="49" spans="1:8">
      <c r="A49" s="366" t="s">
        <v>1972</v>
      </c>
      <c r="B49" s="366" t="s">
        <v>3729</v>
      </c>
      <c r="C49" s="367" t="s">
        <v>3730</v>
      </c>
      <c r="D49" s="412"/>
      <c r="E49" s="412" t="str">
        <f>+B48</f>
        <v>AAA250</v>
      </c>
      <c r="F49" s="393"/>
      <c r="G49" s="393"/>
      <c r="H49" t="s">
        <v>5196</v>
      </c>
    </row>
    <row r="50" spans="1:8">
      <c r="A50" s="388" t="s">
        <v>1970</v>
      </c>
      <c r="B50" s="363" t="s">
        <v>3731</v>
      </c>
      <c r="C50" s="363" t="s">
        <v>3732</v>
      </c>
      <c r="D50" s="378"/>
      <c r="E50" s="378"/>
      <c r="F50" s="391"/>
      <c r="G50" s="391"/>
    </row>
    <row r="51" spans="1:8">
      <c r="A51" s="366" t="s">
        <v>1972</v>
      </c>
      <c r="B51" s="366" t="s">
        <v>3733</v>
      </c>
      <c r="C51" s="367" t="s">
        <v>3734</v>
      </c>
      <c r="D51" s="412"/>
      <c r="E51" s="412" t="str">
        <f>+B50</f>
        <v>AAA260</v>
      </c>
      <c r="F51" s="393"/>
      <c r="G51" s="393"/>
      <c r="H51" t="s">
        <v>5196</v>
      </c>
    </row>
    <row r="52" spans="1:8">
      <c r="A52" s="388" t="s">
        <v>1966</v>
      </c>
      <c r="B52" s="363" t="s">
        <v>3735</v>
      </c>
      <c r="C52" s="363" t="s">
        <v>3736</v>
      </c>
      <c r="D52" s="378"/>
      <c r="E52" s="378"/>
      <c r="F52" s="391"/>
      <c r="G52" s="391"/>
    </row>
    <row r="53" spans="1:8">
      <c r="A53" s="388" t="s">
        <v>1968</v>
      </c>
      <c r="B53" s="363" t="s">
        <v>3737</v>
      </c>
      <c r="C53" s="363" t="s">
        <v>3738</v>
      </c>
      <c r="D53" s="378"/>
      <c r="E53" s="378"/>
      <c r="F53" s="391"/>
      <c r="G53" s="391"/>
    </row>
    <row r="54" spans="1:8">
      <c r="A54" s="388" t="s">
        <v>1970</v>
      </c>
      <c r="B54" s="363" t="s">
        <v>3739</v>
      </c>
      <c r="C54" s="363" t="s">
        <v>3740</v>
      </c>
      <c r="D54" s="378"/>
      <c r="E54" s="378"/>
      <c r="F54" s="391"/>
      <c r="G54" s="391"/>
    </row>
    <row r="55" spans="1:8">
      <c r="A55" s="366" t="s">
        <v>1972</v>
      </c>
      <c r="B55" s="366" t="s">
        <v>3741</v>
      </c>
      <c r="C55" s="367" t="s">
        <v>3742</v>
      </c>
      <c r="D55" s="412"/>
      <c r="E55" s="412" t="str">
        <f>+B54</f>
        <v>AAA290</v>
      </c>
      <c r="F55" s="393">
        <v>497009.77</v>
      </c>
      <c r="G55" s="393">
        <v>497009.77</v>
      </c>
    </row>
    <row r="56" spans="1:8">
      <c r="A56" s="388" t="s">
        <v>1970</v>
      </c>
      <c r="B56" s="363" t="s">
        <v>3743</v>
      </c>
      <c r="C56" s="363" t="s">
        <v>3744</v>
      </c>
      <c r="D56" s="378"/>
      <c r="E56" s="378"/>
      <c r="F56" s="391"/>
      <c r="G56" s="391"/>
    </row>
    <row r="57" spans="1:8">
      <c r="A57" s="366" t="s">
        <v>1972</v>
      </c>
      <c r="B57" s="366" t="s">
        <v>3745</v>
      </c>
      <c r="C57" s="367" t="s">
        <v>3746</v>
      </c>
      <c r="D57" s="412"/>
      <c r="E57" s="412" t="str">
        <f>+B56</f>
        <v>AAA300</v>
      </c>
      <c r="F57" s="393">
        <v>1346427.27</v>
      </c>
      <c r="G57" s="393">
        <v>1346427.27</v>
      </c>
    </row>
    <row r="58" spans="1:8">
      <c r="A58" s="388" t="s">
        <v>1968</v>
      </c>
      <c r="B58" s="363" t="s">
        <v>3747</v>
      </c>
      <c r="C58" s="363" t="s">
        <v>3748</v>
      </c>
      <c r="D58" s="378"/>
      <c r="E58" s="378"/>
      <c r="F58" s="391"/>
      <c r="G58" s="391"/>
    </row>
    <row r="59" spans="1:8">
      <c r="A59" s="388" t="s">
        <v>1970</v>
      </c>
      <c r="B59" s="363" t="s">
        <v>3749</v>
      </c>
      <c r="C59" s="363" t="s">
        <v>3750</v>
      </c>
      <c r="D59" s="378"/>
      <c r="E59" s="378"/>
      <c r="F59" s="391"/>
      <c r="G59" s="391"/>
    </row>
    <row r="60" spans="1:8">
      <c r="A60" s="388" t="s">
        <v>1972</v>
      </c>
      <c r="B60" s="363" t="s">
        <v>3751</v>
      </c>
      <c r="C60" s="363" t="s">
        <v>3752</v>
      </c>
      <c r="D60" s="378"/>
      <c r="E60" s="378"/>
      <c r="F60" s="391"/>
      <c r="G60" s="391"/>
    </row>
    <row r="61" spans="1:8">
      <c r="A61" s="366" t="s">
        <v>1975</v>
      </c>
      <c r="B61" s="366" t="s">
        <v>3753</v>
      </c>
      <c r="C61" s="366" t="s">
        <v>3754</v>
      </c>
      <c r="D61" s="412"/>
      <c r="E61" s="412" t="str">
        <f>+B60</f>
        <v>AAA330</v>
      </c>
      <c r="F61" s="393">
        <v>2195483.39</v>
      </c>
      <c r="G61" s="393">
        <v>2195483.39</v>
      </c>
    </row>
    <row r="62" spans="1:8">
      <c r="A62" s="388" t="s">
        <v>1972</v>
      </c>
      <c r="B62" s="363" t="s">
        <v>3755</v>
      </c>
      <c r="C62" s="363" t="s">
        <v>3756</v>
      </c>
      <c r="D62" s="378"/>
      <c r="E62" s="378"/>
      <c r="F62" s="391"/>
      <c r="G62" s="391"/>
    </row>
    <row r="63" spans="1:8">
      <c r="A63" s="366" t="s">
        <v>1975</v>
      </c>
      <c r="B63" s="366" t="s">
        <v>3757</v>
      </c>
      <c r="C63" s="367" t="s">
        <v>3758</v>
      </c>
      <c r="D63" s="412"/>
      <c r="E63" s="412" t="str">
        <f>+B62</f>
        <v>AAA340</v>
      </c>
      <c r="F63" s="393">
        <v>-1470424.28</v>
      </c>
      <c r="G63" s="393">
        <v>-1404559.78</v>
      </c>
      <c r="H63" t="s">
        <v>5196</v>
      </c>
    </row>
    <row r="64" spans="1:8">
      <c r="A64" s="388" t="s">
        <v>1970</v>
      </c>
      <c r="B64" s="363" t="s">
        <v>3759</v>
      </c>
      <c r="C64" s="363" t="s">
        <v>3760</v>
      </c>
      <c r="D64" s="378"/>
      <c r="E64" s="378"/>
      <c r="F64" s="391"/>
      <c r="G64" s="391"/>
    </row>
    <row r="65" spans="1:8">
      <c r="A65" s="388" t="s">
        <v>1972</v>
      </c>
      <c r="B65" s="363" t="s">
        <v>3761</v>
      </c>
      <c r="C65" s="363" t="s">
        <v>3762</v>
      </c>
      <c r="D65" s="378"/>
      <c r="E65" s="378"/>
      <c r="F65" s="391"/>
      <c r="G65" s="391"/>
    </row>
    <row r="66" spans="1:8">
      <c r="A66" s="366" t="s">
        <v>1975</v>
      </c>
      <c r="B66" s="366" t="s">
        <v>3763</v>
      </c>
      <c r="C66" s="367" t="s">
        <v>3764</v>
      </c>
      <c r="D66" s="412"/>
      <c r="E66" s="412" t="str">
        <f>+B65</f>
        <v>AAA360</v>
      </c>
      <c r="F66" s="393">
        <v>541914343.5</v>
      </c>
      <c r="G66" s="393">
        <v>539632999.10000002</v>
      </c>
    </row>
    <row r="67" spans="1:8">
      <c r="A67" s="388" t="s">
        <v>1972</v>
      </c>
      <c r="B67" s="363" t="s">
        <v>3765</v>
      </c>
      <c r="C67" s="363" t="s">
        <v>3766</v>
      </c>
      <c r="D67" s="378"/>
      <c r="E67" s="378"/>
      <c r="F67" s="391"/>
      <c r="G67" s="391"/>
    </row>
    <row r="68" spans="1:8">
      <c r="A68" s="366" t="s">
        <v>1975</v>
      </c>
      <c r="B68" s="366" t="s">
        <v>3767</v>
      </c>
      <c r="C68" s="367" t="s">
        <v>3768</v>
      </c>
      <c r="D68" s="412"/>
      <c r="E68" s="412" t="str">
        <f>+B67</f>
        <v>AAA370</v>
      </c>
      <c r="F68" s="393">
        <v>-296938407.30000001</v>
      </c>
      <c r="G68" s="393">
        <v>-280697947.52999997</v>
      </c>
      <c r="H68" t="s">
        <v>5196</v>
      </c>
    </row>
    <row r="69" spans="1:8">
      <c r="A69" s="388" t="s">
        <v>1968</v>
      </c>
      <c r="B69" s="363" t="s">
        <v>3769</v>
      </c>
      <c r="C69" s="363" t="s">
        <v>3770</v>
      </c>
      <c r="D69" s="378"/>
      <c r="E69" s="378"/>
      <c r="F69" s="391"/>
      <c r="G69" s="391"/>
    </row>
    <row r="70" spans="1:8">
      <c r="A70" s="388" t="s">
        <v>1970</v>
      </c>
      <c r="B70" s="363" t="s">
        <v>3771</v>
      </c>
      <c r="C70" s="363" t="s">
        <v>3772</v>
      </c>
      <c r="D70" s="378"/>
      <c r="E70" s="378"/>
      <c r="F70" s="391"/>
      <c r="G70" s="391"/>
    </row>
    <row r="71" spans="1:8">
      <c r="A71" s="366" t="s">
        <v>1972</v>
      </c>
      <c r="B71" s="366" t="s">
        <v>3773</v>
      </c>
      <c r="C71" s="367" t="s">
        <v>3774</v>
      </c>
      <c r="D71" s="412"/>
      <c r="E71" s="412" t="str">
        <f>+B70</f>
        <v>AAA390</v>
      </c>
      <c r="F71" s="393">
        <v>51862811.609999999</v>
      </c>
      <c r="G71" s="393">
        <v>51583967.170000002</v>
      </c>
    </row>
    <row r="72" spans="1:8">
      <c r="A72" s="388" t="s">
        <v>1970</v>
      </c>
      <c r="B72" s="363" t="s">
        <v>3775</v>
      </c>
      <c r="C72" s="363" t="s">
        <v>3776</v>
      </c>
      <c r="D72" s="378"/>
      <c r="E72" s="378"/>
      <c r="F72" s="391"/>
      <c r="G72" s="391"/>
    </row>
    <row r="73" spans="1:8">
      <c r="A73" s="366" t="s">
        <v>1972</v>
      </c>
      <c r="B73" s="366" t="s">
        <v>3777</v>
      </c>
      <c r="C73" s="367" t="s">
        <v>3778</v>
      </c>
      <c r="D73" s="412"/>
      <c r="E73" s="412" t="str">
        <f>+B72</f>
        <v>AAA400</v>
      </c>
      <c r="F73" s="393">
        <v>-50527585.43</v>
      </c>
      <c r="G73" s="393">
        <v>-50124586.990000002</v>
      </c>
      <c r="H73" t="s">
        <v>5196</v>
      </c>
    </row>
    <row r="74" spans="1:8">
      <c r="A74" s="388" t="s">
        <v>1968</v>
      </c>
      <c r="B74" s="363" t="s">
        <v>3779</v>
      </c>
      <c r="C74" s="363" t="s">
        <v>3780</v>
      </c>
      <c r="D74" s="378"/>
      <c r="E74" s="378"/>
      <c r="F74" s="391"/>
      <c r="G74" s="391"/>
    </row>
    <row r="75" spans="1:8">
      <c r="A75" s="388" t="s">
        <v>1970</v>
      </c>
      <c r="B75" s="363" t="s">
        <v>3781</v>
      </c>
      <c r="C75" s="363" t="s">
        <v>3782</v>
      </c>
      <c r="D75" s="378"/>
      <c r="E75" s="378"/>
      <c r="F75" s="391"/>
      <c r="G75" s="391"/>
    </row>
    <row r="76" spans="1:8">
      <c r="A76" s="366" t="s">
        <v>1972</v>
      </c>
      <c r="B76" s="366" t="s">
        <v>3783</v>
      </c>
      <c r="C76" s="367" t="s">
        <v>3784</v>
      </c>
      <c r="D76" s="412"/>
      <c r="E76" s="412" t="str">
        <f>+B75</f>
        <v>AAA420</v>
      </c>
      <c r="F76" s="393">
        <v>139596356.21000001</v>
      </c>
      <c r="G76" s="393">
        <v>131016391.48999999</v>
      </c>
    </row>
    <row r="77" spans="1:8">
      <c r="A77" s="388" t="s">
        <v>1970</v>
      </c>
      <c r="B77" s="363" t="s">
        <v>3785</v>
      </c>
      <c r="C77" s="363" t="s">
        <v>3786</v>
      </c>
      <c r="D77" s="378"/>
      <c r="E77" s="378"/>
      <c r="F77" s="391"/>
      <c r="G77" s="391"/>
    </row>
    <row r="78" spans="1:8">
      <c r="A78" s="366" t="s">
        <v>1972</v>
      </c>
      <c r="B78" s="366" t="s">
        <v>3787</v>
      </c>
      <c r="C78" s="367" t="s">
        <v>3788</v>
      </c>
      <c r="D78" s="412"/>
      <c r="E78" s="412" t="str">
        <f>+B77</f>
        <v>AAA430</v>
      </c>
      <c r="F78" s="393">
        <v>-119416952.06999999</v>
      </c>
      <c r="G78" s="393">
        <v>-112423186.17</v>
      </c>
      <c r="H78" t="s">
        <v>5196</v>
      </c>
    </row>
    <row r="79" spans="1:8">
      <c r="A79" s="388" t="s">
        <v>1968</v>
      </c>
      <c r="B79" s="363" t="s">
        <v>3789</v>
      </c>
      <c r="C79" s="363" t="s">
        <v>3790</v>
      </c>
      <c r="D79" s="378"/>
      <c r="E79" s="378"/>
      <c r="F79" s="391"/>
      <c r="G79" s="391"/>
    </row>
    <row r="80" spans="1:8">
      <c r="A80" s="388" t="s">
        <v>1970</v>
      </c>
      <c r="B80" s="363" t="s">
        <v>3791</v>
      </c>
      <c r="C80" s="363" t="s">
        <v>3792</v>
      </c>
      <c r="D80" s="378"/>
      <c r="E80" s="378"/>
      <c r="F80" s="391"/>
      <c r="G80" s="391"/>
    </row>
    <row r="81" spans="1:8">
      <c r="A81" s="366" t="s">
        <v>1972</v>
      </c>
      <c r="B81" s="366" t="s">
        <v>3793</v>
      </c>
      <c r="C81" s="367" t="s">
        <v>3794</v>
      </c>
      <c r="D81" s="412"/>
      <c r="E81" s="412" t="str">
        <f>+B80</f>
        <v>AAA450</v>
      </c>
      <c r="F81" s="393">
        <v>27646624.440000001</v>
      </c>
      <c r="G81" s="393">
        <v>26537667.960000001</v>
      </c>
    </row>
    <row r="82" spans="1:8">
      <c r="A82" s="388" t="s">
        <v>1970</v>
      </c>
      <c r="B82" s="363" t="s">
        <v>3795</v>
      </c>
      <c r="C82" s="363" t="s">
        <v>3796</v>
      </c>
      <c r="D82" s="378"/>
      <c r="E82" s="378"/>
      <c r="F82" s="391"/>
      <c r="G82" s="391"/>
    </row>
    <row r="83" spans="1:8">
      <c r="A83" s="366" t="s">
        <v>1972</v>
      </c>
      <c r="B83" s="366" t="s">
        <v>3797</v>
      </c>
      <c r="C83" s="367" t="s">
        <v>3798</v>
      </c>
      <c r="D83" s="412"/>
      <c r="E83" s="412" t="str">
        <f>+B82</f>
        <v>AAA460</v>
      </c>
      <c r="F83" s="393">
        <v>-25637583.670000002</v>
      </c>
      <c r="G83" s="393">
        <v>-25203404.440000001</v>
      </c>
      <c r="H83" t="s">
        <v>5196</v>
      </c>
    </row>
    <row r="84" spans="1:8">
      <c r="A84" s="388" t="s">
        <v>1968</v>
      </c>
      <c r="B84" s="363" t="s">
        <v>3799</v>
      </c>
      <c r="C84" s="363" t="s">
        <v>3800</v>
      </c>
      <c r="D84" s="378"/>
      <c r="E84" s="378"/>
      <c r="F84" s="391"/>
      <c r="G84" s="391"/>
    </row>
    <row r="85" spans="1:8">
      <c r="A85" s="388" t="s">
        <v>1970</v>
      </c>
      <c r="B85" s="363" t="s">
        <v>3801</v>
      </c>
      <c r="C85" s="363" t="s">
        <v>3802</v>
      </c>
      <c r="D85" s="378"/>
      <c r="E85" s="378"/>
      <c r="F85" s="391"/>
      <c r="G85" s="391"/>
    </row>
    <row r="86" spans="1:8">
      <c r="A86" s="366" t="s">
        <v>1972</v>
      </c>
      <c r="B86" s="366" t="s">
        <v>3803</v>
      </c>
      <c r="C86" s="367" t="s">
        <v>3804</v>
      </c>
      <c r="D86" s="412"/>
      <c r="E86" s="412" t="str">
        <f>+B85</f>
        <v>AAA480</v>
      </c>
      <c r="F86" s="393">
        <v>6489996.79</v>
      </c>
      <c r="G86" s="393">
        <v>5732752.3200000003</v>
      </c>
    </row>
    <row r="87" spans="1:8">
      <c r="A87" s="388" t="s">
        <v>1970</v>
      </c>
      <c r="B87" s="363" t="s">
        <v>3805</v>
      </c>
      <c r="C87" s="363" t="s">
        <v>3806</v>
      </c>
      <c r="D87" s="378"/>
      <c r="E87" s="378"/>
      <c r="F87" s="391"/>
      <c r="G87" s="391"/>
    </row>
    <row r="88" spans="1:8">
      <c r="A88" s="366" t="s">
        <v>1972</v>
      </c>
      <c r="B88" s="366" t="s">
        <v>3807</v>
      </c>
      <c r="C88" s="367" t="s">
        <v>3808</v>
      </c>
      <c r="D88" s="412"/>
      <c r="E88" s="412" t="str">
        <f>+B87</f>
        <v>AAA490</v>
      </c>
      <c r="F88" s="393">
        <v>-5429884.4100000001</v>
      </c>
      <c r="G88" s="393">
        <v>-5118581.12</v>
      </c>
      <c r="H88" t="s">
        <v>5196</v>
      </c>
    </row>
    <row r="89" spans="1:8">
      <c r="A89" s="388" t="s">
        <v>1968</v>
      </c>
      <c r="B89" s="363" t="s">
        <v>3809</v>
      </c>
      <c r="C89" s="363" t="s">
        <v>3810</v>
      </c>
      <c r="D89" s="378"/>
      <c r="E89" s="378"/>
      <c r="F89" s="391"/>
      <c r="G89" s="391"/>
    </row>
    <row r="90" spans="1:8">
      <c r="A90" s="366" t="s">
        <v>1970</v>
      </c>
      <c r="B90" s="366" t="s">
        <v>3811</v>
      </c>
      <c r="C90" s="367" t="s">
        <v>3812</v>
      </c>
      <c r="D90" s="412"/>
      <c r="E90" s="412" t="str">
        <f>+B89</f>
        <v>AAA500</v>
      </c>
      <c r="F90" s="393">
        <v>289398.36</v>
      </c>
      <c r="G90" s="393">
        <v>44398.36</v>
      </c>
    </row>
    <row r="91" spans="1:8">
      <c r="A91" s="388" t="s">
        <v>1968</v>
      </c>
      <c r="B91" s="363" t="s">
        <v>3813</v>
      </c>
      <c r="C91" s="363" t="s">
        <v>3814</v>
      </c>
      <c r="D91" s="378"/>
      <c r="E91" s="378"/>
      <c r="F91" s="391"/>
      <c r="G91" s="391"/>
    </row>
    <row r="92" spans="1:8">
      <c r="A92" s="388" t="s">
        <v>1970</v>
      </c>
      <c r="B92" s="363" t="s">
        <v>3815</v>
      </c>
      <c r="C92" s="363" t="s">
        <v>3816</v>
      </c>
      <c r="D92" s="378"/>
      <c r="E92" s="378"/>
      <c r="F92" s="391"/>
      <c r="G92" s="391"/>
    </row>
    <row r="93" spans="1:8">
      <c r="A93" s="366" t="s">
        <v>1972</v>
      </c>
      <c r="B93" s="366" t="s">
        <v>3817</v>
      </c>
      <c r="C93" s="367" t="s">
        <v>3818</v>
      </c>
      <c r="D93" s="412"/>
      <c r="E93" s="412" t="str">
        <f>+B92</f>
        <v>AAA520</v>
      </c>
      <c r="F93" s="393">
        <v>44086868.350000001</v>
      </c>
      <c r="G93" s="393">
        <v>42430932.530000001</v>
      </c>
    </row>
    <row r="94" spans="1:8">
      <c r="A94" s="388" t="s">
        <v>1970</v>
      </c>
      <c r="B94" s="363" t="s">
        <v>3819</v>
      </c>
      <c r="C94" s="363" t="s">
        <v>3820</v>
      </c>
      <c r="D94" s="378"/>
      <c r="E94" s="378"/>
      <c r="F94" s="391"/>
      <c r="G94" s="391"/>
    </row>
    <row r="95" spans="1:8">
      <c r="A95" s="366" t="s">
        <v>1972</v>
      </c>
      <c r="B95" s="366" t="s">
        <v>3821</v>
      </c>
      <c r="C95" s="367" t="s">
        <v>3822</v>
      </c>
      <c r="D95" s="412"/>
      <c r="E95" s="412" t="str">
        <f>+B94</f>
        <v>AAA530</v>
      </c>
      <c r="F95" s="393">
        <v>-41288731.710000001</v>
      </c>
      <c r="G95" s="393">
        <v>-39778425.079999998</v>
      </c>
      <c r="H95" t="s">
        <v>5196</v>
      </c>
    </row>
    <row r="96" spans="1:8">
      <c r="A96" s="388" t="s">
        <v>1968</v>
      </c>
      <c r="B96" s="363" t="s">
        <v>3823</v>
      </c>
      <c r="C96" s="363" t="s">
        <v>3824</v>
      </c>
      <c r="D96" s="378"/>
      <c r="E96" s="378"/>
      <c r="F96" s="391"/>
      <c r="G96" s="391"/>
    </row>
    <row r="97" spans="1:8">
      <c r="A97" s="366" t="s">
        <v>1970</v>
      </c>
      <c r="B97" s="366" t="s">
        <v>3825</v>
      </c>
      <c r="C97" s="367" t="s">
        <v>3826</v>
      </c>
      <c r="D97" s="412"/>
      <c r="E97" s="412" t="str">
        <f>+B96</f>
        <v>AAA540</v>
      </c>
      <c r="F97" s="393">
        <v>50971661.780000001</v>
      </c>
      <c r="G97" s="393">
        <v>40981515.390000001</v>
      </c>
    </row>
    <row r="98" spans="1:8">
      <c r="A98" s="388">
        <v>4</v>
      </c>
      <c r="B98" s="363" t="s">
        <v>3827</v>
      </c>
      <c r="C98" s="363" t="s">
        <v>3828</v>
      </c>
      <c r="D98" s="378"/>
      <c r="E98" s="378"/>
      <c r="F98" s="391"/>
      <c r="G98" s="391"/>
    </row>
    <row r="99" spans="1:8">
      <c r="A99" s="388" t="s">
        <v>1970</v>
      </c>
      <c r="B99" s="363" t="s">
        <v>3829</v>
      </c>
      <c r="C99" s="363" t="s">
        <v>3830</v>
      </c>
      <c r="D99" s="378"/>
      <c r="E99" s="378"/>
      <c r="F99" s="391"/>
      <c r="G99" s="391"/>
    </row>
    <row r="100" spans="1:8">
      <c r="A100" s="366">
        <v>6</v>
      </c>
      <c r="B100" s="366" t="s">
        <v>3831</v>
      </c>
      <c r="C100" s="367" t="s">
        <v>3832</v>
      </c>
      <c r="D100" s="412"/>
      <c r="E100" s="412" t="str">
        <f>+B99</f>
        <v>AAA560</v>
      </c>
      <c r="F100" s="393"/>
      <c r="G100" s="393"/>
      <c r="H100" t="s">
        <v>5196</v>
      </c>
    </row>
    <row r="101" spans="1:8">
      <c r="A101" s="366">
        <v>6</v>
      </c>
      <c r="B101" s="366" t="s">
        <v>3833</v>
      </c>
      <c r="C101" s="367" t="s">
        <v>3834</v>
      </c>
      <c r="D101" s="412"/>
      <c r="E101" s="412" t="str">
        <f>+E100</f>
        <v>AAA560</v>
      </c>
      <c r="F101" s="393"/>
      <c r="G101" s="393"/>
      <c r="H101" t="s">
        <v>5196</v>
      </c>
    </row>
    <row r="102" spans="1:8">
      <c r="A102" s="388" t="s">
        <v>1970</v>
      </c>
      <c r="B102" s="363" t="s">
        <v>3835</v>
      </c>
      <c r="C102" s="363" t="s">
        <v>3836</v>
      </c>
      <c r="D102" s="378"/>
      <c r="E102" s="378"/>
      <c r="F102" s="391"/>
      <c r="G102" s="391"/>
    </row>
    <row r="103" spans="1:8">
      <c r="A103" s="366" t="s">
        <v>1972</v>
      </c>
      <c r="B103" s="366" t="s">
        <v>3837</v>
      </c>
      <c r="C103" s="367" t="s">
        <v>3838</v>
      </c>
      <c r="D103" s="412"/>
      <c r="E103" s="412" t="str">
        <f>+B102</f>
        <v>AAA570</v>
      </c>
      <c r="F103" s="393"/>
      <c r="G103" s="393"/>
      <c r="H103" t="s">
        <v>5196</v>
      </c>
    </row>
    <row r="104" spans="1:8">
      <c r="A104" s="366">
        <v>6</v>
      </c>
      <c r="B104" s="366" t="s">
        <v>3839</v>
      </c>
      <c r="C104" s="367" t="s">
        <v>3840</v>
      </c>
      <c r="D104" s="412"/>
      <c r="E104" s="412" t="str">
        <f>+E103</f>
        <v>AAA570</v>
      </c>
      <c r="F104" s="393"/>
      <c r="G104" s="393"/>
      <c r="H104" t="s">
        <v>5196</v>
      </c>
    </row>
    <row r="105" spans="1:8">
      <c r="A105" s="388" t="s">
        <v>1970</v>
      </c>
      <c r="B105" s="363" t="s">
        <v>3841</v>
      </c>
      <c r="C105" s="363" t="s">
        <v>3842</v>
      </c>
      <c r="D105" s="378"/>
      <c r="E105" s="378"/>
      <c r="F105" s="391"/>
      <c r="G105" s="391"/>
    </row>
    <row r="106" spans="1:8">
      <c r="A106" s="366" t="s">
        <v>1972</v>
      </c>
      <c r="B106" s="366" t="s">
        <v>3843</v>
      </c>
      <c r="C106" s="367" t="s">
        <v>3844</v>
      </c>
      <c r="D106" s="412"/>
      <c r="E106" s="412" t="str">
        <f>+B105</f>
        <v>AAA580</v>
      </c>
      <c r="F106" s="393"/>
      <c r="G106" s="393"/>
      <c r="H106" t="s">
        <v>5196</v>
      </c>
    </row>
    <row r="107" spans="1:8">
      <c r="A107" s="388" t="s">
        <v>1970</v>
      </c>
      <c r="B107" s="363" t="s">
        <v>3845</v>
      </c>
      <c r="C107" s="363" t="s">
        <v>3846</v>
      </c>
      <c r="D107" s="378"/>
      <c r="E107" s="378"/>
      <c r="F107" s="391"/>
      <c r="G107" s="391"/>
    </row>
    <row r="108" spans="1:8">
      <c r="A108" s="366" t="s">
        <v>1972</v>
      </c>
      <c r="B108" s="366" t="s">
        <v>3847</v>
      </c>
      <c r="C108" s="367" t="s">
        <v>3848</v>
      </c>
      <c r="D108" s="412"/>
      <c r="E108" s="412" t="str">
        <f>+B107</f>
        <v>AAA590</v>
      </c>
      <c r="F108" s="393"/>
      <c r="G108" s="393"/>
      <c r="H108" t="s">
        <v>5196</v>
      </c>
    </row>
    <row r="109" spans="1:8">
      <c r="A109" s="388" t="s">
        <v>1970</v>
      </c>
      <c r="B109" s="363" t="s">
        <v>3849</v>
      </c>
      <c r="C109" s="363" t="s">
        <v>3850</v>
      </c>
      <c r="D109" s="378"/>
      <c r="E109" s="378"/>
      <c r="F109" s="391"/>
      <c r="G109" s="391"/>
    </row>
    <row r="110" spans="1:8">
      <c r="A110" s="366" t="s">
        <v>1972</v>
      </c>
      <c r="B110" s="366" t="s">
        <v>3851</v>
      </c>
      <c r="C110" s="367" t="s">
        <v>3852</v>
      </c>
      <c r="D110" s="412"/>
      <c r="E110" s="412" t="str">
        <f>+B109</f>
        <v>AAA600</v>
      </c>
      <c r="F110" s="393"/>
      <c r="G110" s="393"/>
      <c r="H110" t="s">
        <v>5196</v>
      </c>
    </row>
    <row r="111" spans="1:8">
      <c r="A111" s="388" t="s">
        <v>1970</v>
      </c>
      <c r="B111" s="363" t="s">
        <v>3853</v>
      </c>
      <c r="C111" s="363" t="s">
        <v>3854</v>
      </c>
      <c r="D111" s="378"/>
      <c r="E111" s="378"/>
      <c r="F111" s="391"/>
      <c r="G111" s="391"/>
    </row>
    <row r="112" spans="1:8">
      <c r="A112" s="366" t="s">
        <v>1972</v>
      </c>
      <c r="B112" s="366" t="s">
        <v>3855</v>
      </c>
      <c r="C112" s="367" t="s">
        <v>3856</v>
      </c>
      <c r="D112" s="412"/>
      <c r="E112" s="412" t="str">
        <f>+B111</f>
        <v>AAA610</v>
      </c>
      <c r="F112" s="393"/>
      <c r="G112" s="393"/>
      <c r="H112" t="s">
        <v>5196</v>
      </c>
    </row>
    <row r="113" spans="1:8">
      <c r="A113" s="388" t="s">
        <v>1970</v>
      </c>
      <c r="B113" s="363" t="s">
        <v>3857</v>
      </c>
      <c r="C113" s="363" t="s">
        <v>3858</v>
      </c>
      <c r="D113" s="378"/>
      <c r="E113" s="378"/>
      <c r="F113" s="391"/>
      <c r="G113" s="391"/>
    </row>
    <row r="114" spans="1:8">
      <c r="A114" s="366" t="s">
        <v>1972</v>
      </c>
      <c r="B114" s="366" t="s">
        <v>3859</v>
      </c>
      <c r="C114" s="367" t="s">
        <v>3860</v>
      </c>
      <c r="D114" s="412"/>
      <c r="E114" s="412" t="str">
        <f>+B113</f>
        <v>AAA620</v>
      </c>
      <c r="F114" s="393"/>
      <c r="G114" s="393"/>
      <c r="H114" t="s">
        <v>5196</v>
      </c>
    </row>
    <row r="115" spans="1:8">
      <c r="A115" s="388" t="s">
        <v>1970</v>
      </c>
      <c r="B115" s="363" t="s">
        <v>3861</v>
      </c>
      <c r="C115" s="363" t="s">
        <v>3862</v>
      </c>
      <c r="D115" s="378"/>
      <c r="E115" s="378"/>
      <c r="F115" s="391"/>
      <c r="G115" s="391"/>
    </row>
    <row r="116" spans="1:8">
      <c r="A116" s="366" t="s">
        <v>1972</v>
      </c>
      <c r="B116" s="366" t="s">
        <v>3863</v>
      </c>
      <c r="C116" s="367" t="s">
        <v>3864</v>
      </c>
      <c r="D116" s="412"/>
      <c r="E116" s="412" t="str">
        <f>+B115</f>
        <v>AAA630</v>
      </c>
      <c r="F116" s="393"/>
      <c r="G116" s="393"/>
      <c r="H116" t="s">
        <v>5196</v>
      </c>
    </row>
    <row r="117" spans="1:8">
      <c r="A117" s="388" t="s">
        <v>1966</v>
      </c>
      <c r="B117" s="363" t="s">
        <v>3865</v>
      </c>
      <c r="C117" s="363" t="s">
        <v>3866</v>
      </c>
      <c r="D117" s="378"/>
      <c r="E117" s="378"/>
      <c r="F117" s="391"/>
      <c r="G117" s="391"/>
    </row>
    <row r="118" spans="1:8">
      <c r="A118" s="388" t="s">
        <v>1968</v>
      </c>
      <c r="B118" s="363" t="s">
        <v>3867</v>
      </c>
      <c r="C118" s="363" t="s">
        <v>3868</v>
      </c>
      <c r="D118" s="378"/>
      <c r="E118" s="378"/>
      <c r="F118" s="391"/>
      <c r="G118" s="391"/>
    </row>
    <row r="119" spans="1:8">
      <c r="A119" s="388" t="s">
        <v>1970</v>
      </c>
      <c r="B119" s="363" t="s">
        <v>3869</v>
      </c>
      <c r="C119" s="363" t="s">
        <v>3870</v>
      </c>
      <c r="D119" s="378"/>
      <c r="E119" s="378"/>
      <c r="F119" s="391"/>
      <c r="G119" s="391"/>
    </row>
    <row r="120" spans="1:8">
      <c r="A120" s="366">
        <v>6</v>
      </c>
      <c r="B120" s="366" t="s">
        <v>3871</v>
      </c>
      <c r="C120" s="367" t="s">
        <v>3872</v>
      </c>
      <c r="D120" s="412"/>
      <c r="E120" s="412" t="str">
        <f>+B119</f>
        <v>AAA660</v>
      </c>
      <c r="F120" s="393"/>
      <c r="G120" s="393"/>
    </row>
    <row r="121" spans="1:8">
      <c r="A121" s="366" t="s">
        <v>1972</v>
      </c>
      <c r="B121" s="380" t="s">
        <v>3873</v>
      </c>
      <c r="C121" s="367" t="s">
        <v>3874</v>
      </c>
      <c r="D121" s="412"/>
      <c r="E121" s="412" t="str">
        <f>+E120</f>
        <v>AAA660</v>
      </c>
      <c r="F121" s="393"/>
      <c r="G121" s="393"/>
      <c r="H121" t="s">
        <v>5196</v>
      </c>
    </row>
    <row r="122" spans="1:8">
      <c r="A122" s="388" t="s">
        <v>1970</v>
      </c>
      <c r="B122" s="363" t="s">
        <v>3875</v>
      </c>
      <c r="C122" s="363" t="s">
        <v>3876</v>
      </c>
      <c r="D122" s="378"/>
      <c r="E122" s="378"/>
      <c r="F122" s="391"/>
      <c r="G122" s="391"/>
    </row>
    <row r="123" spans="1:8">
      <c r="A123" s="366">
        <v>6</v>
      </c>
      <c r="B123" s="366" t="s">
        <v>3877</v>
      </c>
      <c r="C123" s="367" t="s">
        <v>3878</v>
      </c>
      <c r="D123" s="412"/>
      <c r="E123" s="412" t="str">
        <f>+B122</f>
        <v>AAA670</v>
      </c>
      <c r="F123" s="393">
        <v>6858338.2800000003</v>
      </c>
      <c r="G123" s="393">
        <v>6858338.2800000003</v>
      </c>
    </row>
    <row r="124" spans="1:8">
      <c r="A124" s="366" t="s">
        <v>1972</v>
      </c>
      <c r="B124" s="366" t="s">
        <v>3879</v>
      </c>
      <c r="C124" s="367" t="s">
        <v>3880</v>
      </c>
      <c r="D124" s="412"/>
      <c r="E124" s="412" t="str">
        <f>+E123</f>
        <v>AAA670</v>
      </c>
      <c r="F124" s="393"/>
      <c r="G124" s="393"/>
      <c r="H124" t="str">
        <f>+H121</f>
        <v>SEGNO NEGATIVO</v>
      </c>
    </row>
    <row r="125" spans="1:8">
      <c r="A125" s="388" t="s">
        <v>1970</v>
      </c>
      <c r="B125" s="363" t="s">
        <v>3881</v>
      </c>
      <c r="C125" s="363" t="s">
        <v>3882</v>
      </c>
      <c r="D125" s="378"/>
      <c r="E125" s="378"/>
      <c r="F125" s="391"/>
      <c r="G125" s="391"/>
    </row>
    <row r="126" spans="1:8">
      <c r="A126" s="380">
        <v>6</v>
      </c>
      <c r="B126" s="366" t="s">
        <v>3883</v>
      </c>
      <c r="C126" s="413" t="s">
        <v>3884</v>
      </c>
      <c r="D126" s="412"/>
      <c r="E126" s="412" t="str">
        <f>+B125</f>
        <v>AAA680</v>
      </c>
      <c r="F126" s="393"/>
      <c r="G126" s="393"/>
    </row>
    <row r="127" spans="1:8">
      <c r="A127" s="366" t="s">
        <v>1972</v>
      </c>
      <c r="B127" s="366" t="s">
        <v>3885</v>
      </c>
      <c r="C127" s="367" t="s">
        <v>3886</v>
      </c>
      <c r="D127" s="412"/>
      <c r="E127" s="412" t="str">
        <f>+E126</f>
        <v>AAA680</v>
      </c>
      <c r="F127" s="393"/>
      <c r="G127" s="393"/>
      <c r="H127" t="s">
        <v>5196</v>
      </c>
    </row>
    <row r="128" spans="1:8">
      <c r="A128" s="388" t="s">
        <v>1970</v>
      </c>
      <c r="B128" s="363" t="s">
        <v>3887</v>
      </c>
      <c r="C128" s="363" t="s">
        <v>3888</v>
      </c>
      <c r="D128" s="378"/>
      <c r="E128" s="378"/>
      <c r="F128" s="391"/>
      <c r="G128" s="391"/>
    </row>
    <row r="129" spans="1:8">
      <c r="A129" s="366">
        <v>6</v>
      </c>
      <c r="B129" s="366" t="s">
        <v>3889</v>
      </c>
      <c r="C129" s="367" t="s">
        <v>3890</v>
      </c>
      <c r="D129" s="412"/>
      <c r="E129" s="412" t="str">
        <f>+B128</f>
        <v>AAA690</v>
      </c>
      <c r="F129" s="393"/>
      <c r="G129" s="393"/>
    </row>
    <row r="130" spans="1:8">
      <c r="A130" s="366">
        <v>6</v>
      </c>
      <c r="B130" s="366" t="s">
        <v>3891</v>
      </c>
      <c r="C130" s="367" t="s">
        <v>3892</v>
      </c>
      <c r="D130" s="412"/>
      <c r="E130" s="412" t="str">
        <f>+E129</f>
        <v>AAA690</v>
      </c>
      <c r="F130" s="393"/>
      <c r="G130" s="393"/>
    </row>
    <row r="131" spans="1:8">
      <c r="A131" s="366">
        <v>6</v>
      </c>
      <c r="B131" s="366" t="s">
        <v>3893</v>
      </c>
      <c r="C131" s="367" t="s">
        <v>3894</v>
      </c>
      <c r="D131" s="412"/>
      <c r="E131" s="412" t="str">
        <f>+E130</f>
        <v>AAA690</v>
      </c>
      <c r="F131" s="393">
        <v>93844.31</v>
      </c>
      <c r="G131" s="393">
        <v>93844.31</v>
      </c>
    </row>
    <row r="132" spans="1:8">
      <c r="A132" s="366" t="s">
        <v>1972</v>
      </c>
      <c r="B132" s="366" t="s">
        <v>3895</v>
      </c>
      <c r="C132" s="367" t="s">
        <v>3896</v>
      </c>
      <c r="D132" s="412"/>
      <c r="E132" s="412" t="str">
        <f>+E131</f>
        <v>AAA690</v>
      </c>
      <c r="F132" s="393"/>
      <c r="G132" s="393"/>
      <c r="H132" t="s">
        <v>5196</v>
      </c>
    </row>
    <row r="133" spans="1:8">
      <c r="A133" s="388" t="s">
        <v>1968</v>
      </c>
      <c r="B133" s="363" t="s">
        <v>3897</v>
      </c>
      <c r="C133" s="363" t="s">
        <v>3898</v>
      </c>
      <c r="D133" s="378"/>
      <c r="E133" s="378"/>
      <c r="F133" s="391"/>
      <c r="G133" s="391"/>
    </row>
    <row r="134" spans="1:8">
      <c r="A134" s="388" t="s">
        <v>1970</v>
      </c>
      <c r="B134" s="363" t="s">
        <v>3899</v>
      </c>
      <c r="C134" s="363" t="s">
        <v>3900</v>
      </c>
      <c r="D134" s="378"/>
      <c r="E134" s="378"/>
      <c r="F134" s="391"/>
      <c r="G134" s="391"/>
    </row>
    <row r="135" spans="1:8">
      <c r="A135" s="366" t="s">
        <v>1972</v>
      </c>
      <c r="B135" s="366" t="s">
        <v>3901</v>
      </c>
      <c r="C135" s="367" t="s">
        <v>3902</v>
      </c>
      <c r="D135" s="412"/>
      <c r="E135" s="412" t="str">
        <f>+B134</f>
        <v>AAA710</v>
      </c>
      <c r="F135" s="393"/>
      <c r="G135" s="393"/>
    </row>
    <row r="136" spans="1:8">
      <c r="A136" s="388" t="s">
        <v>1970</v>
      </c>
      <c r="B136" s="363" t="s">
        <v>3903</v>
      </c>
      <c r="C136" s="363" t="s">
        <v>3904</v>
      </c>
      <c r="D136" s="378"/>
      <c r="E136" s="378"/>
      <c r="F136" s="391"/>
      <c r="G136" s="391"/>
    </row>
    <row r="137" spans="1:8">
      <c r="A137" s="388" t="s">
        <v>1972</v>
      </c>
      <c r="B137" s="363" t="s">
        <v>3905</v>
      </c>
      <c r="C137" s="363" t="s">
        <v>3906</v>
      </c>
      <c r="D137" s="378"/>
      <c r="E137" s="378"/>
      <c r="F137" s="391"/>
      <c r="G137" s="391"/>
    </row>
    <row r="138" spans="1:8">
      <c r="A138" s="366" t="s">
        <v>1975</v>
      </c>
      <c r="B138" s="366" t="s">
        <v>3907</v>
      </c>
      <c r="C138" s="367" t="s">
        <v>3908</v>
      </c>
      <c r="D138" s="412"/>
      <c r="E138" s="412" t="str">
        <f>+B137</f>
        <v>AAA730</v>
      </c>
      <c r="F138" s="393">
        <v>1386000</v>
      </c>
      <c r="G138" s="393"/>
    </row>
    <row r="139" spans="1:8">
      <c r="A139" s="388" t="s">
        <v>1972</v>
      </c>
      <c r="B139" s="363" t="s">
        <v>3909</v>
      </c>
      <c r="C139" s="363" t="s">
        <v>3910</v>
      </c>
      <c r="D139" s="378"/>
      <c r="E139" s="378"/>
      <c r="F139" s="391"/>
      <c r="G139" s="391"/>
    </row>
    <row r="140" spans="1:8">
      <c r="A140" s="366" t="s">
        <v>1975</v>
      </c>
      <c r="B140" s="366" t="s">
        <v>3911</v>
      </c>
      <c r="C140" s="367" t="s">
        <v>3912</v>
      </c>
      <c r="D140" s="412"/>
      <c r="E140" s="412" t="str">
        <f>+B139</f>
        <v>AAA740</v>
      </c>
      <c r="F140" s="393"/>
      <c r="G140" s="393"/>
    </row>
    <row r="141" spans="1:8">
      <c r="A141" s="388" t="s">
        <v>1972</v>
      </c>
      <c r="B141" s="363" t="s">
        <v>3913</v>
      </c>
      <c r="C141" s="363" t="s">
        <v>3914</v>
      </c>
      <c r="D141" s="378"/>
      <c r="E141" s="378"/>
      <c r="F141" s="391"/>
      <c r="G141" s="391"/>
    </row>
    <row r="142" spans="1:8">
      <c r="A142" s="366" t="s">
        <v>1975</v>
      </c>
      <c r="B142" s="366" t="s">
        <v>3915</v>
      </c>
      <c r="C142" s="367" t="s">
        <v>3916</v>
      </c>
      <c r="D142" s="412"/>
      <c r="E142" s="412" t="str">
        <f>+B141</f>
        <v>AAA750</v>
      </c>
      <c r="F142" s="393"/>
      <c r="G142" s="393"/>
    </row>
    <row r="143" spans="1:8">
      <c r="A143" s="388" t="s">
        <v>1972</v>
      </c>
      <c r="B143" s="363" t="s">
        <v>3917</v>
      </c>
      <c r="C143" s="363" t="s">
        <v>3918</v>
      </c>
      <c r="D143" s="378"/>
      <c r="E143" s="378"/>
      <c r="F143" s="391"/>
      <c r="G143" s="391"/>
    </row>
    <row r="144" spans="1:8">
      <c r="A144" s="366" t="s">
        <v>1975</v>
      </c>
      <c r="B144" s="366" t="s">
        <v>3919</v>
      </c>
      <c r="C144" s="367" t="s">
        <v>3920</v>
      </c>
      <c r="D144" s="412"/>
      <c r="E144" s="412" t="str">
        <f>+B143</f>
        <v>AAA760</v>
      </c>
      <c r="F144" s="393"/>
      <c r="G144" s="393"/>
    </row>
    <row r="145" spans="1:7">
      <c r="A145" s="388" t="s">
        <v>1963</v>
      </c>
      <c r="B145" s="363" t="s">
        <v>3921</v>
      </c>
      <c r="C145" s="363" t="s">
        <v>3922</v>
      </c>
      <c r="D145" s="378"/>
      <c r="E145" s="378"/>
      <c r="F145" s="391"/>
      <c r="G145" s="391"/>
    </row>
    <row r="146" spans="1:7">
      <c r="A146" s="388" t="s">
        <v>1966</v>
      </c>
      <c r="B146" s="363" t="s">
        <v>3923</v>
      </c>
      <c r="C146" s="363" t="s">
        <v>3924</v>
      </c>
      <c r="D146" s="378"/>
      <c r="E146" s="378"/>
      <c r="F146" s="391"/>
      <c r="G146" s="391"/>
    </row>
    <row r="147" spans="1:7">
      <c r="A147" s="388" t="s">
        <v>1968</v>
      </c>
      <c r="B147" s="363" t="s">
        <v>3925</v>
      </c>
      <c r="C147" s="363" t="s">
        <v>3926</v>
      </c>
      <c r="D147" s="378"/>
      <c r="E147" s="378"/>
      <c r="F147" s="391"/>
      <c r="G147" s="391"/>
    </row>
    <row r="148" spans="1:7">
      <c r="A148" s="388" t="s">
        <v>1970</v>
      </c>
      <c r="B148" s="363" t="s">
        <v>3927</v>
      </c>
      <c r="C148" s="363" t="s">
        <v>3928</v>
      </c>
      <c r="D148" s="378"/>
      <c r="E148" s="378"/>
      <c r="F148" s="391"/>
      <c r="G148" s="391"/>
    </row>
    <row r="149" spans="1:7" ht="24">
      <c r="A149" s="366">
        <v>6</v>
      </c>
      <c r="B149" s="366" t="s">
        <v>3929</v>
      </c>
      <c r="C149" s="367" t="s">
        <v>3930</v>
      </c>
      <c r="D149" s="412"/>
      <c r="E149" s="412" t="str">
        <f>+B148</f>
        <v>ABA020</v>
      </c>
      <c r="F149" s="393">
        <v>545875.89</v>
      </c>
      <c r="G149" s="393">
        <v>174763.03</v>
      </c>
    </row>
    <row r="150" spans="1:7">
      <c r="A150" s="366">
        <v>6</v>
      </c>
      <c r="B150" s="366" t="s">
        <v>3931</v>
      </c>
      <c r="C150" s="367" t="s">
        <v>3932</v>
      </c>
      <c r="D150" s="412"/>
      <c r="E150" s="412" t="str">
        <f>+E149</f>
        <v>ABA020</v>
      </c>
      <c r="F150" s="393">
        <v>87550.81</v>
      </c>
      <c r="G150" s="393">
        <v>17207.72</v>
      </c>
    </row>
    <row r="151" spans="1:7">
      <c r="A151" s="366">
        <v>6</v>
      </c>
      <c r="B151" s="366" t="s">
        <v>3933</v>
      </c>
      <c r="C151" s="367" t="s">
        <v>3934</v>
      </c>
      <c r="D151" s="412"/>
      <c r="E151" s="412" t="str">
        <f>+E150</f>
        <v>ABA020</v>
      </c>
      <c r="F151" s="393"/>
      <c r="G151" s="393"/>
    </row>
    <row r="152" spans="1:7">
      <c r="A152" s="388" t="s">
        <v>1970</v>
      </c>
      <c r="B152" s="363" t="s">
        <v>3935</v>
      </c>
      <c r="C152" s="363" t="s">
        <v>3936</v>
      </c>
      <c r="D152" s="378"/>
      <c r="E152" s="378"/>
      <c r="F152" s="391"/>
      <c r="G152" s="391"/>
    </row>
    <row r="153" spans="1:7">
      <c r="A153" s="366" t="s">
        <v>1972</v>
      </c>
      <c r="B153" s="366" t="s">
        <v>3937</v>
      </c>
      <c r="C153" s="367" t="s">
        <v>3938</v>
      </c>
      <c r="D153" s="412"/>
      <c r="E153" s="412" t="str">
        <f>+B152</f>
        <v>ABA030</v>
      </c>
      <c r="F153" s="393"/>
      <c r="G153" s="393"/>
    </row>
    <row r="154" spans="1:7">
      <c r="A154" s="388" t="s">
        <v>1970</v>
      </c>
      <c r="B154" s="363" t="s">
        <v>3939</v>
      </c>
      <c r="C154" s="363" t="s">
        <v>3940</v>
      </c>
      <c r="D154" s="378"/>
      <c r="E154" s="378"/>
      <c r="F154" s="391"/>
      <c r="G154" s="391"/>
    </row>
    <row r="155" spans="1:7">
      <c r="A155" s="366">
        <v>6</v>
      </c>
      <c r="B155" s="366" t="s">
        <v>3941</v>
      </c>
      <c r="C155" s="367" t="s">
        <v>3942</v>
      </c>
      <c r="D155" s="412"/>
      <c r="E155" s="412" t="str">
        <f>+B154</f>
        <v>ABA040</v>
      </c>
      <c r="F155" s="393">
        <v>455252.37</v>
      </c>
      <c r="G155" s="393">
        <v>492660.23</v>
      </c>
    </row>
    <row r="156" spans="1:7">
      <c r="A156" s="366">
        <v>6</v>
      </c>
      <c r="B156" s="366" t="s">
        <v>3943</v>
      </c>
      <c r="C156" s="367" t="s">
        <v>3944</v>
      </c>
      <c r="D156" s="412"/>
      <c r="E156" s="412" t="str">
        <f>+E155</f>
        <v>ABA040</v>
      </c>
      <c r="F156" s="393">
        <v>15064.87</v>
      </c>
      <c r="G156" s="393">
        <v>26291.200000000001</v>
      </c>
    </row>
    <row r="157" spans="1:7">
      <c r="A157" s="366">
        <v>6</v>
      </c>
      <c r="B157" s="366" t="s">
        <v>3945</v>
      </c>
      <c r="C157" s="367" t="s">
        <v>3946</v>
      </c>
      <c r="D157" s="412"/>
      <c r="E157" s="412" t="str">
        <f>+E156</f>
        <v>ABA040</v>
      </c>
      <c r="F157" s="393">
        <v>2848869.74</v>
      </c>
      <c r="G157" s="393">
        <v>2621025.39</v>
      </c>
    </row>
    <row r="158" spans="1:7">
      <c r="A158" s="388" t="s">
        <v>1970</v>
      </c>
      <c r="B158" s="363" t="s">
        <v>3947</v>
      </c>
      <c r="C158" s="363" t="s">
        <v>3948</v>
      </c>
      <c r="D158" s="378"/>
      <c r="E158" s="378"/>
      <c r="F158" s="391"/>
      <c r="G158" s="391"/>
    </row>
    <row r="159" spans="1:7">
      <c r="A159" s="366" t="s">
        <v>1972</v>
      </c>
      <c r="B159" s="366" t="s">
        <v>3949</v>
      </c>
      <c r="C159" s="367" t="s">
        <v>3950</v>
      </c>
      <c r="D159" s="412"/>
      <c r="E159" s="412" t="str">
        <f>+B158</f>
        <v>ABA050</v>
      </c>
      <c r="F159" s="393">
        <v>21008.44</v>
      </c>
      <c r="G159" s="393">
        <v>14219.5</v>
      </c>
    </row>
    <row r="160" spans="1:7">
      <c r="A160" s="388" t="s">
        <v>1970</v>
      </c>
      <c r="B160" s="363" t="s">
        <v>3951</v>
      </c>
      <c r="C160" s="363" t="s">
        <v>3952</v>
      </c>
      <c r="D160" s="378"/>
      <c r="E160" s="378"/>
      <c r="F160" s="391"/>
      <c r="G160" s="391"/>
    </row>
    <row r="161" spans="1:7">
      <c r="A161" s="366" t="s">
        <v>1972</v>
      </c>
      <c r="B161" s="366" t="s">
        <v>3953</v>
      </c>
      <c r="C161" s="367" t="s">
        <v>3954</v>
      </c>
      <c r="D161" s="412"/>
      <c r="E161" s="412" t="str">
        <f>+B160</f>
        <v>ABA060</v>
      </c>
      <c r="F161" s="393"/>
      <c r="G161" s="393"/>
    </row>
    <row r="162" spans="1:7">
      <c r="A162" s="388" t="s">
        <v>1970</v>
      </c>
      <c r="B162" s="363" t="s">
        <v>3955</v>
      </c>
      <c r="C162" s="363" t="s">
        <v>3956</v>
      </c>
      <c r="D162" s="378"/>
      <c r="E162" s="378"/>
      <c r="F162" s="391"/>
      <c r="G162" s="391"/>
    </row>
    <row r="163" spans="1:7">
      <c r="A163" s="366" t="s">
        <v>1972</v>
      </c>
      <c r="B163" s="366" t="s">
        <v>3957</v>
      </c>
      <c r="C163" s="367" t="s">
        <v>3958</v>
      </c>
      <c r="D163" s="412"/>
      <c r="E163" s="412" t="str">
        <f>+B162</f>
        <v>ABA070</v>
      </c>
      <c r="F163" s="393">
        <v>35525.89</v>
      </c>
      <c r="G163" s="393">
        <v>14060.6</v>
      </c>
    </row>
    <row r="164" spans="1:7">
      <c r="A164" s="388" t="s">
        <v>1970</v>
      </c>
      <c r="B164" s="363" t="s">
        <v>3959</v>
      </c>
      <c r="C164" s="363" t="s">
        <v>3960</v>
      </c>
      <c r="D164" s="378"/>
      <c r="E164" s="378"/>
      <c r="F164" s="391"/>
      <c r="G164" s="391"/>
    </row>
    <row r="165" spans="1:7">
      <c r="A165" s="366" t="s">
        <v>1972</v>
      </c>
      <c r="B165" s="366" t="s">
        <v>3961</v>
      </c>
      <c r="C165" s="367" t="s">
        <v>3962</v>
      </c>
      <c r="D165" s="412"/>
      <c r="E165" s="412" t="str">
        <f>+B164</f>
        <v>ABA080</v>
      </c>
      <c r="F165" s="393">
        <v>20.45</v>
      </c>
      <c r="G165" s="393">
        <v>61.36</v>
      </c>
    </row>
    <row r="166" spans="1:7">
      <c r="A166" s="388" t="s">
        <v>1970</v>
      </c>
      <c r="B166" s="363" t="s">
        <v>3963</v>
      </c>
      <c r="C166" s="363" t="s">
        <v>3964</v>
      </c>
      <c r="D166" s="378"/>
      <c r="E166" s="378"/>
      <c r="F166" s="391"/>
      <c r="G166" s="391"/>
    </row>
    <row r="167" spans="1:7">
      <c r="A167" s="366" t="s">
        <v>1972</v>
      </c>
      <c r="B167" s="366" t="s">
        <v>3965</v>
      </c>
      <c r="C167" s="367" t="s">
        <v>3966</v>
      </c>
      <c r="D167" s="412"/>
      <c r="E167" s="412" t="str">
        <f>+B166</f>
        <v>ABA090</v>
      </c>
      <c r="F167" s="393">
        <v>119939.29</v>
      </c>
      <c r="G167" s="393">
        <v>43283.26</v>
      </c>
    </row>
    <row r="168" spans="1:7">
      <c r="A168" s="388" t="s">
        <v>1970</v>
      </c>
      <c r="B168" s="363" t="s">
        <v>3967</v>
      </c>
      <c r="C168" s="363" t="s">
        <v>3968</v>
      </c>
      <c r="D168" s="378"/>
      <c r="E168" s="378"/>
      <c r="F168" s="391"/>
      <c r="G168" s="391"/>
    </row>
    <row r="169" spans="1:7">
      <c r="A169" s="366" t="s">
        <v>1972</v>
      </c>
      <c r="B169" s="366" t="s">
        <v>3969</v>
      </c>
      <c r="C169" s="367" t="s">
        <v>3970</v>
      </c>
      <c r="D169" s="412"/>
      <c r="E169" s="412" t="str">
        <f>+B168</f>
        <v>ABA100</v>
      </c>
      <c r="F169" s="393"/>
      <c r="G169" s="393"/>
    </row>
    <row r="170" spans="1:7">
      <c r="A170" s="388" t="s">
        <v>1968</v>
      </c>
      <c r="B170" s="363" t="s">
        <v>3971</v>
      </c>
      <c r="C170" s="363" t="s">
        <v>3972</v>
      </c>
      <c r="D170" s="378"/>
      <c r="E170" s="378"/>
      <c r="F170" s="391"/>
      <c r="G170" s="391"/>
    </row>
    <row r="171" spans="1:7">
      <c r="A171" s="388" t="s">
        <v>1970</v>
      </c>
      <c r="B171" s="363" t="s">
        <v>3973</v>
      </c>
      <c r="C171" s="363" t="s">
        <v>3974</v>
      </c>
      <c r="D171" s="378"/>
      <c r="E171" s="378"/>
      <c r="F171" s="391"/>
      <c r="G171" s="391"/>
    </row>
    <row r="172" spans="1:7">
      <c r="A172" s="366" t="s">
        <v>1972</v>
      </c>
      <c r="B172" s="366" t="s">
        <v>3975</v>
      </c>
      <c r="C172" s="367" t="s">
        <v>3976</v>
      </c>
      <c r="D172" s="412"/>
      <c r="E172" s="412" t="str">
        <f>+B171</f>
        <v>ABA120</v>
      </c>
      <c r="F172" s="393">
        <v>753.96</v>
      </c>
      <c r="G172" s="393">
        <v>326.72000000000003</v>
      </c>
    </row>
    <row r="173" spans="1:7">
      <c r="A173" s="388" t="s">
        <v>1970</v>
      </c>
      <c r="B173" s="363" t="s">
        <v>3977</v>
      </c>
      <c r="C173" s="363" t="s">
        <v>3978</v>
      </c>
      <c r="D173" s="378"/>
      <c r="E173" s="378"/>
      <c r="F173" s="391"/>
      <c r="G173" s="391"/>
    </row>
    <row r="174" spans="1:7">
      <c r="A174" s="366" t="s">
        <v>1972</v>
      </c>
      <c r="B174" s="366" t="s">
        <v>3979</v>
      </c>
      <c r="C174" s="367" t="s">
        <v>3980</v>
      </c>
      <c r="D174" s="412"/>
      <c r="E174" s="412" t="str">
        <f>+B173</f>
        <v>ABA130</v>
      </c>
      <c r="F174" s="393">
        <v>121656.5</v>
      </c>
      <c r="G174" s="393">
        <v>252379.99</v>
      </c>
    </row>
    <row r="175" spans="1:7">
      <c r="A175" s="388" t="s">
        <v>1970</v>
      </c>
      <c r="B175" s="363" t="s">
        <v>3981</v>
      </c>
      <c r="C175" s="363" t="s">
        <v>3982</v>
      </c>
      <c r="D175" s="378"/>
      <c r="E175" s="378"/>
      <c r="F175" s="391"/>
      <c r="G175" s="391"/>
    </row>
    <row r="176" spans="1:7">
      <c r="A176" s="366" t="s">
        <v>1972</v>
      </c>
      <c r="B176" s="366" t="s">
        <v>3983</v>
      </c>
      <c r="C176" s="367" t="s">
        <v>3984</v>
      </c>
      <c r="D176" s="412"/>
      <c r="E176" s="412" t="str">
        <f>+B175</f>
        <v>ABA140</v>
      </c>
      <c r="F176" s="393"/>
      <c r="G176" s="393"/>
    </row>
    <row r="177" spans="1:8">
      <c r="A177" s="388" t="s">
        <v>1970</v>
      </c>
      <c r="B177" s="363" t="s">
        <v>3985</v>
      </c>
      <c r="C177" s="363" t="s">
        <v>3986</v>
      </c>
      <c r="D177" s="378"/>
      <c r="E177" s="378"/>
      <c r="F177" s="391"/>
      <c r="G177" s="391"/>
    </row>
    <row r="178" spans="1:8">
      <c r="A178" s="366" t="s">
        <v>1972</v>
      </c>
      <c r="B178" s="366" t="s">
        <v>3987</v>
      </c>
      <c r="C178" s="367" t="s">
        <v>3988</v>
      </c>
      <c r="D178" s="412"/>
      <c r="E178" s="412" t="str">
        <f>+B177</f>
        <v>ABA150</v>
      </c>
      <c r="F178" s="393">
        <v>34230.559999999998</v>
      </c>
      <c r="G178" s="393">
        <v>51561.48</v>
      </c>
    </row>
    <row r="179" spans="1:8">
      <c r="A179" s="388" t="s">
        <v>1970</v>
      </c>
      <c r="B179" s="363" t="s">
        <v>3989</v>
      </c>
      <c r="C179" s="363" t="s">
        <v>3990</v>
      </c>
      <c r="D179" s="378"/>
      <c r="E179" s="378"/>
      <c r="F179" s="391"/>
      <c r="G179" s="391"/>
    </row>
    <row r="180" spans="1:8">
      <c r="A180" s="366" t="s">
        <v>1972</v>
      </c>
      <c r="B180" s="366" t="s">
        <v>3991</v>
      </c>
      <c r="C180" s="367" t="s">
        <v>3992</v>
      </c>
      <c r="D180" s="412"/>
      <c r="E180" s="412" t="str">
        <f>+B179</f>
        <v>ABA160</v>
      </c>
      <c r="F180" s="393">
        <v>8419.81</v>
      </c>
      <c r="G180" s="393">
        <v>6158.23</v>
      </c>
    </row>
    <row r="181" spans="1:8">
      <c r="A181" s="388" t="s">
        <v>1970</v>
      </c>
      <c r="B181" s="363" t="s">
        <v>3993</v>
      </c>
      <c r="C181" s="363" t="s">
        <v>3994</v>
      </c>
      <c r="D181" s="378"/>
      <c r="E181" s="378"/>
      <c r="F181" s="391"/>
      <c r="G181" s="391"/>
    </row>
    <row r="182" spans="1:8">
      <c r="A182" s="366" t="s">
        <v>1972</v>
      </c>
      <c r="B182" s="366" t="s">
        <v>3995</v>
      </c>
      <c r="C182" s="367" t="s">
        <v>3996</v>
      </c>
      <c r="D182" s="412"/>
      <c r="E182" s="412" t="str">
        <f>+B181</f>
        <v>ABA170</v>
      </c>
      <c r="F182" s="393">
        <v>9851.06</v>
      </c>
      <c r="G182" s="393">
        <v>13400.58</v>
      </c>
    </row>
    <row r="183" spans="1:8">
      <c r="A183" s="388" t="s">
        <v>1975</v>
      </c>
      <c r="B183" s="363" t="s">
        <v>3997</v>
      </c>
      <c r="C183" s="363" t="s">
        <v>3998</v>
      </c>
      <c r="D183" s="378"/>
      <c r="E183" s="378"/>
      <c r="F183" s="391"/>
      <c r="G183" s="391"/>
    </row>
    <row r="184" spans="1:8">
      <c r="A184" s="366" t="s">
        <v>1975</v>
      </c>
      <c r="B184" s="366" t="s">
        <v>3999</v>
      </c>
      <c r="C184" s="367" t="s">
        <v>4000</v>
      </c>
      <c r="D184" s="412"/>
      <c r="E184" s="412" t="str">
        <f>+B183</f>
        <v>ABA180</v>
      </c>
      <c r="F184" s="393"/>
      <c r="G184" s="393"/>
    </row>
    <row r="185" spans="1:8">
      <c r="A185" s="388" t="s">
        <v>1966</v>
      </c>
      <c r="B185" s="363" t="s">
        <v>4001</v>
      </c>
      <c r="C185" s="363" t="s">
        <v>4002</v>
      </c>
      <c r="D185" s="378"/>
      <c r="E185" s="378"/>
      <c r="F185" s="391"/>
      <c r="G185" s="391"/>
    </row>
    <row r="186" spans="1:8">
      <c r="A186" s="388" t="s">
        <v>1968</v>
      </c>
      <c r="B186" s="363" t="s">
        <v>4003</v>
      </c>
      <c r="C186" s="363" t="s">
        <v>4004</v>
      </c>
      <c r="D186" s="378"/>
      <c r="E186" s="378"/>
      <c r="F186" s="391"/>
      <c r="G186" s="391"/>
    </row>
    <row r="187" spans="1:8">
      <c r="A187" s="388" t="s">
        <v>1970</v>
      </c>
      <c r="B187" s="363" t="s">
        <v>4005</v>
      </c>
      <c r="C187" s="363" t="s">
        <v>4006</v>
      </c>
      <c r="D187" s="378"/>
      <c r="E187" s="378"/>
      <c r="F187" s="391"/>
      <c r="G187" s="391"/>
    </row>
    <row r="188" spans="1:8">
      <c r="A188" s="366">
        <v>6</v>
      </c>
      <c r="B188" s="366" t="s">
        <v>4007</v>
      </c>
      <c r="C188" s="367" t="s">
        <v>4008</v>
      </c>
      <c r="D188" s="412"/>
      <c r="E188" s="412" t="str">
        <f>+B187</f>
        <v>ABA201</v>
      </c>
      <c r="F188" s="393"/>
      <c r="G188" s="393">
        <v>3981045</v>
      </c>
    </row>
    <row r="189" spans="1:8">
      <c r="A189" s="366" t="s">
        <v>1972</v>
      </c>
      <c r="B189" s="366" t="s">
        <v>4009</v>
      </c>
      <c r="C189" s="367" t="s">
        <v>4010</v>
      </c>
      <c r="D189" s="412"/>
      <c r="E189" s="412" t="str">
        <f>+E188</f>
        <v>ABA201</v>
      </c>
      <c r="F189" s="393"/>
      <c r="G189" s="393"/>
      <c r="H189" t="s">
        <v>5196</v>
      </c>
    </row>
    <row r="190" spans="1:8">
      <c r="A190" s="388" t="s">
        <v>1970</v>
      </c>
      <c r="B190" s="363" t="s">
        <v>4011</v>
      </c>
      <c r="C190" s="363" t="s">
        <v>4012</v>
      </c>
      <c r="D190" s="378"/>
      <c r="E190" s="378"/>
      <c r="F190" s="391"/>
      <c r="G190" s="391"/>
    </row>
    <row r="191" spans="1:8">
      <c r="A191" s="366">
        <v>6</v>
      </c>
      <c r="B191" s="366" t="s">
        <v>4013</v>
      </c>
      <c r="C191" s="367" t="s">
        <v>4014</v>
      </c>
      <c r="D191" s="412"/>
      <c r="E191" s="412" t="str">
        <f>+B190</f>
        <v>ABA220</v>
      </c>
      <c r="F191" s="393">
        <v>12875712.859999999</v>
      </c>
      <c r="G191" s="393">
        <v>12875712.859999999</v>
      </c>
    </row>
    <row r="192" spans="1:8">
      <c r="A192" s="366" t="s">
        <v>1972</v>
      </c>
      <c r="B192" s="366" t="s">
        <v>4015</v>
      </c>
      <c r="C192" s="367" t="s">
        <v>4016</v>
      </c>
      <c r="D192" s="412"/>
      <c r="E192" s="412" t="str">
        <f>+E191</f>
        <v>ABA220</v>
      </c>
      <c r="F192" s="393"/>
      <c r="G192" s="393"/>
      <c r="H192" t="s">
        <v>5196</v>
      </c>
    </row>
    <row r="193" spans="1:8">
      <c r="A193" s="388" t="s">
        <v>1970</v>
      </c>
      <c r="B193" s="363" t="s">
        <v>4017</v>
      </c>
      <c r="C193" s="363" t="s">
        <v>4018</v>
      </c>
      <c r="D193" s="378"/>
      <c r="E193" s="378"/>
      <c r="F193" s="391"/>
      <c r="G193" s="391"/>
    </row>
    <row r="194" spans="1:8">
      <c r="A194" s="366">
        <v>6</v>
      </c>
      <c r="B194" s="366" t="s">
        <v>4019</v>
      </c>
      <c r="C194" s="367" t="s">
        <v>4020</v>
      </c>
      <c r="D194" s="412"/>
      <c r="E194" s="412" t="str">
        <f>+B193</f>
        <v>ABA230</v>
      </c>
      <c r="F194" s="393"/>
      <c r="G194" s="393"/>
    </row>
    <row r="195" spans="1:8">
      <c r="A195" s="366" t="s">
        <v>1972</v>
      </c>
      <c r="B195" s="366" t="s">
        <v>4021</v>
      </c>
      <c r="C195" s="367" t="s">
        <v>4022</v>
      </c>
      <c r="D195" s="412"/>
      <c r="E195" s="412" t="str">
        <f>+E194</f>
        <v>ABA230</v>
      </c>
      <c r="F195" s="393"/>
      <c r="G195" s="393"/>
      <c r="H195" t="s">
        <v>5196</v>
      </c>
    </row>
    <row r="196" spans="1:8">
      <c r="A196" s="388" t="s">
        <v>1970</v>
      </c>
      <c r="B196" s="363" t="s">
        <v>4023</v>
      </c>
      <c r="C196" s="363" t="s">
        <v>4024</v>
      </c>
      <c r="D196" s="378"/>
      <c r="E196" s="378"/>
      <c r="F196" s="391"/>
      <c r="G196" s="391"/>
    </row>
    <row r="197" spans="1:8">
      <c r="A197" s="366">
        <v>6</v>
      </c>
      <c r="B197" s="366" t="s">
        <v>4025</v>
      </c>
      <c r="C197" s="367" t="s">
        <v>4026</v>
      </c>
      <c r="D197" s="412"/>
      <c r="E197" s="412" t="str">
        <f>+B196</f>
        <v>ABA240</v>
      </c>
      <c r="F197" s="393"/>
      <c r="G197" s="393"/>
    </row>
    <row r="198" spans="1:8">
      <c r="A198" s="366" t="s">
        <v>1972</v>
      </c>
      <c r="B198" s="366" t="s">
        <v>4027</v>
      </c>
      <c r="C198" s="367" t="s">
        <v>4028</v>
      </c>
      <c r="D198" s="412"/>
      <c r="E198" s="412" t="str">
        <f>+E197</f>
        <v>ABA240</v>
      </c>
      <c r="F198" s="393"/>
      <c r="G198" s="393"/>
      <c r="H198" t="s">
        <v>5196</v>
      </c>
    </row>
    <row r="199" spans="1:8" ht="25.5">
      <c r="A199" s="388" t="s">
        <v>1970</v>
      </c>
      <c r="B199" s="363" t="s">
        <v>4029</v>
      </c>
      <c r="C199" s="363" t="s">
        <v>4030</v>
      </c>
      <c r="D199" s="378"/>
      <c r="E199" s="378"/>
      <c r="F199" s="391"/>
      <c r="G199" s="391"/>
    </row>
    <row r="200" spans="1:8">
      <c r="A200" s="366">
        <v>6</v>
      </c>
      <c r="B200" s="366" t="s">
        <v>4031</v>
      </c>
      <c r="C200" s="367" t="s">
        <v>4032</v>
      </c>
      <c r="D200" s="412"/>
      <c r="E200" s="412" t="str">
        <f>+B199</f>
        <v>ABA250</v>
      </c>
      <c r="F200" s="393"/>
      <c r="G200" s="393"/>
    </row>
    <row r="201" spans="1:8" ht="24">
      <c r="A201" s="366" t="s">
        <v>1972</v>
      </c>
      <c r="B201" s="366" t="s">
        <v>4033</v>
      </c>
      <c r="C201" s="367" t="s">
        <v>4034</v>
      </c>
      <c r="D201" s="412"/>
      <c r="E201" s="412" t="str">
        <f>+E200</f>
        <v>ABA250</v>
      </c>
      <c r="F201" s="393"/>
      <c r="G201" s="393"/>
      <c r="H201" t="s">
        <v>5196</v>
      </c>
    </row>
    <row r="202" spans="1:8">
      <c r="A202" s="388" t="s">
        <v>1970</v>
      </c>
      <c r="B202" s="363" t="s">
        <v>4035</v>
      </c>
      <c r="C202" s="363" t="s">
        <v>4036</v>
      </c>
      <c r="D202" s="378"/>
      <c r="E202" s="378"/>
      <c r="F202" s="391"/>
      <c r="G202" s="391"/>
    </row>
    <row r="203" spans="1:8">
      <c r="A203" s="366">
        <v>6</v>
      </c>
      <c r="B203" s="366" t="s">
        <v>4037</v>
      </c>
      <c r="C203" s="367" t="s">
        <v>4038</v>
      </c>
      <c r="D203" s="412"/>
      <c r="E203" s="412" t="str">
        <f>+B202</f>
        <v>ABA260</v>
      </c>
      <c r="F203" s="393"/>
      <c r="G203" s="393"/>
    </row>
    <row r="204" spans="1:8" ht="24">
      <c r="A204" s="366" t="s">
        <v>1972</v>
      </c>
      <c r="B204" s="366" t="s">
        <v>4039</v>
      </c>
      <c r="C204" s="367" t="s">
        <v>4040</v>
      </c>
      <c r="D204" s="412"/>
      <c r="E204" s="412" t="str">
        <f>+E203</f>
        <v>ABA260</v>
      </c>
      <c r="F204" s="393"/>
      <c r="G204" s="393"/>
      <c r="H204" t="s">
        <v>5196</v>
      </c>
    </row>
    <row r="205" spans="1:8">
      <c r="A205" s="388" t="s">
        <v>1970</v>
      </c>
      <c r="B205" s="363" t="s">
        <v>4041</v>
      </c>
      <c r="C205" s="363" t="s">
        <v>4042</v>
      </c>
      <c r="D205" s="378"/>
      <c r="E205" s="378"/>
      <c r="F205" s="391"/>
      <c r="G205" s="391"/>
    </row>
    <row r="206" spans="1:8">
      <c r="A206" s="366">
        <v>6</v>
      </c>
      <c r="B206" s="366" t="s">
        <v>4043</v>
      </c>
      <c r="C206" s="367" t="s">
        <v>4044</v>
      </c>
      <c r="D206" s="412"/>
      <c r="E206" s="412" t="str">
        <f>+B205</f>
        <v>ABA270</v>
      </c>
      <c r="F206" s="393">
        <v>2133598.9900000002</v>
      </c>
      <c r="G206" s="393">
        <v>1015063.85</v>
      </c>
    </row>
    <row r="207" spans="1:8">
      <c r="A207" s="366">
        <v>6</v>
      </c>
      <c r="B207" s="366" t="s">
        <v>4045</v>
      </c>
      <c r="C207" s="367" t="s">
        <v>4046</v>
      </c>
      <c r="D207" s="412"/>
      <c r="E207" s="412" t="str">
        <f>+E206</f>
        <v>ABA270</v>
      </c>
      <c r="F207" s="393">
        <v>4500</v>
      </c>
      <c r="G207" s="393"/>
    </row>
    <row r="208" spans="1:8">
      <c r="A208" s="366">
        <v>6</v>
      </c>
      <c r="B208" s="366" t="s">
        <v>4047</v>
      </c>
      <c r="C208" s="367" t="s">
        <v>4048</v>
      </c>
      <c r="D208" s="412"/>
      <c r="E208" s="412" t="str">
        <f>+E207</f>
        <v>ABA270</v>
      </c>
      <c r="F208" s="393"/>
      <c r="G208" s="393"/>
    </row>
    <row r="209" spans="1:8">
      <c r="A209" s="366" t="s">
        <v>1972</v>
      </c>
      <c r="B209" s="366" t="s">
        <v>4049</v>
      </c>
      <c r="C209" s="367" t="s">
        <v>4050</v>
      </c>
      <c r="D209" s="412"/>
      <c r="E209" s="412" t="str">
        <f>+E208</f>
        <v>ABA270</v>
      </c>
      <c r="F209" s="393">
        <v>-39108.910000000003</v>
      </c>
      <c r="G209" s="393">
        <v>-54284.76</v>
      </c>
      <c r="H209" t="s">
        <v>5196</v>
      </c>
    </row>
    <row r="210" spans="1:8">
      <c r="A210" s="388" t="s">
        <v>1970</v>
      </c>
      <c r="B210" s="363" t="s">
        <v>4051</v>
      </c>
      <c r="C210" s="363" t="s">
        <v>4052</v>
      </c>
      <c r="D210" s="378"/>
      <c r="E210" s="378"/>
      <c r="F210" s="391"/>
      <c r="G210" s="391"/>
    </row>
    <row r="211" spans="1:8">
      <c r="A211" s="366">
        <v>6</v>
      </c>
      <c r="B211" s="366" t="s">
        <v>4053</v>
      </c>
      <c r="C211" s="367" t="s">
        <v>4054</v>
      </c>
      <c r="D211" s="412"/>
      <c r="E211" s="412" t="str">
        <f>+B210</f>
        <v>ABA271</v>
      </c>
      <c r="F211" s="393"/>
      <c r="G211" s="393"/>
    </row>
    <row r="212" spans="1:8" ht="24">
      <c r="A212" s="366" t="s">
        <v>1972</v>
      </c>
      <c r="B212" s="366" t="s">
        <v>4055</v>
      </c>
      <c r="C212" s="367" t="s">
        <v>4056</v>
      </c>
      <c r="D212" s="412"/>
      <c r="E212" s="412" t="str">
        <f>+E211</f>
        <v>ABA271</v>
      </c>
      <c r="F212" s="393"/>
      <c r="G212" s="393"/>
      <c r="H212" t="s">
        <v>5196</v>
      </c>
    </row>
    <row r="213" spans="1:8">
      <c r="A213" s="388" t="s">
        <v>1970</v>
      </c>
      <c r="B213" s="363" t="s">
        <v>4057</v>
      </c>
      <c r="C213" s="363" t="s">
        <v>4058</v>
      </c>
      <c r="D213" s="378"/>
      <c r="E213" s="378"/>
      <c r="F213" s="391"/>
      <c r="G213" s="391"/>
    </row>
    <row r="214" spans="1:8">
      <c r="A214" s="366">
        <v>6</v>
      </c>
      <c r="B214" s="366" t="s">
        <v>4059</v>
      </c>
      <c r="C214" s="367" t="s">
        <v>4060</v>
      </c>
      <c r="D214" s="412"/>
      <c r="E214" s="412" t="str">
        <f>+B213</f>
        <v>ABA280</v>
      </c>
      <c r="F214" s="393">
        <v>44008633.460000001</v>
      </c>
      <c r="G214" s="393">
        <v>46789127.659999996</v>
      </c>
    </row>
    <row r="215" spans="1:8">
      <c r="A215" s="366" t="s">
        <v>1972</v>
      </c>
      <c r="B215" s="366" t="s">
        <v>4061</v>
      </c>
      <c r="C215" s="367" t="s">
        <v>4062</v>
      </c>
      <c r="D215" s="412"/>
      <c r="E215" s="412" t="str">
        <f>+E214</f>
        <v>ABA280</v>
      </c>
      <c r="F215" s="393"/>
      <c r="G215" s="393"/>
      <c r="H215" t="s">
        <v>5196</v>
      </c>
    </row>
    <row r="216" spans="1:8">
      <c r="A216" s="388" t="s">
        <v>1970</v>
      </c>
      <c r="B216" s="363" t="s">
        <v>4063</v>
      </c>
      <c r="C216" s="363" t="s">
        <v>4064</v>
      </c>
      <c r="D216" s="378"/>
      <c r="E216" s="378"/>
      <c r="F216" s="391"/>
      <c r="G216" s="391"/>
    </row>
    <row r="217" spans="1:8">
      <c r="A217" s="388" t="s">
        <v>1972</v>
      </c>
      <c r="B217" s="363" t="s">
        <v>4065</v>
      </c>
      <c r="C217" s="363" t="s">
        <v>4066</v>
      </c>
      <c r="D217" s="378"/>
      <c r="E217" s="378"/>
      <c r="F217" s="391"/>
      <c r="G217" s="391"/>
    </row>
    <row r="218" spans="1:8">
      <c r="A218" s="366">
        <v>7</v>
      </c>
      <c r="B218" s="366" t="s">
        <v>4067</v>
      </c>
      <c r="C218" s="367" t="s">
        <v>4068</v>
      </c>
      <c r="D218" s="412"/>
      <c r="E218" s="412" t="str">
        <f>+B217</f>
        <v>ABA300</v>
      </c>
      <c r="F218" s="393">
        <v>7924.2</v>
      </c>
      <c r="G218" s="393">
        <v>7876.2</v>
      </c>
    </row>
    <row r="219" spans="1:8" ht="24">
      <c r="A219" s="366" t="s">
        <v>1975</v>
      </c>
      <c r="B219" s="366" t="s">
        <v>4069</v>
      </c>
      <c r="C219" s="367" t="s">
        <v>4070</v>
      </c>
      <c r="D219" s="412"/>
      <c r="E219" s="412" t="str">
        <f>+E218</f>
        <v>ABA300</v>
      </c>
      <c r="F219" s="393">
        <v>-7876.2</v>
      </c>
      <c r="G219" s="393">
        <v>-7876.2</v>
      </c>
      <c r="H219" t="s">
        <v>5196</v>
      </c>
    </row>
    <row r="220" spans="1:8">
      <c r="A220" s="388" t="s">
        <v>1972</v>
      </c>
      <c r="B220" s="363" t="s">
        <v>4071</v>
      </c>
      <c r="C220" s="363" t="s">
        <v>4072</v>
      </c>
      <c r="D220" s="378"/>
      <c r="E220" s="378"/>
      <c r="F220" s="391"/>
      <c r="G220" s="391"/>
    </row>
    <row r="221" spans="1:8">
      <c r="A221" s="366">
        <v>7</v>
      </c>
      <c r="B221" s="366" t="s">
        <v>4073</v>
      </c>
      <c r="C221" s="367" t="s">
        <v>4074</v>
      </c>
      <c r="D221" s="412"/>
      <c r="E221" s="412" t="str">
        <f>+B220</f>
        <v>ABA310</v>
      </c>
      <c r="F221" s="393"/>
      <c r="G221" s="393"/>
    </row>
    <row r="222" spans="1:8" ht="24">
      <c r="A222" s="366" t="s">
        <v>1975</v>
      </c>
      <c r="B222" s="366" t="s">
        <v>4075</v>
      </c>
      <c r="C222" s="367" t="s">
        <v>4076</v>
      </c>
      <c r="D222" s="412"/>
      <c r="E222" s="412" t="str">
        <f>+E221</f>
        <v>ABA310</v>
      </c>
      <c r="F222" s="393"/>
      <c r="G222" s="393"/>
      <c r="H222" t="s">
        <v>5196</v>
      </c>
    </row>
    <row r="223" spans="1:8">
      <c r="A223" s="388" t="s">
        <v>1972</v>
      </c>
      <c r="B223" s="363" t="s">
        <v>4077</v>
      </c>
      <c r="C223" s="363" t="s">
        <v>4078</v>
      </c>
      <c r="D223" s="378"/>
      <c r="E223" s="378"/>
      <c r="F223" s="391"/>
      <c r="G223" s="391"/>
    </row>
    <row r="224" spans="1:8">
      <c r="A224" s="366">
        <v>7</v>
      </c>
      <c r="B224" s="366" t="s">
        <v>4079</v>
      </c>
      <c r="C224" s="367" t="s">
        <v>4080</v>
      </c>
      <c r="D224" s="412"/>
      <c r="E224" s="412" t="str">
        <f>+B223</f>
        <v>ABA320</v>
      </c>
      <c r="F224" s="393"/>
      <c r="G224" s="393"/>
    </row>
    <row r="225" spans="1:8">
      <c r="A225" s="366">
        <v>7</v>
      </c>
      <c r="B225" s="366" t="s">
        <v>4081</v>
      </c>
      <c r="C225" s="367" t="s">
        <v>4082</v>
      </c>
      <c r="D225" s="412"/>
      <c r="E225" s="412" t="str">
        <f>+E224</f>
        <v>ABA320</v>
      </c>
      <c r="F225" s="393"/>
      <c r="G225" s="393"/>
    </row>
    <row r="226" spans="1:8">
      <c r="A226" s="366">
        <v>7</v>
      </c>
      <c r="B226" s="366" t="s">
        <v>4083</v>
      </c>
      <c r="C226" s="367" t="s">
        <v>4084</v>
      </c>
      <c r="D226" s="412"/>
      <c r="E226" s="412" t="str">
        <f>+E225</f>
        <v>ABA320</v>
      </c>
      <c r="F226" s="393">
        <v>7183.68</v>
      </c>
      <c r="G226" s="393">
        <v>7183.68</v>
      </c>
    </row>
    <row r="227" spans="1:8" ht="24">
      <c r="A227" s="366" t="s">
        <v>1975</v>
      </c>
      <c r="B227" s="366" t="s">
        <v>4085</v>
      </c>
      <c r="C227" s="367" t="s">
        <v>4086</v>
      </c>
      <c r="D227" s="412"/>
      <c r="E227" s="412" t="str">
        <f>+E226</f>
        <v>ABA320</v>
      </c>
      <c r="F227" s="393"/>
      <c r="G227" s="393"/>
      <c r="H227" t="s">
        <v>5196</v>
      </c>
    </row>
    <row r="228" spans="1:8">
      <c r="A228" s="388" t="s">
        <v>1972</v>
      </c>
      <c r="B228" s="363" t="s">
        <v>4087</v>
      </c>
      <c r="C228" s="363" t="s">
        <v>4088</v>
      </c>
      <c r="D228" s="378"/>
      <c r="E228" s="378"/>
      <c r="F228" s="391"/>
      <c r="G228" s="391"/>
    </row>
    <row r="229" spans="1:8">
      <c r="A229" s="366">
        <v>7</v>
      </c>
      <c r="B229" s="366" t="s">
        <v>4089</v>
      </c>
      <c r="C229" s="367" t="s">
        <v>4090</v>
      </c>
      <c r="D229" s="412"/>
      <c r="E229" s="412" t="str">
        <f>+B228</f>
        <v>ABA330</v>
      </c>
      <c r="F229" s="393"/>
      <c r="G229" s="393"/>
    </row>
    <row r="230" spans="1:8" ht="24">
      <c r="A230" s="366" t="s">
        <v>1975</v>
      </c>
      <c r="B230" s="366" t="s">
        <v>4091</v>
      </c>
      <c r="C230" s="367" t="s">
        <v>4092</v>
      </c>
      <c r="D230" s="412"/>
      <c r="E230" s="412" t="str">
        <f>+E229</f>
        <v>ABA330</v>
      </c>
      <c r="F230" s="393"/>
      <c r="G230" s="393"/>
      <c r="H230" t="s">
        <v>5196</v>
      </c>
    </row>
    <row r="231" spans="1:8">
      <c r="A231" s="388" t="s">
        <v>1970</v>
      </c>
      <c r="B231" s="363" t="s">
        <v>4093</v>
      </c>
      <c r="C231" s="363" t="s">
        <v>4094</v>
      </c>
      <c r="D231" s="378"/>
      <c r="E231" s="378"/>
      <c r="F231" s="391"/>
      <c r="G231" s="391"/>
    </row>
    <row r="232" spans="1:8">
      <c r="A232" s="366">
        <v>6</v>
      </c>
      <c r="B232" s="366" t="s">
        <v>4095</v>
      </c>
      <c r="C232" s="367" t="s">
        <v>4096</v>
      </c>
      <c r="D232" s="412"/>
      <c r="E232" s="412" t="str">
        <f>+B231</f>
        <v>ABA340</v>
      </c>
      <c r="F232" s="393">
        <v>939</v>
      </c>
      <c r="G232" s="393">
        <v>621.91999999999996</v>
      </c>
    </row>
    <row r="233" spans="1:8">
      <c r="A233" s="366">
        <v>6</v>
      </c>
      <c r="B233" s="366" t="s">
        <v>4097</v>
      </c>
      <c r="C233" s="367" t="s">
        <v>4098</v>
      </c>
      <c r="D233" s="412"/>
      <c r="E233" s="412" t="str">
        <f>+E232</f>
        <v>ABA340</v>
      </c>
      <c r="F233" s="393">
        <v>770.4</v>
      </c>
      <c r="G233" s="393">
        <v>739.2</v>
      </c>
    </row>
    <row r="234" spans="1:8">
      <c r="A234" s="366">
        <v>6</v>
      </c>
      <c r="B234" s="366" t="s">
        <v>4099</v>
      </c>
      <c r="C234" s="367" t="s">
        <v>4100</v>
      </c>
      <c r="D234" s="412"/>
      <c r="E234" s="412" t="str">
        <f>+E233</f>
        <v>ABA340</v>
      </c>
      <c r="F234" s="393"/>
      <c r="G234" s="393"/>
    </row>
    <row r="235" spans="1:8">
      <c r="A235" s="366" t="s">
        <v>1972</v>
      </c>
      <c r="B235" s="366" t="s">
        <v>4101</v>
      </c>
      <c r="C235" s="367" t="s">
        <v>4102</v>
      </c>
      <c r="D235" s="412"/>
      <c r="E235" s="412" t="str">
        <f>+E234</f>
        <v>ABA340</v>
      </c>
      <c r="F235" s="393"/>
      <c r="G235" s="393"/>
      <c r="H235" t="s">
        <v>5196</v>
      </c>
    </row>
    <row r="236" spans="1:8">
      <c r="A236" s="388" t="s">
        <v>1968</v>
      </c>
      <c r="B236" s="363" t="s">
        <v>4103</v>
      </c>
      <c r="C236" s="363" t="s">
        <v>4104</v>
      </c>
      <c r="D236" s="378"/>
      <c r="E236" s="378"/>
      <c r="F236" s="391"/>
      <c r="G236" s="391"/>
    </row>
    <row r="237" spans="1:8">
      <c r="A237" s="388" t="s">
        <v>1970</v>
      </c>
      <c r="B237" s="363" t="s">
        <v>4105</v>
      </c>
      <c r="C237" s="363" t="s">
        <v>4106</v>
      </c>
      <c r="D237" s="378"/>
      <c r="E237" s="378"/>
      <c r="F237" s="391"/>
      <c r="G237" s="391"/>
    </row>
    <row r="238" spans="1:8">
      <c r="A238" s="388" t="s">
        <v>1972</v>
      </c>
      <c r="B238" s="363" t="s">
        <v>4107</v>
      </c>
      <c r="C238" s="363" t="s">
        <v>4108</v>
      </c>
      <c r="D238" s="378"/>
      <c r="E238" s="378"/>
      <c r="F238" s="391"/>
      <c r="G238" s="391"/>
    </row>
    <row r="239" spans="1:8">
      <c r="A239" s="366">
        <v>7</v>
      </c>
      <c r="B239" s="366" t="s">
        <v>4109</v>
      </c>
      <c r="C239" s="367" t="s">
        <v>4110</v>
      </c>
      <c r="D239" s="412"/>
      <c r="E239" s="412" t="str">
        <f>+B238</f>
        <v>ABA390</v>
      </c>
      <c r="F239" s="393">
        <v>36509</v>
      </c>
      <c r="G239" s="393">
        <v>72448.53</v>
      </c>
    </row>
    <row r="240" spans="1:8">
      <c r="A240" s="366" t="s">
        <v>1975</v>
      </c>
      <c r="B240" s="366" t="s">
        <v>4111</v>
      </c>
      <c r="C240" s="367" t="s">
        <v>4112</v>
      </c>
      <c r="D240" s="412"/>
      <c r="E240" s="412" t="str">
        <f>+E239</f>
        <v>ABA390</v>
      </c>
      <c r="F240" s="393"/>
      <c r="G240" s="393"/>
      <c r="H240" t="s">
        <v>5196</v>
      </c>
    </row>
    <row r="241" spans="1:8" ht="25.5">
      <c r="A241" s="388" t="s">
        <v>1972</v>
      </c>
      <c r="B241" s="363" t="s">
        <v>4113</v>
      </c>
      <c r="C241" s="363" t="s">
        <v>4114</v>
      </c>
      <c r="D241" s="378" t="s">
        <v>1248</v>
      </c>
      <c r="E241" s="378"/>
      <c r="F241" s="391"/>
      <c r="G241" s="391"/>
    </row>
    <row r="242" spans="1:8">
      <c r="A242" s="366">
        <v>7</v>
      </c>
      <c r="B242" s="366" t="s">
        <v>4115</v>
      </c>
      <c r="C242" s="367" t="s">
        <v>4116</v>
      </c>
      <c r="D242" s="412" t="s">
        <v>1248</v>
      </c>
      <c r="E242" s="412" t="str">
        <f>+B241</f>
        <v>ABA400</v>
      </c>
      <c r="F242" s="393"/>
      <c r="G242" s="393"/>
    </row>
    <row r="243" spans="1:8" ht="24">
      <c r="A243" s="366" t="s">
        <v>1975</v>
      </c>
      <c r="B243" s="366" t="s">
        <v>4117</v>
      </c>
      <c r="C243" s="367" t="s">
        <v>4118</v>
      </c>
      <c r="D243" s="412" t="s">
        <v>1248</v>
      </c>
      <c r="E243" s="412" t="str">
        <f>+E242</f>
        <v>ABA400</v>
      </c>
      <c r="F243" s="393"/>
      <c r="G243" s="393"/>
      <c r="H243" t="s">
        <v>5196</v>
      </c>
    </row>
    <row r="244" spans="1:8" ht="25.5">
      <c r="A244" s="388" t="s">
        <v>1972</v>
      </c>
      <c r="B244" s="363" t="s">
        <v>4119</v>
      </c>
      <c r="C244" s="363" t="s">
        <v>4120</v>
      </c>
      <c r="D244" s="378"/>
      <c r="E244" s="378"/>
      <c r="F244" s="391"/>
      <c r="G244" s="391"/>
    </row>
    <row r="245" spans="1:8">
      <c r="A245" s="366">
        <v>7</v>
      </c>
      <c r="B245" s="366" t="s">
        <v>4121</v>
      </c>
      <c r="C245" s="367" t="s">
        <v>4122</v>
      </c>
      <c r="D245" s="412"/>
      <c r="E245" s="412" t="str">
        <f>+B244</f>
        <v>ABA410</v>
      </c>
      <c r="F245" s="393">
        <v>2062756.88</v>
      </c>
      <c r="G245" s="393">
        <v>2062756.88</v>
      </c>
    </row>
    <row r="246" spans="1:8" ht="24">
      <c r="A246" s="366">
        <v>7</v>
      </c>
      <c r="B246" s="366" t="s">
        <v>4123</v>
      </c>
      <c r="C246" s="367" t="s">
        <v>4124</v>
      </c>
      <c r="D246" s="412"/>
      <c r="E246" s="412" t="str">
        <f>+E245</f>
        <v>ABA410</v>
      </c>
      <c r="F246" s="393"/>
      <c r="G246" s="393"/>
      <c r="H246" t="s">
        <v>5196</v>
      </c>
    </row>
    <row r="247" spans="1:8" ht="25.5">
      <c r="A247" s="388" t="s">
        <v>1972</v>
      </c>
      <c r="B247" s="363" t="s">
        <v>4125</v>
      </c>
      <c r="C247" s="363" t="s">
        <v>4126</v>
      </c>
      <c r="D247" s="378"/>
      <c r="E247" s="378"/>
      <c r="F247" s="391"/>
      <c r="G247" s="391"/>
    </row>
    <row r="248" spans="1:8">
      <c r="A248" s="366">
        <v>7</v>
      </c>
      <c r="B248" s="366" t="s">
        <v>4127</v>
      </c>
      <c r="C248" s="367" t="s">
        <v>4128</v>
      </c>
      <c r="D248" s="412"/>
      <c r="E248" s="412" t="str">
        <f>+B247</f>
        <v>ABA420</v>
      </c>
      <c r="F248" s="393"/>
      <c r="G248" s="393"/>
    </row>
    <row r="249" spans="1:8" ht="24">
      <c r="A249" s="366">
        <v>7</v>
      </c>
      <c r="B249" s="366" t="s">
        <v>4129</v>
      </c>
      <c r="C249" s="367" t="s">
        <v>4130</v>
      </c>
      <c r="D249" s="412"/>
      <c r="E249" s="412" t="str">
        <f>+E248</f>
        <v>ABA420</v>
      </c>
      <c r="F249" s="393"/>
      <c r="G249" s="393"/>
      <c r="H249" t="s">
        <v>5196</v>
      </c>
    </row>
    <row r="250" spans="1:8" ht="25.5">
      <c r="A250" s="388" t="s">
        <v>1972</v>
      </c>
      <c r="B250" s="363" t="s">
        <v>4131</v>
      </c>
      <c r="C250" s="363" t="s">
        <v>4132</v>
      </c>
      <c r="D250" s="378"/>
      <c r="E250" s="378"/>
      <c r="F250" s="391"/>
      <c r="G250" s="391"/>
    </row>
    <row r="251" spans="1:8" ht="24">
      <c r="A251" s="366">
        <v>7</v>
      </c>
      <c r="B251" s="366" t="s">
        <v>4133</v>
      </c>
      <c r="C251" s="367" t="s">
        <v>4134</v>
      </c>
      <c r="D251" s="412"/>
      <c r="E251" s="412" t="str">
        <f>+B250</f>
        <v>ABA430</v>
      </c>
      <c r="F251" s="393">
        <v>904495.22</v>
      </c>
      <c r="G251" s="393">
        <v>553053</v>
      </c>
    </row>
    <row r="252" spans="1:8" ht="24">
      <c r="A252" s="366" t="s">
        <v>1975</v>
      </c>
      <c r="B252" s="366" t="s">
        <v>4135</v>
      </c>
      <c r="C252" s="367" t="s">
        <v>4136</v>
      </c>
      <c r="D252" s="412"/>
      <c r="E252" s="412" t="str">
        <f>+E251</f>
        <v>ABA430</v>
      </c>
      <c r="F252" s="393"/>
      <c r="G252" s="393"/>
      <c r="H252" t="s">
        <v>5196</v>
      </c>
    </row>
    <row r="253" spans="1:8" ht="25.5">
      <c r="A253" s="388" t="s">
        <v>1972</v>
      </c>
      <c r="B253" s="363" t="s">
        <v>4137</v>
      </c>
      <c r="C253" s="363" t="s">
        <v>4138</v>
      </c>
      <c r="D253" s="378"/>
      <c r="E253" s="378"/>
      <c r="F253" s="391"/>
      <c r="G253" s="391"/>
    </row>
    <row r="254" spans="1:8" ht="24">
      <c r="A254" s="366">
        <v>7</v>
      </c>
      <c r="B254" s="366" t="s">
        <v>4139</v>
      </c>
      <c r="C254" s="367" t="s">
        <v>4140</v>
      </c>
      <c r="D254" s="412"/>
      <c r="E254" s="412" t="str">
        <f>+B253</f>
        <v>ABA440</v>
      </c>
      <c r="F254" s="393"/>
      <c r="G254" s="393"/>
    </row>
    <row r="255" spans="1:8" ht="24">
      <c r="A255" s="366" t="s">
        <v>1975</v>
      </c>
      <c r="B255" s="366" t="s">
        <v>4141</v>
      </c>
      <c r="C255" s="367" t="s">
        <v>4142</v>
      </c>
      <c r="D255" s="412"/>
      <c r="E255" s="412" t="str">
        <f>+E254</f>
        <v>ABA440</v>
      </c>
      <c r="F255" s="393"/>
      <c r="G255" s="393"/>
      <c r="H255" t="s">
        <v>5196</v>
      </c>
    </row>
    <row r="256" spans="1:8" ht="25.5">
      <c r="A256" s="388" t="s">
        <v>1972</v>
      </c>
      <c r="B256" s="363" t="s">
        <v>4143</v>
      </c>
      <c r="C256" s="363" t="s">
        <v>4144</v>
      </c>
      <c r="D256" s="378"/>
      <c r="E256" s="378"/>
      <c r="F256" s="391"/>
      <c r="G256" s="391"/>
    </row>
    <row r="257" spans="1:8">
      <c r="A257" s="366">
        <v>7</v>
      </c>
      <c r="B257" s="366" t="s">
        <v>4145</v>
      </c>
      <c r="C257" s="367" t="s">
        <v>4146</v>
      </c>
      <c r="D257" s="412"/>
      <c r="E257" s="412" t="str">
        <f>+B256</f>
        <v>ABA450</v>
      </c>
      <c r="F257" s="393">
        <v>4746595.0599999996</v>
      </c>
      <c r="G257" s="393">
        <v>11373906.689999999</v>
      </c>
    </row>
    <row r="258" spans="1:8" ht="24">
      <c r="A258" s="366">
        <v>7</v>
      </c>
      <c r="B258" s="366" t="s">
        <v>4147</v>
      </c>
      <c r="C258" s="367" t="s">
        <v>4148</v>
      </c>
      <c r="D258" s="412"/>
      <c r="E258" s="412" t="str">
        <f>+E257</f>
        <v>ABA450</v>
      </c>
      <c r="F258" s="393">
        <v>117526.57</v>
      </c>
      <c r="G258" s="393">
        <v>118532.65</v>
      </c>
    </row>
    <row r="259" spans="1:8" ht="24">
      <c r="A259" s="366">
        <v>7</v>
      </c>
      <c r="B259" s="366" t="s">
        <v>4149</v>
      </c>
      <c r="C259" s="367" t="s">
        <v>4150</v>
      </c>
      <c r="D259" s="412"/>
      <c r="E259" s="412" t="str">
        <f>+E258</f>
        <v>ABA450</v>
      </c>
      <c r="F259" s="393"/>
      <c r="G259" s="393"/>
    </row>
    <row r="260" spans="1:8" ht="24">
      <c r="A260" s="366" t="s">
        <v>1975</v>
      </c>
      <c r="B260" s="366" t="s">
        <v>4151</v>
      </c>
      <c r="C260" s="367" t="s">
        <v>4152</v>
      </c>
      <c r="D260" s="412"/>
      <c r="E260" s="412" t="str">
        <f>+E259</f>
        <v>ABA450</v>
      </c>
      <c r="F260" s="393"/>
      <c r="G260" s="393"/>
      <c r="H260" t="s">
        <v>5196</v>
      </c>
    </row>
    <row r="261" spans="1:8" ht="25.5">
      <c r="A261" s="388" t="s">
        <v>1972</v>
      </c>
      <c r="B261" s="363" t="s">
        <v>4153</v>
      </c>
      <c r="C261" s="363" t="s">
        <v>4154</v>
      </c>
      <c r="D261" s="378"/>
      <c r="E261" s="378"/>
      <c r="F261" s="391"/>
      <c r="G261" s="391"/>
    </row>
    <row r="262" spans="1:8" ht="24">
      <c r="A262" s="366">
        <v>7</v>
      </c>
      <c r="B262" s="366" t="s">
        <v>4155</v>
      </c>
      <c r="C262" s="367" t="s">
        <v>4156</v>
      </c>
      <c r="D262" s="412"/>
      <c r="E262" s="412" t="str">
        <f>+B261</f>
        <v>ABA451</v>
      </c>
      <c r="F262" s="393"/>
      <c r="G262" s="393"/>
    </row>
    <row r="263" spans="1:8" ht="24">
      <c r="A263" s="366" t="s">
        <v>1975</v>
      </c>
      <c r="B263" s="366" t="s">
        <v>4157</v>
      </c>
      <c r="C263" s="367" t="s">
        <v>4158</v>
      </c>
      <c r="D263" s="412"/>
      <c r="E263" s="412" t="str">
        <f>+E262</f>
        <v>ABA451</v>
      </c>
      <c r="F263" s="393"/>
      <c r="G263" s="393"/>
      <c r="H263" t="s">
        <v>5196</v>
      </c>
    </row>
    <row r="264" spans="1:8">
      <c r="A264" s="388" t="s">
        <v>1972</v>
      </c>
      <c r="B264" s="363" t="s">
        <v>4159</v>
      </c>
      <c r="C264" s="363" t="s">
        <v>4160</v>
      </c>
      <c r="D264" s="378"/>
      <c r="E264" s="378"/>
      <c r="F264" s="391"/>
      <c r="G264" s="391"/>
    </row>
    <row r="265" spans="1:8" ht="24">
      <c r="A265" s="366">
        <v>7</v>
      </c>
      <c r="B265" s="366" t="s">
        <v>4161</v>
      </c>
      <c r="C265" s="367" t="s">
        <v>4162</v>
      </c>
      <c r="D265" s="412"/>
      <c r="E265" s="412" t="str">
        <f>+B264</f>
        <v>ABA460</v>
      </c>
      <c r="F265" s="393">
        <v>12039.01</v>
      </c>
      <c r="G265" s="393">
        <v>5652.36</v>
      </c>
    </row>
    <row r="266" spans="1:8" ht="24">
      <c r="A266" s="366">
        <v>7</v>
      </c>
      <c r="B266" s="366" t="s">
        <v>4163</v>
      </c>
      <c r="C266" s="367" t="s">
        <v>4164</v>
      </c>
      <c r="D266" s="412"/>
      <c r="E266" s="412" t="str">
        <f>+E265</f>
        <v>ABA460</v>
      </c>
      <c r="F266" s="393">
        <v>2610892.58</v>
      </c>
      <c r="G266" s="393">
        <v>2593748.84</v>
      </c>
    </row>
    <row r="267" spans="1:8">
      <c r="A267" s="366">
        <v>7</v>
      </c>
      <c r="B267" s="366" t="s">
        <v>4165</v>
      </c>
      <c r="C267" s="367" t="s">
        <v>4166</v>
      </c>
      <c r="D267" s="412"/>
      <c r="E267" s="412" t="str">
        <f>+E266</f>
        <v>ABA460</v>
      </c>
      <c r="F267" s="393"/>
      <c r="G267" s="393"/>
    </row>
    <row r="268" spans="1:8">
      <c r="A268" s="366">
        <v>7</v>
      </c>
      <c r="B268" s="366" t="s">
        <v>4167</v>
      </c>
      <c r="C268" s="367" t="s">
        <v>4168</v>
      </c>
      <c r="D268" s="412"/>
      <c r="E268" s="412" t="str">
        <f>+E267</f>
        <v>ABA460</v>
      </c>
      <c r="F268" s="393">
        <v>771542.42</v>
      </c>
      <c r="G268" s="393">
        <v>726395.4</v>
      </c>
    </row>
    <row r="269" spans="1:8">
      <c r="A269" s="366" t="s">
        <v>1975</v>
      </c>
      <c r="B269" s="366" t="s">
        <v>4169</v>
      </c>
      <c r="C269" s="367" t="s">
        <v>4170</v>
      </c>
      <c r="D269" s="412"/>
      <c r="E269" s="412" t="str">
        <f>+E268</f>
        <v>ABA460</v>
      </c>
      <c r="F269" s="393"/>
      <c r="G269" s="393"/>
      <c r="H269" t="s">
        <v>5196</v>
      </c>
    </row>
    <row r="270" spans="1:8" ht="25.5">
      <c r="A270" s="388" t="s">
        <v>1972</v>
      </c>
      <c r="B270" s="363" t="s">
        <v>4171</v>
      </c>
      <c r="C270" s="363" t="s">
        <v>4172</v>
      </c>
      <c r="D270" s="378"/>
      <c r="E270" s="378"/>
      <c r="F270" s="391"/>
      <c r="G270" s="391"/>
    </row>
    <row r="271" spans="1:8">
      <c r="A271" s="366">
        <v>7</v>
      </c>
      <c r="B271" s="366" t="s">
        <v>4173</v>
      </c>
      <c r="C271" s="367" t="s">
        <v>4174</v>
      </c>
      <c r="D271" s="412"/>
      <c r="E271" s="412" t="str">
        <f>+B270</f>
        <v>ABA461</v>
      </c>
      <c r="F271" s="393">
        <v>159186.13</v>
      </c>
      <c r="G271" s="393"/>
    </row>
    <row r="272" spans="1:8" ht="24">
      <c r="A272" s="366" t="s">
        <v>1975</v>
      </c>
      <c r="B272" s="366" t="s">
        <v>4175</v>
      </c>
      <c r="C272" s="367" t="s">
        <v>4176</v>
      </c>
      <c r="D272" s="412"/>
      <c r="E272" s="412" t="str">
        <f>+E271</f>
        <v>ABA461</v>
      </c>
      <c r="F272" s="393"/>
      <c r="G272" s="393"/>
      <c r="H272" t="s">
        <v>5196</v>
      </c>
    </row>
    <row r="273" spans="1:8" ht="25.5">
      <c r="A273" s="388" t="s">
        <v>1970</v>
      </c>
      <c r="B273" s="363" t="s">
        <v>4177</v>
      </c>
      <c r="C273" s="363" t="s">
        <v>4178</v>
      </c>
      <c r="D273" s="378"/>
      <c r="E273" s="378"/>
      <c r="F273" s="391"/>
      <c r="G273" s="391"/>
    </row>
    <row r="274" spans="1:8" ht="25.5">
      <c r="A274" s="388" t="s">
        <v>1972</v>
      </c>
      <c r="B274" s="363" t="s">
        <v>4179</v>
      </c>
      <c r="C274" s="363" t="s">
        <v>4180</v>
      </c>
      <c r="D274" s="378"/>
      <c r="E274" s="378"/>
      <c r="F274" s="391"/>
      <c r="G274" s="391"/>
    </row>
    <row r="275" spans="1:8">
      <c r="A275" s="366">
        <v>7</v>
      </c>
      <c r="B275" s="366" t="s">
        <v>4181</v>
      </c>
      <c r="C275" s="367" t="s">
        <v>4182</v>
      </c>
      <c r="D275" s="412"/>
      <c r="E275" s="412" t="str">
        <f>+B274</f>
        <v>ABA480</v>
      </c>
      <c r="F275" s="393">
        <v>220751015.47999999</v>
      </c>
      <c r="G275" s="393">
        <v>220072041.05000001</v>
      </c>
    </row>
    <row r="276" spans="1:8" ht="24">
      <c r="A276" s="366" t="s">
        <v>1975</v>
      </c>
      <c r="B276" s="366" t="s">
        <v>4183</v>
      </c>
      <c r="C276" s="367" t="s">
        <v>4184</v>
      </c>
      <c r="D276" s="412"/>
      <c r="E276" s="412" t="str">
        <f>+E275</f>
        <v>ABA480</v>
      </c>
      <c r="F276" s="393"/>
      <c r="G276" s="393"/>
      <c r="H276" t="s">
        <v>5196</v>
      </c>
    </row>
    <row r="277" spans="1:8" ht="25.5">
      <c r="A277" s="388" t="s">
        <v>1972</v>
      </c>
      <c r="B277" s="363" t="s">
        <v>4185</v>
      </c>
      <c r="C277" s="363" t="s">
        <v>4186</v>
      </c>
      <c r="D277" s="378"/>
      <c r="E277" s="378"/>
      <c r="F277" s="391"/>
      <c r="G277" s="391"/>
    </row>
    <row r="278" spans="1:8">
      <c r="A278" s="366">
        <v>7</v>
      </c>
      <c r="B278" s="366" t="s">
        <v>4187</v>
      </c>
      <c r="C278" s="367" t="s">
        <v>4188</v>
      </c>
      <c r="D278" s="412"/>
      <c r="E278" s="412" t="str">
        <f>+B277</f>
        <v>ABA490</v>
      </c>
      <c r="F278" s="393"/>
      <c r="G278" s="393"/>
    </row>
    <row r="279" spans="1:8" ht="24">
      <c r="A279" s="366" t="s">
        <v>1975</v>
      </c>
      <c r="B279" s="366" t="s">
        <v>4189</v>
      </c>
      <c r="C279" s="367" t="s">
        <v>4190</v>
      </c>
      <c r="D279" s="412"/>
      <c r="E279" s="412" t="str">
        <f>+E278</f>
        <v>ABA490</v>
      </c>
      <c r="F279" s="393"/>
      <c r="G279" s="393"/>
      <c r="H279" t="s">
        <v>5196</v>
      </c>
    </row>
    <row r="280" spans="1:8">
      <c r="A280" s="388" t="s">
        <v>1972</v>
      </c>
      <c r="B280" s="363" t="s">
        <v>4191</v>
      </c>
      <c r="C280" s="363" t="s">
        <v>4192</v>
      </c>
      <c r="D280" s="378"/>
      <c r="E280" s="378"/>
      <c r="F280" s="391"/>
      <c r="G280" s="391"/>
    </row>
    <row r="281" spans="1:8">
      <c r="A281" s="366">
        <v>7</v>
      </c>
      <c r="B281" s="366" t="s">
        <v>4193</v>
      </c>
      <c r="C281" s="367" t="s">
        <v>4194</v>
      </c>
      <c r="D281" s="412"/>
      <c r="E281" s="412" t="str">
        <f>+B280</f>
        <v>ABA500</v>
      </c>
      <c r="F281" s="393"/>
      <c r="G281" s="393"/>
    </row>
    <row r="282" spans="1:8" ht="24">
      <c r="A282" s="366" t="s">
        <v>1975</v>
      </c>
      <c r="B282" s="366" t="s">
        <v>4195</v>
      </c>
      <c r="C282" s="367" t="s">
        <v>4196</v>
      </c>
      <c r="D282" s="412"/>
      <c r="E282" s="412" t="str">
        <f>+E281</f>
        <v>ABA500</v>
      </c>
      <c r="F282" s="393"/>
      <c r="G282" s="393"/>
      <c r="H282" t="s">
        <v>5196</v>
      </c>
    </row>
    <row r="283" spans="1:8" ht="38.25">
      <c r="A283" s="388" t="s">
        <v>1972</v>
      </c>
      <c r="B283" s="363" t="s">
        <v>4197</v>
      </c>
      <c r="C283" s="363" t="s">
        <v>4198</v>
      </c>
      <c r="D283" s="378"/>
      <c r="E283" s="378"/>
      <c r="F283" s="391"/>
      <c r="G283" s="391"/>
    </row>
    <row r="284" spans="1:8" ht="36">
      <c r="A284" s="366" t="s">
        <v>1975</v>
      </c>
      <c r="B284" s="366" t="s">
        <v>4199</v>
      </c>
      <c r="C284" s="367" t="s">
        <v>4200</v>
      </c>
      <c r="D284" s="412"/>
      <c r="E284" s="412" t="str">
        <f>+B283</f>
        <v>ABA501</v>
      </c>
      <c r="F284" s="393"/>
      <c r="G284" s="393"/>
    </row>
    <row r="285" spans="1:8">
      <c r="A285" s="388" t="s">
        <v>1972</v>
      </c>
      <c r="B285" s="363" t="s">
        <v>4201</v>
      </c>
      <c r="C285" s="363" t="s">
        <v>4202</v>
      </c>
      <c r="D285" s="378"/>
      <c r="E285" s="378"/>
      <c r="F285" s="391"/>
      <c r="G285" s="391"/>
    </row>
    <row r="286" spans="1:8">
      <c r="A286" s="366">
        <v>7</v>
      </c>
      <c r="B286" s="366" t="s">
        <v>4203</v>
      </c>
      <c r="C286" s="367" t="s">
        <v>4204</v>
      </c>
      <c r="D286" s="412"/>
      <c r="E286" s="412" t="str">
        <f>+B285</f>
        <v>ABA510</v>
      </c>
      <c r="F286" s="393"/>
      <c r="G286" s="393"/>
    </row>
    <row r="287" spans="1:8">
      <c r="A287" s="366" t="s">
        <v>1975</v>
      </c>
      <c r="B287" s="366" t="s">
        <v>4205</v>
      </c>
      <c r="C287" s="367" t="s">
        <v>4206</v>
      </c>
      <c r="D287" s="412"/>
      <c r="E287" s="412" t="str">
        <f>+E286</f>
        <v>ABA510</v>
      </c>
      <c r="F287" s="393"/>
      <c r="G287" s="393"/>
      <c r="H287" t="s">
        <v>5196</v>
      </c>
    </row>
    <row r="288" spans="1:8" ht="25.5">
      <c r="A288" s="388" t="s">
        <v>1972</v>
      </c>
      <c r="B288" s="363" t="s">
        <v>4207</v>
      </c>
      <c r="C288" s="363" t="s">
        <v>4208</v>
      </c>
      <c r="D288" s="378"/>
      <c r="E288" s="378"/>
      <c r="F288" s="391"/>
      <c r="G288" s="391"/>
    </row>
    <row r="289" spans="1:8" ht="24">
      <c r="A289" s="366">
        <v>7</v>
      </c>
      <c r="B289" s="366" t="s">
        <v>4209</v>
      </c>
      <c r="C289" s="367" t="s">
        <v>4210</v>
      </c>
      <c r="D289" s="412"/>
      <c r="E289" s="412" t="str">
        <f>+B288</f>
        <v>ABA520</v>
      </c>
      <c r="F289" s="393"/>
      <c r="G289" s="393"/>
    </row>
    <row r="290" spans="1:8" ht="24">
      <c r="A290" s="366" t="s">
        <v>1975</v>
      </c>
      <c r="B290" s="366" t="s">
        <v>4211</v>
      </c>
      <c r="C290" s="367" t="s">
        <v>4212</v>
      </c>
      <c r="D290" s="412"/>
      <c r="E290" s="412" t="str">
        <f>+E289</f>
        <v>ABA520</v>
      </c>
      <c r="F290" s="393"/>
      <c r="G290" s="393"/>
      <c r="H290" t="s">
        <v>5196</v>
      </c>
    </row>
    <row r="291" spans="1:8">
      <c r="A291" s="388" t="s">
        <v>1970</v>
      </c>
      <c r="B291" s="363" t="s">
        <v>4213</v>
      </c>
      <c r="C291" s="363" t="s">
        <v>4214</v>
      </c>
      <c r="D291" s="378"/>
      <c r="E291" s="378"/>
      <c r="F291" s="391"/>
      <c r="G291" s="391"/>
    </row>
    <row r="292" spans="1:8">
      <c r="A292" s="366" t="s">
        <v>1972</v>
      </c>
      <c r="B292" s="366" t="s">
        <v>4215</v>
      </c>
      <c r="C292" s="367" t="s">
        <v>4216</v>
      </c>
      <c r="D292" s="412"/>
      <c r="E292" s="412" t="str">
        <f>+B291</f>
        <v>ABA521</v>
      </c>
      <c r="F292" s="393"/>
      <c r="G292" s="393"/>
    </row>
    <row r="293" spans="1:8" ht="25.5">
      <c r="A293" s="388" t="s">
        <v>1970</v>
      </c>
      <c r="B293" s="363" t="s">
        <v>4217</v>
      </c>
      <c r="C293" s="363" t="s">
        <v>4218</v>
      </c>
      <c r="D293" s="378"/>
      <c r="E293" s="378"/>
      <c r="F293" s="391"/>
      <c r="G293" s="391"/>
    </row>
    <row r="294" spans="1:8" ht="24">
      <c r="A294" s="366" t="s">
        <v>1972</v>
      </c>
      <c r="B294" s="366" t="s">
        <v>4219</v>
      </c>
      <c r="C294" s="367" t="s">
        <v>4220</v>
      </c>
      <c r="D294" s="412"/>
      <c r="E294" s="412" t="str">
        <f>+B293</f>
        <v>ABA522</v>
      </c>
      <c r="F294" s="393"/>
      <c r="G294" s="393"/>
    </row>
    <row r="295" spans="1:8">
      <c r="A295" s="388" t="s">
        <v>1968</v>
      </c>
      <c r="B295" s="363" t="s">
        <v>4221</v>
      </c>
      <c r="C295" s="363" t="s">
        <v>4222</v>
      </c>
      <c r="D295" s="378"/>
      <c r="E295" s="378"/>
      <c r="F295" s="391"/>
      <c r="G295" s="391"/>
    </row>
    <row r="296" spans="1:8">
      <c r="A296" s="366">
        <v>5</v>
      </c>
      <c r="B296" s="366" t="s">
        <v>4223</v>
      </c>
      <c r="C296" s="367" t="s">
        <v>4224</v>
      </c>
      <c r="D296" s="412"/>
      <c r="E296" s="412" t="str">
        <f>+B295</f>
        <v>ABA530</v>
      </c>
      <c r="F296" s="393">
        <v>635378.55000000005</v>
      </c>
      <c r="G296" s="393">
        <v>560455.89</v>
      </c>
    </row>
    <row r="297" spans="1:8">
      <c r="A297" s="366">
        <v>5</v>
      </c>
      <c r="B297" s="366" t="s">
        <v>4225</v>
      </c>
      <c r="C297" s="367" t="s">
        <v>4226</v>
      </c>
      <c r="D297" s="412"/>
      <c r="E297" s="412" t="str">
        <f>+E296</f>
        <v>ABA530</v>
      </c>
      <c r="F297" s="393">
        <v>182388.38</v>
      </c>
      <c r="G297" s="393">
        <v>169485.53</v>
      </c>
    </row>
    <row r="298" spans="1:8">
      <c r="A298" s="366">
        <v>5</v>
      </c>
      <c r="B298" s="366" t="s">
        <v>4227</v>
      </c>
      <c r="C298" s="367" t="s">
        <v>4228</v>
      </c>
      <c r="D298" s="412"/>
      <c r="E298" s="412" t="str">
        <f>+E297</f>
        <v>ABA530</v>
      </c>
      <c r="F298" s="393">
        <v>-14376.93</v>
      </c>
      <c r="G298" s="393"/>
    </row>
    <row r="299" spans="1:8">
      <c r="A299" s="366" t="s">
        <v>1970</v>
      </c>
      <c r="B299" s="366" t="s">
        <v>4229</v>
      </c>
      <c r="C299" s="367" t="s">
        <v>4230</v>
      </c>
      <c r="D299" s="412"/>
      <c r="E299" s="412" t="str">
        <f>+E298</f>
        <v>ABA530</v>
      </c>
      <c r="F299" s="393">
        <v>-13405.4</v>
      </c>
      <c r="G299" s="393">
        <v>-13405.4</v>
      </c>
      <c r="H299" t="s">
        <v>5196</v>
      </c>
    </row>
    <row r="300" spans="1:8">
      <c r="A300" s="388" t="s">
        <v>1968</v>
      </c>
      <c r="B300" s="363" t="s">
        <v>4231</v>
      </c>
      <c r="C300" s="363" t="s">
        <v>4232</v>
      </c>
      <c r="D300" s="378"/>
      <c r="E300" s="378"/>
      <c r="F300" s="391"/>
      <c r="G300" s="391"/>
    </row>
    <row r="301" spans="1:8">
      <c r="A301" s="388" t="s">
        <v>1970</v>
      </c>
      <c r="B301" s="363" t="s">
        <v>4233</v>
      </c>
      <c r="C301" s="363" t="s">
        <v>4234</v>
      </c>
      <c r="D301" s="378"/>
      <c r="E301" s="378"/>
      <c r="F301" s="391"/>
      <c r="G301" s="391"/>
    </row>
    <row r="302" spans="1:8" ht="25.5">
      <c r="A302" s="388" t="s">
        <v>1972</v>
      </c>
      <c r="B302" s="363" t="s">
        <v>4235</v>
      </c>
      <c r="C302" s="363" t="s">
        <v>4236</v>
      </c>
      <c r="D302" s="378" t="s">
        <v>1248</v>
      </c>
      <c r="E302" s="378"/>
      <c r="F302" s="391"/>
      <c r="G302" s="391"/>
    </row>
    <row r="303" spans="1:8" ht="24">
      <c r="A303" s="366">
        <v>7</v>
      </c>
      <c r="B303" s="366" t="s">
        <v>4237</v>
      </c>
      <c r="C303" s="367" t="s">
        <v>4238</v>
      </c>
      <c r="D303" s="412" t="s">
        <v>1248</v>
      </c>
      <c r="E303" s="412" t="str">
        <f>+B302</f>
        <v>ABA560</v>
      </c>
      <c r="F303" s="393">
        <v>2851793.01</v>
      </c>
      <c r="G303" s="393">
        <v>2291708.36</v>
      </c>
    </row>
    <row r="304" spans="1:8" ht="25.5">
      <c r="A304" s="388" t="s">
        <v>1972</v>
      </c>
      <c r="B304" s="363" t="s">
        <v>4239</v>
      </c>
      <c r="C304" s="363" t="s">
        <v>4240</v>
      </c>
      <c r="D304" s="378" t="s">
        <v>1248</v>
      </c>
      <c r="E304" s="378"/>
      <c r="F304" s="391"/>
      <c r="G304" s="391"/>
    </row>
    <row r="305" spans="1:8" ht="24">
      <c r="A305" s="366">
        <v>7</v>
      </c>
      <c r="B305" s="366" t="s">
        <v>4241</v>
      </c>
      <c r="C305" s="367" t="s">
        <v>4242</v>
      </c>
      <c r="D305" s="412" t="s">
        <v>1248</v>
      </c>
      <c r="E305" s="412" t="str">
        <f>+B304</f>
        <v>ABA570</v>
      </c>
      <c r="F305" s="393">
        <v>26567068.760000002</v>
      </c>
      <c r="G305" s="393">
        <v>19417410.600000001</v>
      </c>
    </row>
    <row r="306" spans="1:8" ht="24">
      <c r="A306" s="366">
        <v>7</v>
      </c>
      <c r="B306" s="366" t="s">
        <v>4243</v>
      </c>
      <c r="C306" s="367" t="s">
        <v>4244</v>
      </c>
      <c r="D306" s="412" t="s">
        <v>1248</v>
      </c>
      <c r="E306" s="412" t="str">
        <f>+E305</f>
        <v>ABA570</v>
      </c>
      <c r="F306" s="393">
        <v>165009.72</v>
      </c>
      <c r="G306" s="393">
        <v>281856.21999999997</v>
      </c>
    </row>
    <row r="307" spans="1:8" ht="24">
      <c r="A307" s="366">
        <v>7</v>
      </c>
      <c r="B307" s="366" t="s">
        <v>4245</v>
      </c>
      <c r="C307" s="367" t="s">
        <v>4246</v>
      </c>
      <c r="D307" s="412" t="s">
        <v>1248</v>
      </c>
      <c r="E307" s="412" t="str">
        <f>+E306</f>
        <v>ABA570</v>
      </c>
      <c r="F307" s="393">
        <v>-44494.78</v>
      </c>
      <c r="G307" s="393"/>
    </row>
    <row r="308" spans="1:8" ht="25.5">
      <c r="A308" s="388" t="s">
        <v>1972</v>
      </c>
      <c r="B308" s="363" t="s">
        <v>4247</v>
      </c>
      <c r="C308" s="363" t="s">
        <v>4248</v>
      </c>
      <c r="D308" s="378" t="s">
        <v>1248</v>
      </c>
      <c r="E308" s="378"/>
      <c r="F308" s="391"/>
      <c r="G308" s="391"/>
    </row>
    <row r="309" spans="1:8">
      <c r="A309" s="366">
        <v>7</v>
      </c>
      <c r="B309" s="366" t="s">
        <v>4249</v>
      </c>
      <c r="C309" s="367" t="s">
        <v>4250</v>
      </c>
      <c r="D309" s="412" t="s">
        <v>1248</v>
      </c>
      <c r="E309" s="412" t="str">
        <f>+B308</f>
        <v>ABA580</v>
      </c>
      <c r="F309" s="393">
        <v>41077581.240000002</v>
      </c>
      <c r="G309" s="393">
        <v>40183240.399999999</v>
      </c>
    </row>
    <row r="310" spans="1:8" ht="24">
      <c r="A310" s="366">
        <v>7</v>
      </c>
      <c r="B310" s="366" t="s">
        <v>4251</v>
      </c>
      <c r="C310" s="367" t="s">
        <v>4252</v>
      </c>
      <c r="D310" s="412" t="s">
        <v>1248</v>
      </c>
      <c r="E310" s="412" t="str">
        <f>+E309</f>
        <v>ABA580</v>
      </c>
      <c r="F310" s="393">
        <v>158982.53</v>
      </c>
      <c r="G310" s="393">
        <v>115244.46</v>
      </c>
    </row>
    <row r="311" spans="1:8" ht="24">
      <c r="A311" s="366">
        <v>7</v>
      </c>
      <c r="B311" s="366" t="s">
        <v>4253</v>
      </c>
      <c r="C311" s="367" t="s">
        <v>4254</v>
      </c>
      <c r="D311" s="412" t="s">
        <v>1248</v>
      </c>
      <c r="E311" s="412" t="str">
        <f>+E310</f>
        <v>ABA580</v>
      </c>
      <c r="F311" s="393"/>
      <c r="G311" s="393"/>
    </row>
    <row r="312" spans="1:8">
      <c r="A312" s="388" t="s">
        <v>1970</v>
      </c>
      <c r="B312" s="363" t="s">
        <v>4255</v>
      </c>
      <c r="C312" s="363" t="s">
        <v>4256</v>
      </c>
      <c r="D312" s="792" t="s">
        <v>4263</v>
      </c>
      <c r="E312" s="378"/>
      <c r="F312" s="391"/>
      <c r="G312" s="391"/>
    </row>
    <row r="313" spans="1:8">
      <c r="A313" s="366">
        <v>6</v>
      </c>
      <c r="B313" s="366" t="s">
        <v>4257</v>
      </c>
      <c r="C313" s="367" t="s">
        <v>4258</v>
      </c>
      <c r="D313" s="412" t="s">
        <v>4263</v>
      </c>
      <c r="E313" s="412" t="str">
        <f>+B312</f>
        <v>ABA590</v>
      </c>
      <c r="F313" s="393"/>
      <c r="G313" s="393"/>
    </row>
    <row r="314" spans="1:8" ht="38.25">
      <c r="A314" s="388" t="s">
        <v>1970</v>
      </c>
      <c r="B314" s="363" t="s">
        <v>4259</v>
      </c>
      <c r="C314" s="363" t="s">
        <v>4260</v>
      </c>
      <c r="D314" s="792" t="s">
        <v>4263</v>
      </c>
      <c r="E314" s="378"/>
      <c r="F314" s="391"/>
      <c r="G314" s="391"/>
    </row>
    <row r="315" spans="1:8" ht="36">
      <c r="A315" s="366" t="s">
        <v>1972</v>
      </c>
      <c r="B315" s="366" t="s">
        <v>4261</v>
      </c>
      <c r="C315" s="367" t="s">
        <v>4262</v>
      </c>
      <c r="D315" s="412" t="s">
        <v>4263</v>
      </c>
      <c r="E315" s="412"/>
      <c r="F315" s="393"/>
      <c r="G315" s="393"/>
    </row>
    <row r="316" spans="1:8">
      <c r="A316" s="388" t="s">
        <v>1970</v>
      </c>
      <c r="B316" s="363" t="s">
        <v>4264</v>
      </c>
      <c r="C316" s="363" t="s">
        <v>4265</v>
      </c>
      <c r="D316" s="378"/>
      <c r="E316" s="378"/>
      <c r="F316" s="391"/>
      <c r="G316" s="391"/>
    </row>
    <row r="317" spans="1:8">
      <c r="A317" s="366">
        <v>6</v>
      </c>
      <c r="B317" s="366" t="s">
        <v>4266</v>
      </c>
      <c r="C317" s="367" t="s">
        <v>4267</v>
      </c>
      <c r="D317" s="412"/>
      <c r="E317" s="412" t="str">
        <f>+B316</f>
        <v>ABA600</v>
      </c>
      <c r="F317" s="393">
        <v>522807.69</v>
      </c>
      <c r="G317" s="393">
        <v>540979.34</v>
      </c>
    </row>
    <row r="318" spans="1:8" ht="24">
      <c r="A318" s="366">
        <v>6</v>
      </c>
      <c r="B318" s="366" t="s">
        <v>4268</v>
      </c>
      <c r="C318" s="367" t="s">
        <v>4269</v>
      </c>
      <c r="D318" s="412"/>
      <c r="E318" s="412" t="str">
        <f>+E317</f>
        <v>ABA600</v>
      </c>
      <c r="F318" s="393">
        <v>101931.77</v>
      </c>
      <c r="G318" s="393">
        <v>90761.8</v>
      </c>
    </row>
    <row r="319" spans="1:8">
      <c r="A319" s="366">
        <v>6</v>
      </c>
      <c r="B319" s="366" t="s">
        <v>4270</v>
      </c>
      <c r="C319" s="367" t="s">
        <v>4271</v>
      </c>
      <c r="D319" s="412"/>
      <c r="E319" s="412" t="str">
        <f>+E318</f>
        <v>ABA600</v>
      </c>
      <c r="F319" s="393">
        <v>-260.76</v>
      </c>
      <c r="G319" s="393"/>
    </row>
    <row r="320" spans="1:8">
      <c r="A320" s="366" t="s">
        <v>1972</v>
      </c>
      <c r="B320" s="366" t="s">
        <v>4272</v>
      </c>
      <c r="C320" s="367" t="s">
        <v>4273</v>
      </c>
      <c r="D320" s="412"/>
      <c r="E320" s="412" t="str">
        <f>+E319</f>
        <v>ABA600</v>
      </c>
      <c r="F320" s="393">
        <v>-355308.22</v>
      </c>
      <c r="G320" s="393">
        <v>-305466.28000000003</v>
      </c>
      <c r="H320" t="s">
        <v>5196</v>
      </c>
    </row>
    <row r="321" spans="1:8" ht="38.25">
      <c r="A321" s="388" t="s">
        <v>1970</v>
      </c>
      <c r="B321" s="363" t="s">
        <v>4274</v>
      </c>
      <c r="C321" s="363" t="s">
        <v>4275</v>
      </c>
      <c r="D321" s="378" t="s">
        <v>1248</v>
      </c>
      <c r="E321" s="378"/>
      <c r="F321" s="391"/>
      <c r="G321" s="391"/>
    </row>
    <row r="322" spans="1:8" ht="24">
      <c r="A322" s="366" t="s">
        <v>1972</v>
      </c>
      <c r="B322" s="366" t="s">
        <v>4276</v>
      </c>
      <c r="C322" s="367" t="s">
        <v>4277</v>
      </c>
      <c r="D322" s="412" t="s">
        <v>1248</v>
      </c>
      <c r="E322" s="412" t="str">
        <f>+B321</f>
        <v>ABA601</v>
      </c>
      <c r="F322" s="393">
        <v>148041.68</v>
      </c>
      <c r="G322" s="393"/>
    </row>
    <row r="323" spans="1:8">
      <c r="A323" s="388" t="s">
        <v>1968</v>
      </c>
      <c r="B323" s="363" t="s">
        <v>4278</v>
      </c>
      <c r="C323" s="363" t="s">
        <v>4279</v>
      </c>
      <c r="D323" s="378"/>
      <c r="E323" s="378"/>
      <c r="F323" s="391"/>
      <c r="G323" s="391"/>
    </row>
    <row r="324" spans="1:8">
      <c r="A324" s="388" t="s">
        <v>1970</v>
      </c>
      <c r="B324" s="363" t="s">
        <v>4280</v>
      </c>
      <c r="C324" s="363" t="s">
        <v>4281</v>
      </c>
      <c r="D324" s="378"/>
      <c r="E324" s="378"/>
      <c r="F324" s="391"/>
      <c r="G324" s="391"/>
    </row>
    <row r="325" spans="1:8">
      <c r="A325" s="366">
        <v>6</v>
      </c>
      <c r="B325" s="366" t="s">
        <v>4282</v>
      </c>
      <c r="C325" s="367" t="s">
        <v>4283</v>
      </c>
      <c r="D325" s="412"/>
      <c r="E325" s="412" t="str">
        <f>+B324</f>
        <v>ABA620</v>
      </c>
      <c r="F325" s="393">
        <v>144.94999999999999</v>
      </c>
      <c r="G325" s="393">
        <v>144.94999999999999</v>
      </c>
    </row>
    <row r="326" spans="1:8">
      <c r="A326" s="366" t="s">
        <v>1972</v>
      </c>
      <c r="B326" s="366" t="s">
        <v>4284</v>
      </c>
      <c r="C326" s="367" t="s">
        <v>4285</v>
      </c>
      <c r="D326" s="412"/>
      <c r="E326" s="412" t="str">
        <f>+E325</f>
        <v>ABA620</v>
      </c>
      <c r="F326" s="393"/>
      <c r="G326" s="393"/>
      <c r="H326" t="s">
        <v>5196</v>
      </c>
    </row>
    <row r="327" spans="1:8">
      <c r="A327" s="388" t="s">
        <v>1970</v>
      </c>
      <c r="B327" s="363" t="s">
        <v>4286</v>
      </c>
      <c r="C327" s="363" t="s">
        <v>4287</v>
      </c>
      <c r="D327" s="378"/>
      <c r="E327" s="378"/>
      <c r="F327" s="391"/>
      <c r="G327" s="391"/>
    </row>
    <row r="328" spans="1:8">
      <c r="A328" s="366">
        <v>6</v>
      </c>
      <c r="B328" s="366" t="s">
        <v>4288</v>
      </c>
      <c r="C328" s="367" t="s">
        <v>4289</v>
      </c>
      <c r="D328" s="412"/>
      <c r="E328" s="412" t="str">
        <f>+B327</f>
        <v>ABA630</v>
      </c>
      <c r="F328" s="393"/>
      <c r="G328" s="393"/>
    </row>
    <row r="329" spans="1:8">
      <c r="A329" s="366" t="s">
        <v>1972</v>
      </c>
      <c r="B329" s="366" t="s">
        <v>4290</v>
      </c>
      <c r="C329" s="367" t="s">
        <v>4291</v>
      </c>
      <c r="D329" s="412"/>
      <c r="E329" s="412" t="str">
        <f>+E328</f>
        <v>ABA630</v>
      </c>
      <c r="F329" s="393"/>
      <c r="G329" s="393"/>
      <c r="H329" t="s">
        <v>5196</v>
      </c>
    </row>
    <row r="330" spans="1:8">
      <c r="A330" s="388" t="s">
        <v>1970</v>
      </c>
      <c r="B330" s="363" t="s">
        <v>4292</v>
      </c>
      <c r="C330" s="363" t="s">
        <v>4293</v>
      </c>
      <c r="D330" s="378"/>
      <c r="E330" s="378"/>
      <c r="F330" s="391"/>
      <c r="G330" s="391"/>
    </row>
    <row r="331" spans="1:8">
      <c r="A331" s="366">
        <v>6</v>
      </c>
      <c r="B331" s="366" t="s">
        <v>4294</v>
      </c>
      <c r="C331" s="367" t="s">
        <v>4295</v>
      </c>
      <c r="D331" s="412"/>
      <c r="E331" s="412" t="str">
        <f>+B330</f>
        <v>ABA640</v>
      </c>
      <c r="F331" s="393"/>
      <c r="G331" s="393"/>
    </row>
    <row r="332" spans="1:8">
      <c r="A332" s="366">
        <v>6</v>
      </c>
      <c r="B332" s="366" t="s">
        <v>4296</v>
      </c>
      <c r="C332" s="367" t="s">
        <v>4297</v>
      </c>
      <c r="D332" s="412"/>
      <c r="E332" s="412" t="str">
        <f>+E331</f>
        <v>ABA640</v>
      </c>
      <c r="F332" s="393"/>
      <c r="G332" s="393"/>
    </row>
    <row r="333" spans="1:8">
      <c r="A333" s="366">
        <v>6</v>
      </c>
      <c r="B333" s="366" t="s">
        <v>4298</v>
      </c>
      <c r="C333" s="367" t="s">
        <v>4299</v>
      </c>
      <c r="D333" s="412"/>
      <c r="E333" s="412" t="str">
        <f>+E332</f>
        <v>ABA640</v>
      </c>
      <c r="F333" s="393"/>
      <c r="G333" s="393"/>
    </row>
    <row r="334" spans="1:8">
      <c r="A334" s="366" t="s">
        <v>1972</v>
      </c>
      <c r="B334" s="366" t="s">
        <v>4300</v>
      </c>
      <c r="C334" s="367" t="s">
        <v>4301</v>
      </c>
      <c r="D334" s="412"/>
      <c r="E334" s="412" t="str">
        <f>+E333</f>
        <v>ABA640</v>
      </c>
      <c r="F334" s="393"/>
      <c r="G334" s="393"/>
      <c r="H334" t="s">
        <v>5196</v>
      </c>
    </row>
    <row r="335" spans="1:8">
      <c r="A335" s="388" t="s">
        <v>1968</v>
      </c>
      <c r="B335" s="363" t="s">
        <v>4302</v>
      </c>
      <c r="C335" s="363" t="s">
        <v>4303</v>
      </c>
      <c r="D335" s="378"/>
      <c r="E335" s="378"/>
      <c r="F335" s="391"/>
      <c r="G335" s="391"/>
    </row>
    <row r="336" spans="1:8">
      <c r="A336" s="366">
        <v>5</v>
      </c>
      <c r="B336" s="366" t="s">
        <v>4304</v>
      </c>
      <c r="C336" s="367" t="s">
        <v>4305</v>
      </c>
      <c r="D336" s="412"/>
      <c r="E336" s="412" t="str">
        <f>+B335</f>
        <v>ABA650</v>
      </c>
      <c r="F336" s="393">
        <v>2235.09</v>
      </c>
      <c r="G336" s="393"/>
    </row>
    <row r="337" spans="1:8">
      <c r="A337" s="366">
        <v>5</v>
      </c>
      <c r="B337" s="366" t="s">
        <v>4306</v>
      </c>
      <c r="C337" s="367" t="s">
        <v>4307</v>
      </c>
      <c r="D337" s="412"/>
      <c r="E337" s="412" t="str">
        <f>+E336</f>
        <v>ABA650</v>
      </c>
      <c r="F337" s="393"/>
      <c r="G337" s="393"/>
    </row>
    <row r="338" spans="1:8">
      <c r="A338" s="366">
        <v>5</v>
      </c>
      <c r="B338" s="366" t="s">
        <v>4308</v>
      </c>
      <c r="C338" s="367" t="s">
        <v>4309</v>
      </c>
      <c r="D338" s="412"/>
      <c r="E338" s="412" t="str">
        <f>+E337</f>
        <v>ABA650</v>
      </c>
      <c r="F338" s="393">
        <v>1478562.03</v>
      </c>
      <c r="G338" s="393"/>
    </row>
    <row r="339" spans="1:8">
      <c r="A339" s="366">
        <v>5</v>
      </c>
      <c r="B339" s="366" t="s">
        <v>4310</v>
      </c>
      <c r="C339" s="367" t="s">
        <v>4311</v>
      </c>
      <c r="D339" s="412"/>
      <c r="E339" s="412" t="str">
        <f>+E338</f>
        <v>ABA650</v>
      </c>
      <c r="F339" s="393"/>
      <c r="G339" s="393"/>
    </row>
    <row r="340" spans="1:8">
      <c r="A340" s="366">
        <v>5</v>
      </c>
      <c r="B340" s="366" t="s">
        <v>4312</v>
      </c>
      <c r="C340" s="367" t="s">
        <v>4313</v>
      </c>
      <c r="D340" s="412"/>
      <c r="E340" s="412" t="str">
        <f>+E339</f>
        <v>ABA650</v>
      </c>
      <c r="F340" s="393"/>
      <c r="G340" s="393"/>
    </row>
    <row r="341" spans="1:8">
      <c r="A341" s="366">
        <v>5</v>
      </c>
      <c r="B341" s="366" t="s">
        <v>4314</v>
      </c>
      <c r="C341" s="367" t="s">
        <v>4315</v>
      </c>
      <c r="D341" s="412"/>
      <c r="E341" s="412" t="str">
        <f t="shared" ref="E341:E343" si="0">+E340</f>
        <v>ABA650</v>
      </c>
      <c r="F341" s="393"/>
      <c r="G341" s="393"/>
    </row>
    <row r="342" spans="1:8">
      <c r="A342" s="366">
        <v>5</v>
      </c>
      <c r="B342" s="366" t="s">
        <v>4316</v>
      </c>
      <c r="C342" s="367" t="s">
        <v>4317</v>
      </c>
      <c r="D342" s="412"/>
      <c r="E342" s="412" t="str">
        <f t="shared" si="0"/>
        <v>ABA650</v>
      </c>
      <c r="F342" s="393"/>
      <c r="G342" s="393"/>
    </row>
    <row r="343" spans="1:8">
      <c r="A343" s="366" t="s">
        <v>1970</v>
      </c>
      <c r="B343" s="366" t="s">
        <v>4318</v>
      </c>
      <c r="C343" s="367" t="s">
        <v>4319</v>
      </c>
      <c r="D343" s="412"/>
      <c r="E343" s="412" t="str">
        <f t="shared" si="0"/>
        <v>ABA650</v>
      </c>
      <c r="F343" s="393"/>
      <c r="G343" s="393"/>
      <c r="H343" t="s">
        <v>5196</v>
      </c>
    </row>
    <row r="344" spans="1:8">
      <c r="A344" s="388" t="s">
        <v>1968</v>
      </c>
      <c r="B344" s="363" t="s">
        <v>4320</v>
      </c>
      <c r="C344" s="363" t="s">
        <v>4321</v>
      </c>
      <c r="D344" s="378"/>
      <c r="E344" s="378"/>
      <c r="F344" s="391"/>
      <c r="G344" s="391"/>
    </row>
    <row r="345" spans="1:8">
      <c r="A345" s="388" t="s">
        <v>1970</v>
      </c>
      <c r="B345" s="363" t="s">
        <v>4322</v>
      </c>
      <c r="C345" s="363" t="s">
        <v>4323</v>
      </c>
      <c r="D345" s="378"/>
      <c r="E345" s="378"/>
      <c r="F345" s="391"/>
      <c r="G345" s="391"/>
    </row>
    <row r="346" spans="1:8">
      <c r="A346" s="366">
        <v>6</v>
      </c>
      <c r="B346" s="366" t="s">
        <v>4324</v>
      </c>
      <c r="C346" s="367" t="s">
        <v>4325</v>
      </c>
      <c r="D346" s="412"/>
      <c r="E346" s="412" t="str">
        <f>+B345</f>
        <v>ABA670</v>
      </c>
      <c r="F346" s="393">
        <v>7246567.0999999996</v>
      </c>
      <c r="G346" s="393">
        <v>7085385.5499999998</v>
      </c>
    </row>
    <row r="347" spans="1:8">
      <c r="A347" s="366">
        <v>6</v>
      </c>
      <c r="B347" s="366" t="s">
        <v>4326</v>
      </c>
      <c r="C347" s="367" t="s">
        <v>4327</v>
      </c>
      <c r="D347" s="412"/>
      <c r="E347" s="412" t="str">
        <f>+E346</f>
        <v>ABA670</v>
      </c>
      <c r="F347" s="393">
        <v>1068162.27</v>
      </c>
      <c r="G347" s="393">
        <v>1061581.81</v>
      </c>
    </row>
    <row r="348" spans="1:8">
      <c r="A348" s="366">
        <v>6</v>
      </c>
      <c r="B348" s="366" t="s">
        <v>4328</v>
      </c>
      <c r="C348" s="367" t="s">
        <v>4329</v>
      </c>
      <c r="D348" s="412"/>
      <c r="E348" s="412" t="str">
        <f>+E347</f>
        <v>ABA670</v>
      </c>
      <c r="F348" s="393">
        <v>26683.86</v>
      </c>
      <c r="G348" s="393">
        <v>13663.08</v>
      </c>
    </row>
    <row r="349" spans="1:8">
      <c r="A349" s="366">
        <v>6</v>
      </c>
      <c r="B349" s="366" t="s">
        <v>4330</v>
      </c>
      <c r="C349" s="367" t="s">
        <v>4331</v>
      </c>
      <c r="D349" s="412"/>
      <c r="E349" s="412" t="str">
        <f>+E348</f>
        <v>ABA670</v>
      </c>
      <c r="F349" s="393">
        <v>507888.04</v>
      </c>
      <c r="G349" s="393">
        <v>586610.26</v>
      </c>
    </row>
    <row r="350" spans="1:8">
      <c r="A350" s="366">
        <v>6</v>
      </c>
      <c r="B350" s="366" t="s">
        <v>4332</v>
      </c>
      <c r="C350" s="367" t="s">
        <v>4333</v>
      </c>
      <c r="D350" s="412"/>
      <c r="E350" s="412" t="str">
        <f>+E349</f>
        <v>ABA670</v>
      </c>
      <c r="F350" s="393">
        <v>-42451.11</v>
      </c>
      <c r="G350" s="393"/>
    </row>
    <row r="351" spans="1:8">
      <c r="A351" s="366" t="s">
        <v>1972</v>
      </c>
      <c r="B351" s="366" t="s">
        <v>4334</v>
      </c>
      <c r="C351" s="367" t="s">
        <v>4335</v>
      </c>
      <c r="D351" s="412"/>
      <c r="E351" s="412" t="str">
        <f t="shared" ref="E351" si="1">+E350</f>
        <v>ABA670</v>
      </c>
      <c r="F351" s="393">
        <v>-4258250.53</v>
      </c>
      <c r="G351" s="393">
        <v>-4258793.2699999996</v>
      </c>
      <c r="H351" t="s">
        <v>5196</v>
      </c>
    </row>
    <row r="352" spans="1:8">
      <c r="A352" s="388" t="s">
        <v>1970</v>
      </c>
      <c r="B352" s="363" t="s">
        <v>4336</v>
      </c>
      <c r="C352" s="363" t="s">
        <v>4337</v>
      </c>
      <c r="D352" s="378"/>
      <c r="E352" s="378"/>
      <c r="F352" s="391"/>
      <c r="G352" s="391"/>
    </row>
    <row r="353" spans="1:8">
      <c r="A353" s="366">
        <v>6</v>
      </c>
      <c r="B353" s="366" t="s">
        <v>4338</v>
      </c>
      <c r="C353" s="367" t="s">
        <v>4339</v>
      </c>
      <c r="D353" s="412"/>
      <c r="E353" s="412" t="str">
        <f>+B352</f>
        <v>ABA680</v>
      </c>
      <c r="F353" s="393"/>
      <c r="G353" s="393"/>
    </row>
    <row r="354" spans="1:8">
      <c r="A354" s="366" t="s">
        <v>1972</v>
      </c>
      <c r="B354" s="366" t="s">
        <v>4340</v>
      </c>
      <c r="C354" s="367" t="s">
        <v>4341</v>
      </c>
      <c r="D354" s="412"/>
      <c r="E354" s="412" t="str">
        <f>+E353</f>
        <v>ABA680</v>
      </c>
      <c r="F354" s="393"/>
      <c r="G354" s="393"/>
      <c r="H354" t="s">
        <v>5196</v>
      </c>
    </row>
    <row r="355" spans="1:8">
      <c r="A355" s="388" t="s">
        <v>1970</v>
      </c>
      <c r="B355" s="363" t="s">
        <v>4342</v>
      </c>
      <c r="C355" s="363" t="s">
        <v>4343</v>
      </c>
      <c r="D355" s="378"/>
      <c r="E355" s="378"/>
      <c r="F355" s="391"/>
      <c r="G355" s="391"/>
    </row>
    <row r="356" spans="1:8">
      <c r="A356" s="366">
        <v>6</v>
      </c>
      <c r="B356" s="366" t="s">
        <v>4344</v>
      </c>
      <c r="C356" s="367" t="s">
        <v>4345</v>
      </c>
      <c r="D356" s="412"/>
      <c r="E356" s="412" t="str">
        <f>+B355</f>
        <v>ABA690</v>
      </c>
      <c r="F356" s="393"/>
      <c r="G356" s="393"/>
    </row>
    <row r="357" spans="1:8">
      <c r="A357" s="366">
        <v>6</v>
      </c>
      <c r="B357" s="366" t="s">
        <v>4346</v>
      </c>
      <c r="C357" s="367" t="s">
        <v>4347</v>
      </c>
      <c r="D357" s="412"/>
      <c r="E357" s="412" t="str">
        <f>+E356</f>
        <v>ABA690</v>
      </c>
      <c r="F357" s="393">
        <v>1690979.13</v>
      </c>
      <c r="G357" s="393">
        <v>1381323.18</v>
      </c>
    </row>
    <row r="358" spans="1:8">
      <c r="A358" s="366">
        <v>6</v>
      </c>
      <c r="B358" s="366" t="s">
        <v>4348</v>
      </c>
      <c r="C358" s="367" t="s">
        <v>4349</v>
      </c>
      <c r="D358" s="412"/>
      <c r="E358" s="412" t="str">
        <f>+E357</f>
        <v>ABA690</v>
      </c>
      <c r="F358" s="393">
        <v>38470.79</v>
      </c>
      <c r="G358" s="393">
        <v>54496.79</v>
      </c>
    </row>
    <row r="359" spans="1:8">
      <c r="A359" s="366">
        <v>6</v>
      </c>
      <c r="B359" s="366" t="s">
        <v>4350</v>
      </c>
      <c r="C359" s="367" t="s">
        <v>4351</v>
      </c>
      <c r="D359" s="412"/>
      <c r="E359" s="412" t="str">
        <f>+E358</f>
        <v>ABA690</v>
      </c>
      <c r="F359" s="393">
        <v>119.75</v>
      </c>
      <c r="G359" s="393"/>
    </row>
    <row r="360" spans="1:8">
      <c r="A360" s="366" t="s">
        <v>1972</v>
      </c>
      <c r="B360" s="366" t="s">
        <v>4352</v>
      </c>
      <c r="C360" s="367" t="s">
        <v>4353</v>
      </c>
      <c r="D360" s="412"/>
      <c r="E360" s="412" t="str">
        <f>+E359</f>
        <v>ABA690</v>
      </c>
      <c r="F360" s="393">
        <v>-499889.53</v>
      </c>
      <c r="G360" s="393">
        <v>-494983.17</v>
      </c>
      <c r="H360" t="s">
        <v>5196</v>
      </c>
    </row>
    <row r="361" spans="1:8">
      <c r="A361" s="388" t="s">
        <v>1970</v>
      </c>
      <c r="B361" s="363" t="s">
        <v>4354</v>
      </c>
      <c r="C361" s="363" t="s">
        <v>4355</v>
      </c>
      <c r="D361" s="378"/>
      <c r="E361" s="378"/>
      <c r="F361" s="391"/>
      <c r="G361" s="391"/>
    </row>
    <row r="362" spans="1:8">
      <c r="A362" s="366">
        <v>6</v>
      </c>
      <c r="B362" s="366" t="s">
        <v>4356</v>
      </c>
      <c r="C362" s="367" t="s">
        <v>4357</v>
      </c>
      <c r="D362" s="412"/>
      <c r="E362" s="412" t="str">
        <f>+B361</f>
        <v>ABA700</v>
      </c>
      <c r="F362" s="393"/>
      <c r="G362" s="393"/>
    </row>
    <row r="363" spans="1:8">
      <c r="A363" s="366" t="s">
        <v>1972</v>
      </c>
      <c r="B363" s="366" t="s">
        <v>4358</v>
      </c>
      <c r="C363" s="367" t="s">
        <v>4359</v>
      </c>
      <c r="D363" s="412"/>
      <c r="E363" s="412" t="str">
        <f>+E362</f>
        <v>ABA700</v>
      </c>
      <c r="F363" s="393"/>
      <c r="G363" s="393"/>
      <c r="H363" t="s">
        <v>5196</v>
      </c>
    </row>
    <row r="364" spans="1:8">
      <c r="A364" s="388" t="s">
        <v>1970</v>
      </c>
      <c r="B364" s="363" t="s">
        <v>4360</v>
      </c>
      <c r="C364" s="363" t="s">
        <v>4361</v>
      </c>
      <c r="D364" s="378"/>
      <c r="E364" s="378"/>
      <c r="F364" s="391"/>
      <c r="G364" s="391"/>
    </row>
    <row r="365" spans="1:8">
      <c r="A365" s="388" t="s">
        <v>1972</v>
      </c>
      <c r="B365" s="363" t="s">
        <v>4362</v>
      </c>
      <c r="C365" s="363" t="s">
        <v>4363</v>
      </c>
      <c r="D365" s="378"/>
      <c r="E365" s="378"/>
      <c r="F365" s="391"/>
      <c r="G365" s="391"/>
    </row>
    <row r="366" spans="1:8">
      <c r="A366" s="366">
        <v>7</v>
      </c>
      <c r="B366" s="366" t="s">
        <v>4364</v>
      </c>
      <c r="C366" s="367" t="s">
        <v>4365</v>
      </c>
      <c r="D366" s="412"/>
      <c r="E366" s="412" t="str">
        <f>+B365</f>
        <v>ABA711</v>
      </c>
      <c r="F366" s="393">
        <v>12686.68</v>
      </c>
      <c r="G366" s="393">
        <v>11075</v>
      </c>
    </row>
    <row r="367" spans="1:8">
      <c r="A367" s="366">
        <v>7</v>
      </c>
      <c r="B367" s="366" t="s">
        <v>4366</v>
      </c>
      <c r="C367" s="367" t="s">
        <v>4367</v>
      </c>
      <c r="D367" s="412"/>
      <c r="E367" s="412" t="str">
        <f>+E366</f>
        <v>ABA711</v>
      </c>
      <c r="F367" s="393">
        <v>152779.18</v>
      </c>
      <c r="G367" s="393">
        <v>271563.65999999997</v>
      </c>
    </row>
    <row r="368" spans="1:8">
      <c r="A368" s="366">
        <v>7</v>
      </c>
      <c r="B368" s="366" t="s">
        <v>4368</v>
      </c>
      <c r="C368" s="367" t="s">
        <v>4369</v>
      </c>
      <c r="D368" s="412"/>
      <c r="E368" s="412" t="str">
        <f>+E367</f>
        <v>ABA711</v>
      </c>
      <c r="F368" s="393">
        <v>1932826.2</v>
      </c>
      <c r="G368" s="393">
        <v>1944441.18</v>
      </c>
    </row>
    <row r="369" spans="1:8">
      <c r="A369" s="366">
        <v>7</v>
      </c>
      <c r="B369" s="366" t="s">
        <v>4370</v>
      </c>
      <c r="C369" s="367" t="s">
        <v>4371</v>
      </c>
      <c r="D369" s="412"/>
      <c r="E369" s="412" t="str">
        <f>+E368</f>
        <v>ABA711</v>
      </c>
      <c r="F369" s="393">
        <v>137549.70000000001</v>
      </c>
      <c r="G369" s="393">
        <v>51511.64</v>
      </c>
    </row>
    <row r="370" spans="1:8">
      <c r="A370" s="366">
        <v>7</v>
      </c>
      <c r="B370" s="366" t="s">
        <v>4372</v>
      </c>
      <c r="C370" s="367" t="s">
        <v>4373</v>
      </c>
      <c r="D370" s="412"/>
      <c r="E370" s="412" t="str">
        <f>+E369</f>
        <v>ABA711</v>
      </c>
      <c r="F370" s="393">
        <v>112313.31</v>
      </c>
      <c r="G370" s="393">
        <v>111333.31</v>
      </c>
    </row>
    <row r="371" spans="1:8">
      <c r="A371" s="366">
        <v>7</v>
      </c>
      <c r="B371" s="366" t="s">
        <v>4374</v>
      </c>
      <c r="C371" s="367" t="s">
        <v>4375</v>
      </c>
      <c r="D371" s="412"/>
      <c r="E371" s="412" t="str">
        <f t="shared" ref="E371" si="2">+E370</f>
        <v>ABA711</v>
      </c>
      <c r="F371" s="393">
        <v>47162197.140000001</v>
      </c>
      <c r="G371" s="393">
        <v>46714360.729999997</v>
      </c>
    </row>
    <row r="372" spans="1:8">
      <c r="A372" s="366">
        <v>7</v>
      </c>
      <c r="B372" s="366" t="s">
        <v>4376</v>
      </c>
      <c r="C372" s="367" t="s">
        <v>4377</v>
      </c>
      <c r="D372" s="412"/>
      <c r="E372" s="412" t="str">
        <f>+E371</f>
        <v>ABA711</v>
      </c>
      <c r="F372" s="393">
        <v>-176209.95</v>
      </c>
      <c r="G372" s="393">
        <f>-176209.95-81646</f>
        <v>-257855.95</v>
      </c>
      <c r="H372" t="s">
        <v>5196</v>
      </c>
    </row>
    <row r="373" spans="1:8" ht="24">
      <c r="A373" s="366" t="s">
        <v>1975</v>
      </c>
      <c r="B373" s="380" t="s">
        <v>4378</v>
      </c>
      <c r="C373" s="367" t="s">
        <v>4379</v>
      </c>
      <c r="D373" s="412"/>
      <c r="E373" s="412" t="str">
        <f>+E372</f>
        <v>ABA711</v>
      </c>
      <c r="F373" s="393"/>
      <c r="G373" s="393"/>
      <c r="H373" t="s">
        <v>5196</v>
      </c>
    </row>
    <row r="374" spans="1:8">
      <c r="A374" s="388" t="s">
        <v>1972</v>
      </c>
      <c r="B374" s="363" t="s">
        <v>4380</v>
      </c>
      <c r="C374" s="363" t="s">
        <v>4381</v>
      </c>
      <c r="D374" s="378"/>
      <c r="E374" s="378"/>
      <c r="F374" s="391"/>
      <c r="G374" s="391"/>
    </row>
    <row r="375" spans="1:8">
      <c r="A375" s="366" t="s">
        <v>1975</v>
      </c>
      <c r="B375" s="366" t="s">
        <v>4382</v>
      </c>
      <c r="C375" s="367" t="s">
        <v>4383</v>
      </c>
      <c r="D375" s="412"/>
      <c r="E375" s="412" t="str">
        <f>+B374</f>
        <v>ABA712</v>
      </c>
      <c r="F375" s="393"/>
      <c r="G375" s="393"/>
    </row>
    <row r="376" spans="1:8" ht="25.5">
      <c r="A376" s="388" t="s">
        <v>1970</v>
      </c>
      <c r="B376" s="363" t="s">
        <v>4384</v>
      </c>
      <c r="C376" s="363" t="s">
        <v>4385</v>
      </c>
      <c r="D376" s="378"/>
      <c r="E376" s="378"/>
      <c r="F376" s="391"/>
      <c r="G376" s="391"/>
    </row>
    <row r="377" spans="1:8" ht="25.5">
      <c r="A377" s="388" t="s">
        <v>1972</v>
      </c>
      <c r="B377" s="363" t="s">
        <v>4386</v>
      </c>
      <c r="C377" s="363" t="s">
        <v>4387</v>
      </c>
      <c r="D377" s="378"/>
      <c r="E377" s="378"/>
      <c r="F377" s="391"/>
      <c r="G377" s="391"/>
    </row>
    <row r="378" spans="1:8" ht="24">
      <c r="A378" s="366" t="s">
        <v>1975</v>
      </c>
      <c r="B378" s="366" t="s">
        <v>4388</v>
      </c>
      <c r="C378" s="367" t="s">
        <v>4389</v>
      </c>
      <c r="D378" s="412"/>
      <c r="E378" s="412" t="str">
        <f>+B377</f>
        <v>ABA714</v>
      </c>
      <c r="F378" s="393">
        <v>67835</v>
      </c>
      <c r="G378" s="393"/>
    </row>
    <row r="379" spans="1:8">
      <c r="A379" s="388" t="s">
        <v>1972</v>
      </c>
      <c r="B379" s="363" t="s">
        <v>4390</v>
      </c>
      <c r="C379" s="363" t="s">
        <v>4391</v>
      </c>
      <c r="D379" s="378"/>
      <c r="E379" s="378"/>
      <c r="F379" s="391"/>
      <c r="G379" s="391"/>
    </row>
    <row r="380" spans="1:8">
      <c r="A380" s="366" t="s">
        <v>1975</v>
      </c>
      <c r="B380" s="366" t="s">
        <v>4392</v>
      </c>
      <c r="C380" s="367" t="s">
        <v>4393</v>
      </c>
      <c r="D380" s="412"/>
      <c r="E380" s="412" t="str">
        <f>+B379</f>
        <v>ABA715</v>
      </c>
      <c r="F380" s="393"/>
      <c r="G380" s="393"/>
    </row>
    <row r="381" spans="1:8" ht="25.5">
      <c r="A381" s="388" t="s">
        <v>1966</v>
      </c>
      <c r="B381" s="363" t="s">
        <v>4394</v>
      </c>
      <c r="C381" s="363" t="s">
        <v>4395</v>
      </c>
      <c r="D381" s="378"/>
      <c r="E381" s="378"/>
      <c r="F381" s="391"/>
      <c r="G381" s="391"/>
    </row>
    <row r="382" spans="1:8">
      <c r="A382" s="388" t="s">
        <v>1968</v>
      </c>
      <c r="B382" s="363" t="s">
        <v>4396</v>
      </c>
      <c r="C382" s="363" t="s">
        <v>4397</v>
      </c>
      <c r="D382" s="378"/>
      <c r="E382" s="378"/>
      <c r="F382" s="391"/>
      <c r="G382" s="391"/>
    </row>
    <row r="383" spans="1:8">
      <c r="A383" s="366">
        <v>5</v>
      </c>
      <c r="B383" s="366" t="s">
        <v>4398</v>
      </c>
      <c r="C383" s="367" t="s">
        <v>4399</v>
      </c>
      <c r="D383" s="412"/>
      <c r="E383" s="412" t="str">
        <f>+B382</f>
        <v>ABA730</v>
      </c>
      <c r="F383" s="393"/>
      <c r="G383" s="393"/>
    </row>
    <row r="384" spans="1:8">
      <c r="A384" s="366">
        <v>5</v>
      </c>
      <c r="B384" s="366" t="s">
        <v>4400</v>
      </c>
      <c r="C384" s="367" t="s">
        <v>4401</v>
      </c>
      <c r="D384" s="412"/>
      <c r="E384" s="412" t="str">
        <f>+E383</f>
        <v>ABA730</v>
      </c>
      <c r="F384" s="393"/>
      <c r="G384" s="393"/>
    </row>
    <row r="385" spans="1:7">
      <c r="A385" s="366">
        <v>5</v>
      </c>
      <c r="B385" s="366" t="s">
        <v>4402</v>
      </c>
      <c r="C385" s="367" t="s">
        <v>4403</v>
      </c>
      <c r="D385" s="412"/>
      <c r="E385" s="412" t="str">
        <f>+E384</f>
        <v>ABA730</v>
      </c>
      <c r="F385" s="393"/>
      <c r="G385" s="393"/>
    </row>
    <row r="386" spans="1:7">
      <c r="A386" s="388" t="s">
        <v>1968</v>
      </c>
      <c r="B386" s="363" t="s">
        <v>4404</v>
      </c>
      <c r="C386" s="363" t="s">
        <v>4405</v>
      </c>
      <c r="D386" s="378"/>
      <c r="E386" s="378"/>
      <c r="F386" s="391"/>
      <c r="G386" s="391"/>
    </row>
    <row r="387" spans="1:7">
      <c r="A387" s="366" t="s">
        <v>1970</v>
      </c>
      <c r="B387" s="366" t="s">
        <v>4406</v>
      </c>
      <c r="C387" s="367" t="s">
        <v>4407</v>
      </c>
      <c r="D387" s="412"/>
      <c r="E387" s="412" t="str">
        <f>+B386</f>
        <v>ABA740</v>
      </c>
      <c r="F387" s="393"/>
      <c r="G387" s="393"/>
    </row>
    <row r="388" spans="1:7">
      <c r="A388" s="388" t="s">
        <v>1966</v>
      </c>
      <c r="B388" s="363" t="s">
        <v>4408</v>
      </c>
      <c r="C388" s="363" t="s">
        <v>4409</v>
      </c>
      <c r="D388" s="378"/>
      <c r="E388" s="378"/>
      <c r="F388" s="391"/>
      <c r="G388" s="391"/>
    </row>
    <row r="389" spans="1:7">
      <c r="A389" s="388" t="s">
        <v>1968</v>
      </c>
      <c r="B389" s="363" t="s">
        <v>4410</v>
      </c>
      <c r="C389" s="363" t="s">
        <v>4411</v>
      </c>
      <c r="D389" s="378"/>
      <c r="E389" s="378"/>
      <c r="F389" s="391"/>
      <c r="G389" s="391"/>
    </row>
    <row r="390" spans="1:7">
      <c r="A390" s="371">
        <v>5</v>
      </c>
      <c r="B390" s="371" t="s">
        <v>4412</v>
      </c>
      <c r="C390" s="372" t="s">
        <v>4413</v>
      </c>
      <c r="D390" s="385"/>
      <c r="E390" s="385"/>
      <c r="F390" s="397"/>
      <c r="G390" s="397"/>
    </row>
    <row r="391" spans="1:7">
      <c r="A391" s="366">
        <v>6</v>
      </c>
      <c r="B391" s="366" t="s">
        <v>4414</v>
      </c>
      <c r="C391" s="367" t="s">
        <v>4415</v>
      </c>
      <c r="D391" s="412"/>
      <c r="E391" s="412" t="str">
        <f>+B389</f>
        <v>ABA760</v>
      </c>
      <c r="F391" s="393">
        <v>47780</v>
      </c>
      <c r="G391" s="393">
        <v>34479.660000000003</v>
      </c>
    </row>
    <row r="392" spans="1:7">
      <c r="A392" s="366">
        <v>6</v>
      </c>
      <c r="B392" s="366" t="s">
        <v>4416</v>
      </c>
      <c r="C392" s="367" t="s">
        <v>4417</v>
      </c>
      <c r="D392" s="412"/>
      <c r="E392" s="412" t="str">
        <f>+E391</f>
        <v>ABA760</v>
      </c>
      <c r="F392" s="393"/>
      <c r="G392" s="393"/>
    </row>
    <row r="393" spans="1:7">
      <c r="A393" s="371">
        <v>5</v>
      </c>
      <c r="B393" s="371" t="s">
        <v>4418</v>
      </c>
      <c r="C393" s="372" t="s">
        <v>4419</v>
      </c>
      <c r="D393" s="385"/>
      <c r="E393" s="385"/>
      <c r="F393" s="397"/>
      <c r="G393" s="397"/>
    </row>
    <row r="394" spans="1:7">
      <c r="A394" s="366">
        <v>6</v>
      </c>
      <c r="B394" s="366" t="s">
        <v>4420</v>
      </c>
      <c r="C394" s="367" t="s">
        <v>4421</v>
      </c>
      <c r="D394" s="412"/>
      <c r="E394" s="412" t="str">
        <f>+E392</f>
        <v>ABA760</v>
      </c>
      <c r="F394" s="393">
        <v>64169.13</v>
      </c>
      <c r="G394" s="393">
        <v>79545.7</v>
      </c>
    </row>
    <row r="395" spans="1:7">
      <c r="A395" s="366">
        <v>6</v>
      </c>
      <c r="B395" s="366" t="s">
        <v>4422</v>
      </c>
      <c r="C395" s="367" t="s">
        <v>4423</v>
      </c>
      <c r="D395" s="412"/>
      <c r="E395" s="412" t="str">
        <f>+E392</f>
        <v>ABA760</v>
      </c>
      <c r="F395" s="393">
        <v>18163.13</v>
      </c>
      <c r="G395" s="393"/>
    </row>
    <row r="396" spans="1:7">
      <c r="A396" s="388" t="s">
        <v>1968</v>
      </c>
      <c r="B396" s="363" t="s">
        <v>4424</v>
      </c>
      <c r="C396" s="363" t="s">
        <v>4425</v>
      </c>
      <c r="D396" s="378"/>
      <c r="E396" s="378"/>
      <c r="F396" s="391"/>
      <c r="G396" s="391"/>
    </row>
    <row r="397" spans="1:7">
      <c r="A397" s="366">
        <v>5</v>
      </c>
      <c r="B397" s="366" t="s">
        <v>4426</v>
      </c>
      <c r="C397" s="367" t="s">
        <v>4427</v>
      </c>
      <c r="D397" s="412"/>
      <c r="E397" s="412" t="str">
        <f>+B396</f>
        <v>ABA770</v>
      </c>
      <c r="F397" s="393">
        <v>222935320.49000001</v>
      </c>
      <c r="G397" s="393">
        <v>179364719.16</v>
      </c>
    </row>
    <row r="398" spans="1:7">
      <c r="A398" s="366">
        <v>5</v>
      </c>
      <c r="B398" s="366" t="s">
        <v>4428</v>
      </c>
      <c r="C398" s="367" t="s">
        <v>4429</v>
      </c>
      <c r="D398" s="412"/>
      <c r="E398" s="412" t="str">
        <f>+E397</f>
        <v>ABA770</v>
      </c>
      <c r="F398" s="393"/>
      <c r="G398" s="393"/>
    </row>
    <row r="399" spans="1:7">
      <c r="A399" s="366">
        <v>5</v>
      </c>
      <c r="B399" s="366" t="s">
        <v>4430</v>
      </c>
      <c r="C399" s="367" t="s">
        <v>4431</v>
      </c>
      <c r="D399" s="412"/>
      <c r="E399" s="412" t="str">
        <f>+E398</f>
        <v>ABA770</v>
      </c>
      <c r="F399" s="393"/>
      <c r="G399" s="393"/>
    </row>
    <row r="400" spans="1:7">
      <c r="A400" s="366">
        <v>5</v>
      </c>
      <c r="B400" s="366" t="s">
        <v>4432</v>
      </c>
      <c r="C400" s="367" t="s">
        <v>4433</v>
      </c>
      <c r="D400" s="412"/>
      <c r="E400" s="412" t="str">
        <f>+E399</f>
        <v>ABA770</v>
      </c>
      <c r="F400" s="393"/>
      <c r="G400" s="393"/>
    </row>
    <row r="401" spans="1:7">
      <c r="A401" s="366">
        <v>5</v>
      </c>
      <c r="B401" s="366" t="s">
        <v>4434</v>
      </c>
      <c r="C401" s="367" t="s">
        <v>4435</v>
      </c>
      <c r="D401" s="412"/>
      <c r="E401" s="412" t="str">
        <f>+E400</f>
        <v>ABA770</v>
      </c>
      <c r="F401" s="393"/>
      <c r="G401" s="393"/>
    </row>
    <row r="402" spans="1:7">
      <c r="A402" s="388" t="s">
        <v>1968</v>
      </c>
      <c r="B402" s="363" t="s">
        <v>4436</v>
      </c>
      <c r="C402" s="363" t="s">
        <v>4437</v>
      </c>
      <c r="D402" s="378"/>
      <c r="E402" s="378"/>
      <c r="F402" s="391"/>
      <c r="G402" s="391"/>
    </row>
    <row r="403" spans="1:7">
      <c r="A403" s="366" t="s">
        <v>1970</v>
      </c>
      <c r="B403" s="366" t="s">
        <v>4438</v>
      </c>
      <c r="C403" s="367" t="s">
        <v>4439</v>
      </c>
      <c r="D403" s="412"/>
      <c r="E403" s="412" t="str">
        <f>+B402</f>
        <v>ABA780</v>
      </c>
      <c r="F403" s="393"/>
      <c r="G403" s="393"/>
    </row>
    <row r="404" spans="1:7">
      <c r="A404" s="388" t="s">
        <v>1968</v>
      </c>
      <c r="B404" s="363" t="s">
        <v>4440</v>
      </c>
      <c r="C404" s="363" t="s">
        <v>4441</v>
      </c>
      <c r="D404" s="378"/>
      <c r="E404" s="378"/>
      <c r="F404" s="391"/>
      <c r="G404" s="391"/>
    </row>
    <row r="405" spans="1:7">
      <c r="A405" s="366">
        <v>5</v>
      </c>
      <c r="B405" s="366" t="s">
        <v>4442</v>
      </c>
      <c r="C405" s="367" t="s">
        <v>4443</v>
      </c>
      <c r="D405" s="412"/>
      <c r="E405" s="412" t="str">
        <f>+B404</f>
        <v>ABA790</v>
      </c>
      <c r="F405" s="393">
        <v>12223.17</v>
      </c>
      <c r="G405" s="393">
        <v>12121.71</v>
      </c>
    </row>
    <row r="406" spans="1:7">
      <c r="A406" s="366">
        <v>5</v>
      </c>
      <c r="B406" s="366" t="s">
        <v>4444</v>
      </c>
      <c r="C406" s="367" t="s">
        <v>4445</v>
      </c>
      <c r="D406" s="412"/>
      <c r="E406" s="412" t="str">
        <f>+E405</f>
        <v>ABA790</v>
      </c>
      <c r="F406" s="393"/>
      <c r="G406" s="393"/>
    </row>
    <row r="407" spans="1:7">
      <c r="A407" s="366">
        <v>5</v>
      </c>
      <c r="B407" s="366" t="s">
        <v>4446</v>
      </c>
      <c r="C407" s="367" t="s">
        <v>4447</v>
      </c>
      <c r="D407" s="412"/>
      <c r="E407" s="412" t="str">
        <f>+E406</f>
        <v>ABA790</v>
      </c>
      <c r="F407" s="393"/>
      <c r="G407" s="393"/>
    </row>
    <row r="408" spans="1:7">
      <c r="A408" s="366">
        <v>5</v>
      </c>
      <c r="B408" s="366" t="s">
        <v>4448</v>
      </c>
      <c r="C408" s="367" t="s">
        <v>4449</v>
      </c>
      <c r="D408" s="412"/>
      <c r="E408" s="412" t="str">
        <f>+E407</f>
        <v>ABA790</v>
      </c>
      <c r="F408" s="393"/>
      <c r="G408" s="393"/>
    </row>
    <row r="409" spans="1:7">
      <c r="A409" s="366">
        <v>5</v>
      </c>
      <c r="B409" s="366" t="s">
        <v>4450</v>
      </c>
      <c r="C409" s="367" t="s">
        <v>4451</v>
      </c>
      <c r="D409" s="412"/>
      <c r="E409" s="412" t="str">
        <f>+E408</f>
        <v>ABA790</v>
      </c>
      <c r="F409" s="393">
        <v>30752.55</v>
      </c>
      <c r="G409" s="393">
        <v>28420.25</v>
      </c>
    </row>
    <row r="410" spans="1:7">
      <c r="A410" s="371">
        <v>4</v>
      </c>
      <c r="B410" s="371" t="s">
        <v>4452</v>
      </c>
      <c r="C410" s="372" t="s">
        <v>4453</v>
      </c>
      <c r="D410" s="385"/>
      <c r="E410" s="385"/>
      <c r="F410" s="397"/>
      <c r="G410" s="397"/>
    </row>
    <row r="411" spans="1:7">
      <c r="A411" s="366">
        <v>5</v>
      </c>
      <c r="B411" s="366" t="s">
        <v>4454</v>
      </c>
      <c r="C411" s="367" t="s">
        <v>4455</v>
      </c>
      <c r="D411" s="412"/>
      <c r="E411" s="412" t="str">
        <f>+B404</f>
        <v>ABA790</v>
      </c>
      <c r="F411" s="393"/>
      <c r="G411" s="393"/>
    </row>
    <row r="412" spans="1:7">
      <c r="A412" s="366">
        <v>5</v>
      </c>
      <c r="B412" s="366" t="s">
        <v>4456</v>
      </c>
      <c r="C412" s="367" t="s">
        <v>4457</v>
      </c>
      <c r="D412" s="412"/>
      <c r="E412" s="412" t="str">
        <f>+E411</f>
        <v>ABA790</v>
      </c>
      <c r="F412" s="393"/>
      <c r="G412" s="393"/>
    </row>
    <row r="413" spans="1:7">
      <c r="A413" s="366">
        <v>5</v>
      </c>
      <c r="B413" s="366" t="s">
        <v>4458</v>
      </c>
      <c r="C413" s="367" t="s">
        <v>4459</v>
      </c>
      <c r="D413" s="412"/>
      <c r="E413" s="412" t="str">
        <f t="shared" ref="E413:E422" si="3">+E412</f>
        <v>ABA790</v>
      </c>
      <c r="F413" s="393"/>
      <c r="G413" s="393"/>
    </row>
    <row r="414" spans="1:7">
      <c r="A414" s="366">
        <v>5</v>
      </c>
      <c r="B414" s="366" t="s">
        <v>4460</v>
      </c>
      <c r="C414" s="367" t="s">
        <v>4461</v>
      </c>
      <c r="D414" s="412"/>
      <c r="E414" s="412" t="str">
        <f t="shared" si="3"/>
        <v>ABA790</v>
      </c>
      <c r="F414" s="393"/>
      <c r="G414" s="393"/>
    </row>
    <row r="415" spans="1:7">
      <c r="A415" s="366">
        <v>5</v>
      </c>
      <c r="B415" s="366" t="s">
        <v>4462</v>
      </c>
      <c r="C415" s="367" t="s">
        <v>4463</v>
      </c>
      <c r="D415" s="412"/>
      <c r="E415" s="412" t="str">
        <f t="shared" si="3"/>
        <v>ABA790</v>
      </c>
      <c r="F415" s="393"/>
      <c r="G415" s="393"/>
    </row>
    <row r="416" spans="1:7">
      <c r="A416" s="366">
        <v>5</v>
      </c>
      <c r="B416" s="366" t="s">
        <v>4464</v>
      </c>
      <c r="C416" s="367" t="s">
        <v>4465</v>
      </c>
      <c r="D416" s="412"/>
      <c r="E416" s="412" t="str">
        <f t="shared" si="3"/>
        <v>ABA790</v>
      </c>
      <c r="F416" s="393"/>
      <c r="G416" s="393"/>
    </row>
    <row r="417" spans="1:7">
      <c r="A417" s="366">
        <v>5</v>
      </c>
      <c r="B417" s="366" t="s">
        <v>4466</v>
      </c>
      <c r="C417" s="367" t="s">
        <v>4467</v>
      </c>
      <c r="D417" s="412"/>
      <c r="E417" s="412" t="str">
        <f t="shared" si="3"/>
        <v>ABA790</v>
      </c>
      <c r="F417" s="393"/>
      <c r="G417" s="393"/>
    </row>
    <row r="418" spans="1:7">
      <c r="A418" s="366">
        <v>5</v>
      </c>
      <c r="B418" s="366" t="s">
        <v>4468</v>
      </c>
      <c r="C418" s="367" t="s">
        <v>4469</v>
      </c>
      <c r="D418" s="412"/>
      <c r="E418" s="412" t="str">
        <f t="shared" si="3"/>
        <v>ABA790</v>
      </c>
      <c r="F418" s="393"/>
      <c r="G418" s="393"/>
    </row>
    <row r="419" spans="1:7">
      <c r="A419" s="366">
        <v>5</v>
      </c>
      <c r="B419" s="366" t="s">
        <v>4470</v>
      </c>
      <c r="C419" s="367" t="s">
        <v>4471</v>
      </c>
      <c r="D419" s="412"/>
      <c r="E419" s="412" t="str">
        <f t="shared" si="3"/>
        <v>ABA790</v>
      </c>
      <c r="F419" s="393"/>
      <c r="G419" s="393"/>
    </row>
    <row r="420" spans="1:7">
      <c r="A420" s="366">
        <v>5</v>
      </c>
      <c r="B420" s="366" t="s">
        <v>4472</v>
      </c>
      <c r="C420" s="367" t="s">
        <v>4473</v>
      </c>
      <c r="D420" s="412"/>
      <c r="E420" s="412" t="str">
        <f t="shared" si="3"/>
        <v>ABA790</v>
      </c>
      <c r="F420" s="393"/>
      <c r="G420" s="393"/>
    </row>
    <row r="421" spans="1:7">
      <c r="A421" s="366">
        <v>5</v>
      </c>
      <c r="B421" s="366" t="s">
        <v>4474</v>
      </c>
      <c r="C421" s="367" t="s">
        <v>4475</v>
      </c>
      <c r="D421" s="412"/>
      <c r="E421" s="412" t="str">
        <f t="shared" si="3"/>
        <v>ABA790</v>
      </c>
      <c r="F421" s="393"/>
      <c r="G421" s="393"/>
    </row>
    <row r="422" spans="1:7">
      <c r="A422" s="366">
        <v>5</v>
      </c>
      <c r="B422" s="366" t="s">
        <v>4476</v>
      </c>
      <c r="C422" s="367" t="s">
        <v>4477</v>
      </c>
      <c r="D422" s="412"/>
      <c r="E422" s="412" t="str">
        <f t="shared" si="3"/>
        <v>ABA790</v>
      </c>
      <c r="F422" s="393"/>
      <c r="G422" s="393"/>
    </row>
    <row r="423" spans="1:7">
      <c r="A423" s="388" t="s">
        <v>1963</v>
      </c>
      <c r="B423" s="363" t="s">
        <v>4478</v>
      </c>
      <c r="C423" s="363" t="s">
        <v>4479</v>
      </c>
      <c r="D423" s="378"/>
      <c r="E423" s="378"/>
      <c r="F423" s="391"/>
      <c r="G423" s="391"/>
    </row>
    <row r="424" spans="1:7">
      <c r="A424" s="388" t="s">
        <v>1966</v>
      </c>
      <c r="B424" s="363" t="s">
        <v>4480</v>
      </c>
      <c r="C424" s="363" t="s">
        <v>4481</v>
      </c>
      <c r="D424" s="378"/>
      <c r="E424" s="378"/>
      <c r="F424" s="391"/>
      <c r="G424" s="391"/>
    </row>
    <row r="425" spans="1:7">
      <c r="A425" s="388" t="s">
        <v>1968</v>
      </c>
      <c r="B425" s="363" t="s">
        <v>4482</v>
      </c>
      <c r="C425" s="363" t="s">
        <v>4483</v>
      </c>
      <c r="D425" s="378"/>
      <c r="E425" s="378"/>
      <c r="F425" s="391"/>
      <c r="G425" s="391"/>
    </row>
    <row r="426" spans="1:7">
      <c r="A426" s="366" t="s">
        <v>1970</v>
      </c>
      <c r="B426" s="366" t="s">
        <v>4484</v>
      </c>
      <c r="C426" s="367" t="s">
        <v>4485</v>
      </c>
      <c r="D426" s="412"/>
      <c r="E426" s="412" t="str">
        <f>+B425</f>
        <v>ACA010</v>
      </c>
      <c r="F426" s="393"/>
      <c r="G426" s="393"/>
    </row>
    <row r="427" spans="1:7">
      <c r="A427" s="388" t="s">
        <v>1968</v>
      </c>
      <c r="B427" s="363" t="s">
        <v>4486</v>
      </c>
      <c r="C427" s="363" t="s">
        <v>4487</v>
      </c>
      <c r="D427" s="378" t="s">
        <v>1248</v>
      </c>
      <c r="E427" s="378"/>
      <c r="F427" s="391"/>
      <c r="G427" s="391"/>
    </row>
    <row r="428" spans="1:7">
      <c r="A428" s="366" t="s">
        <v>1970</v>
      </c>
      <c r="B428" s="366" t="s">
        <v>4488</v>
      </c>
      <c r="C428" s="367" t="s">
        <v>4489</v>
      </c>
      <c r="D428" s="412" t="s">
        <v>1248</v>
      </c>
      <c r="E428" s="412" t="str">
        <f>+B427</f>
        <v>ACA020</v>
      </c>
      <c r="F428" s="393"/>
      <c r="G428" s="393"/>
    </row>
    <row r="429" spans="1:7">
      <c r="A429" s="388" t="s">
        <v>1966</v>
      </c>
      <c r="B429" s="363" t="s">
        <v>4490</v>
      </c>
      <c r="C429" s="363" t="s">
        <v>4491</v>
      </c>
      <c r="D429" s="378"/>
      <c r="E429" s="378"/>
      <c r="F429" s="391"/>
      <c r="G429" s="391"/>
    </row>
    <row r="430" spans="1:7">
      <c r="A430" s="388" t="s">
        <v>1968</v>
      </c>
      <c r="B430" s="363" t="s">
        <v>4492</v>
      </c>
      <c r="C430" s="363" t="s">
        <v>4493</v>
      </c>
      <c r="D430" s="378"/>
      <c r="E430" s="378"/>
      <c r="F430" s="391"/>
      <c r="G430" s="391"/>
    </row>
    <row r="431" spans="1:7">
      <c r="A431" s="366" t="s">
        <v>1970</v>
      </c>
      <c r="B431" s="366" t="s">
        <v>4494</v>
      </c>
      <c r="C431" s="367" t="s">
        <v>4495</v>
      </c>
      <c r="D431" s="412"/>
      <c r="E431" s="412" t="str">
        <f>+B430</f>
        <v>ACA040</v>
      </c>
      <c r="F431" s="393">
        <v>7699.13</v>
      </c>
      <c r="G431" s="393">
        <v>291835.40000000002</v>
      </c>
    </row>
    <row r="432" spans="1:7">
      <c r="A432" s="388" t="s">
        <v>1968</v>
      </c>
      <c r="B432" s="363" t="s">
        <v>4496</v>
      </c>
      <c r="C432" s="363" t="s">
        <v>4497</v>
      </c>
      <c r="D432" s="378" t="s">
        <v>1248</v>
      </c>
      <c r="E432" s="378"/>
      <c r="F432" s="391"/>
      <c r="G432" s="391"/>
    </row>
    <row r="433" spans="1:7">
      <c r="A433" s="366" t="s">
        <v>1970</v>
      </c>
      <c r="B433" s="366" t="s">
        <v>4498</v>
      </c>
      <c r="C433" s="367" t="s">
        <v>4499</v>
      </c>
      <c r="D433" s="412" t="s">
        <v>1248</v>
      </c>
      <c r="E433" s="412" t="str">
        <f>+B432</f>
        <v>ACA050</v>
      </c>
      <c r="F433" s="393"/>
      <c r="G433" s="393"/>
    </row>
    <row r="434" spans="1:7" s="403" customFormat="1">
      <c r="A434" s="418" t="s">
        <v>1963</v>
      </c>
      <c r="B434" s="419" t="s">
        <v>4500</v>
      </c>
      <c r="C434" s="419" t="s">
        <v>4501</v>
      </c>
      <c r="D434" s="420"/>
      <c r="E434" s="420"/>
      <c r="F434" s="421">
        <f>SUM(F7:F433)</f>
        <v>983398871.53999984</v>
      </c>
      <c r="G434" s="421">
        <f>SUM(G7:G433)</f>
        <v>939263734.18999994</v>
      </c>
    </row>
    <row r="435" spans="1:7">
      <c r="A435" s="388" t="s">
        <v>1963</v>
      </c>
      <c r="B435" s="363" t="s">
        <v>4502</v>
      </c>
      <c r="C435" s="363" t="s">
        <v>4503</v>
      </c>
      <c r="D435" s="378"/>
      <c r="E435" s="378"/>
      <c r="F435" s="391"/>
      <c r="G435" s="391"/>
    </row>
    <row r="436" spans="1:7">
      <c r="A436" s="388" t="s">
        <v>1966</v>
      </c>
      <c r="B436" s="363" t="s">
        <v>4504</v>
      </c>
      <c r="C436" s="363" t="s">
        <v>4505</v>
      </c>
      <c r="D436" s="378"/>
      <c r="E436" s="378"/>
      <c r="F436" s="391"/>
      <c r="G436" s="391"/>
    </row>
    <row r="437" spans="1:7">
      <c r="A437" s="366" t="s">
        <v>1968</v>
      </c>
      <c r="B437" s="366" t="s">
        <v>4506</v>
      </c>
      <c r="C437" s="367" t="s">
        <v>4507</v>
      </c>
      <c r="D437" s="412"/>
      <c r="E437" s="412" t="str">
        <f>+B436</f>
        <v>ADA000</v>
      </c>
      <c r="F437" s="393"/>
      <c r="G437" s="393"/>
    </row>
    <row r="438" spans="1:7">
      <c r="A438" s="388" t="s">
        <v>1966</v>
      </c>
      <c r="B438" s="363" t="s">
        <v>4508</v>
      </c>
      <c r="C438" s="363" t="s">
        <v>4509</v>
      </c>
      <c r="D438" s="378"/>
      <c r="E438" s="378"/>
      <c r="F438" s="391"/>
      <c r="G438" s="391"/>
    </row>
    <row r="439" spans="1:7">
      <c r="A439" s="366" t="s">
        <v>1968</v>
      </c>
      <c r="B439" s="366" t="s">
        <v>4510</v>
      </c>
      <c r="C439" s="367" t="s">
        <v>4511</v>
      </c>
      <c r="D439" s="412"/>
      <c r="E439" s="412" t="str">
        <f>+B438</f>
        <v>ADA010</v>
      </c>
      <c r="F439" s="393">
        <v>444419.14</v>
      </c>
      <c r="G439" s="393">
        <v>691333</v>
      </c>
    </row>
    <row r="440" spans="1:7">
      <c r="A440" s="388" t="s">
        <v>1966</v>
      </c>
      <c r="B440" s="363" t="s">
        <v>4512</v>
      </c>
      <c r="C440" s="363" t="s">
        <v>4513</v>
      </c>
      <c r="D440" s="378"/>
      <c r="E440" s="378"/>
      <c r="F440" s="391"/>
      <c r="G440" s="391"/>
    </row>
    <row r="441" spans="1:7">
      <c r="A441" s="366" t="s">
        <v>1968</v>
      </c>
      <c r="B441" s="366" t="s">
        <v>4514</v>
      </c>
      <c r="C441" s="367" t="s">
        <v>4515</v>
      </c>
      <c r="D441" s="412"/>
      <c r="E441" s="412" t="str">
        <f>+B440</f>
        <v>ADA020</v>
      </c>
      <c r="F441" s="393">
        <v>2749380.73</v>
      </c>
      <c r="G441" s="393">
        <v>2749380.73</v>
      </c>
    </row>
    <row r="442" spans="1:7">
      <c r="A442" s="388" t="s">
        <v>1966</v>
      </c>
      <c r="B442" s="363" t="s">
        <v>4516</v>
      </c>
      <c r="C442" s="363" t="s">
        <v>4517</v>
      </c>
      <c r="D442" s="378"/>
      <c r="E442" s="378"/>
      <c r="F442" s="391"/>
      <c r="G442" s="391"/>
    </row>
    <row r="443" spans="1:7">
      <c r="A443" s="366" t="s">
        <v>1968</v>
      </c>
      <c r="B443" s="366" t="s">
        <v>4518</v>
      </c>
      <c r="C443" s="367" t="s">
        <v>4519</v>
      </c>
      <c r="D443" s="412"/>
      <c r="E443" s="412" t="str">
        <f>+B442</f>
        <v>ADA021</v>
      </c>
      <c r="F443" s="393"/>
      <c r="G443" s="393"/>
    </row>
    <row r="444" spans="1:7">
      <c r="A444" s="388" t="s">
        <v>1966</v>
      </c>
      <c r="B444" s="363" t="s">
        <v>4520</v>
      </c>
      <c r="C444" s="363" t="s">
        <v>4521</v>
      </c>
      <c r="D444" s="378"/>
      <c r="E444" s="378"/>
      <c r="F444" s="391"/>
      <c r="G444" s="391"/>
    </row>
    <row r="445" spans="1:7">
      <c r="A445" s="366">
        <v>4</v>
      </c>
      <c r="B445" s="366" t="s">
        <v>4522</v>
      </c>
      <c r="C445" s="367" t="s">
        <v>4523</v>
      </c>
      <c r="D445" s="412"/>
      <c r="E445" s="412" t="str">
        <f>+B444</f>
        <v>ADA030</v>
      </c>
      <c r="F445" s="393">
        <v>4070885.5</v>
      </c>
      <c r="G445" s="393">
        <v>4070885.5</v>
      </c>
    </row>
    <row r="446" spans="1:7" ht="24">
      <c r="A446" s="366">
        <v>4</v>
      </c>
      <c r="B446" s="366" t="s">
        <v>4524</v>
      </c>
      <c r="C446" s="367" t="s">
        <v>4525</v>
      </c>
      <c r="D446" s="412"/>
      <c r="E446" s="412" t="str">
        <f>+E445</f>
        <v>ADA030</v>
      </c>
      <c r="F446" s="393">
        <v>324245.93</v>
      </c>
      <c r="G446" s="393">
        <v>214527.37</v>
      </c>
    </row>
    <row r="447" spans="1:7" ht="24">
      <c r="A447" s="366">
        <v>4</v>
      </c>
      <c r="B447" s="366" t="s">
        <v>4526</v>
      </c>
      <c r="C447" s="367" t="s">
        <v>4527</v>
      </c>
      <c r="D447" s="412"/>
      <c r="E447" s="412" t="str">
        <f t="shared" ref="E447:E449" si="4">+E446</f>
        <v>ADA030</v>
      </c>
      <c r="F447" s="393">
        <v>30510241.760000002</v>
      </c>
      <c r="G447" s="393">
        <v>30478651.510000002</v>
      </c>
    </row>
    <row r="448" spans="1:7">
      <c r="A448" s="366">
        <v>4</v>
      </c>
      <c r="B448" s="366" t="s">
        <v>4528</v>
      </c>
      <c r="C448" s="367" t="s">
        <v>4529</v>
      </c>
      <c r="D448" s="412"/>
      <c r="E448" s="412" t="str">
        <f t="shared" si="4"/>
        <v>ADA030</v>
      </c>
      <c r="F448" s="393"/>
      <c r="G448" s="393"/>
    </row>
    <row r="449" spans="1:7">
      <c r="A449" s="366">
        <v>4</v>
      </c>
      <c r="B449" s="366" t="s">
        <v>4530</v>
      </c>
      <c r="C449" s="367" t="s">
        <v>4531</v>
      </c>
      <c r="D449" s="412"/>
      <c r="E449" s="412" t="str">
        <f t="shared" si="4"/>
        <v>ADA030</v>
      </c>
      <c r="F449" s="393"/>
      <c r="G449" s="393"/>
    </row>
  </sheetData>
  <autoFilter ref="A1:H449"/>
  <conditionalFormatting sqref="C339">
    <cfRule type="duplicateValues" dxfId="5" priority="4"/>
  </conditionalFormatting>
  <conditionalFormatting sqref="C98">
    <cfRule type="duplicateValues" dxfId="4" priority="3"/>
  </conditionalFormatting>
  <conditionalFormatting sqref="C340:C449 C99:C188 C3:C97 C190:C338">
    <cfRule type="duplicateValues" dxfId="3" priority="5"/>
  </conditionalFormatting>
  <conditionalFormatting sqref="C189">
    <cfRule type="duplicateValues" dxfId="2" priority="2"/>
  </conditionalFormatting>
  <conditionalFormatting sqref="C2">
    <cfRule type="duplicateValues" dxfId="1" priority="1"/>
  </conditionalFormatting>
  <printOptions horizontalCentered="1"/>
  <pageMargins left="0" right="0" top="0.19685039370078741" bottom="0.19685039370078741" header="0.31496062992125984" footer="0.31496062992125984"/>
  <pageSetup paperSize="9" scale="75" fitToHeight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6.140625" bestFit="1" customWidth="1"/>
    <col min="2" max="2" width="19.28515625" customWidth="1"/>
    <col min="3" max="3" width="71.7109375" customWidth="1"/>
    <col min="4" max="4" width="8.42578125" bestFit="1" customWidth="1"/>
    <col min="5" max="5" width="8.42578125" hidden="1" customWidth="1"/>
    <col min="6" max="7" width="18.85546875" style="258" customWidth="1"/>
  </cols>
  <sheetData>
    <row r="1" spans="1:7" ht="26.25" thickBot="1">
      <c r="A1" s="257" t="s">
        <v>120</v>
      </c>
      <c r="B1" s="360" t="s">
        <v>2233</v>
      </c>
      <c r="C1" s="360" t="s">
        <v>121</v>
      </c>
      <c r="D1" s="360" t="s">
        <v>1936</v>
      </c>
      <c r="E1" s="360"/>
      <c r="F1" s="361" t="s">
        <v>3632</v>
      </c>
      <c r="G1" s="361" t="s">
        <v>3633</v>
      </c>
    </row>
    <row r="2" spans="1:7">
      <c r="A2" s="388" t="s">
        <v>1842</v>
      </c>
      <c r="B2" s="410" t="s">
        <v>4532</v>
      </c>
      <c r="C2" s="410" t="s">
        <v>4533</v>
      </c>
      <c r="D2" s="411"/>
      <c r="E2" s="411"/>
      <c r="F2" s="417"/>
      <c r="G2" s="417"/>
    </row>
    <row r="3" spans="1:7">
      <c r="A3" s="388" t="s">
        <v>1963</v>
      </c>
      <c r="B3" s="363" t="s">
        <v>4534</v>
      </c>
      <c r="C3" s="363" t="s">
        <v>4535</v>
      </c>
      <c r="D3" s="378"/>
      <c r="E3" s="378"/>
      <c r="F3" s="391"/>
      <c r="G3" s="391"/>
    </row>
    <row r="4" spans="1:7">
      <c r="A4" s="388" t="s">
        <v>1966</v>
      </c>
      <c r="B4" s="363" t="s">
        <v>4536</v>
      </c>
      <c r="C4" s="363" t="s">
        <v>4537</v>
      </c>
      <c r="D4" s="378"/>
      <c r="E4" s="378"/>
      <c r="F4" s="391"/>
      <c r="G4" s="391"/>
    </row>
    <row r="5" spans="1:7">
      <c r="A5" s="366" t="s">
        <v>1968</v>
      </c>
      <c r="B5" s="366" t="s">
        <v>4538</v>
      </c>
      <c r="C5" s="367" t="s">
        <v>4539</v>
      </c>
      <c r="D5" s="412"/>
      <c r="E5" s="412" t="str">
        <f>+B4</f>
        <v>PAA000</v>
      </c>
      <c r="F5" s="393">
        <v>984892.65</v>
      </c>
      <c r="G5" s="393">
        <v>980644.33</v>
      </c>
    </row>
    <row r="6" spans="1:7">
      <c r="A6" s="388" t="s">
        <v>1966</v>
      </c>
      <c r="B6" s="363" t="s">
        <v>4540</v>
      </c>
      <c r="C6" s="363" t="s">
        <v>4541</v>
      </c>
      <c r="D6" s="378"/>
      <c r="E6" s="378"/>
      <c r="F6" s="391"/>
      <c r="G6" s="391"/>
    </row>
    <row r="7" spans="1:7">
      <c r="A7" s="388" t="s">
        <v>1968</v>
      </c>
      <c r="B7" s="363" t="s">
        <v>4542</v>
      </c>
      <c r="C7" s="363" t="s">
        <v>4543</v>
      </c>
      <c r="D7" s="378"/>
      <c r="E7" s="378"/>
      <c r="F7" s="391"/>
      <c r="G7" s="391"/>
    </row>
    <row r="8" spans="1:7">
      <c r="A8" s="366" t="s">
        <v>1970</v>
      </c>
      <c r="B8" s="366" t="s">
        <v>4544</v>
      </c>
      <c r="C8" s="367" t="s">
        <v>4545</v>
      </c>
      <c r="D8" s="412"/>
      <c r="E8" s="412" t="str">
        <f>+B7</f>
        <v>PAA020</v>
      </c>
      <c r="F8" s="393">
        <v>112004738.43000001</v>
      </c>
      <c r="G8" s="393">
        <v>117084281.44</v>
      </c>
    </row>
    <row r="9" spans="1:7">
      <c r="A9" s="388" t="s">
        <v>1968</v>
      </c>
      <c r="B9" s="363" t="s">
        <v>4546</v>
      </c>
      <c r="C9" s="363" t="s">
        <v>4547</v>
      </c>
      <c r="D9" s="378"/>
      <c r="E9" s="378"/>
      <c r="F9" s="391"/>
      <c r="G9" s="391"/>
    </row>
    <row r="10" spans="1:7">
      <c r="A10" s="388" t="s">
        <v>1970</v>
      </c>
      <c r="B10" s="363" t="s">
        <v>4548</v>
      </c>
      <c r="C10" s="363" t="s">
        <v>4549</v>
      </c>
      <c r="D10" s="378"/>
      <c r="E10" s="378"/>
      <c r="F10" s="391"/>
      <c r="G10" s="391"/>
    </row>
    <row r="11" spans="1:7">
      <c r="A11" s="366" t="s">
        <v>1972</v>
      </c>
      <c r="B11" s="366" t="s">
        <v>4550</v>
      </c>
      <c r="C11" s="367" t="s">
        <v>4551</v>
      </c>
      <c r="D11" s="412"/>
      <c r="E11" s="412" t="str">
        <f>+B10</f>
        <v>PAA040</v>
      </c>
      <c r="F11" s="393"/>
      <c r="G11" s="393"/>
    </row>
    <row r="12" spans="1:7">
      <c r="A12" s="388" t="s">
        <v>1970</v>
      </c>
      <c r="B12" s="363" t="s">
        <v>4552</v>
      </c>
      <c r="C12" s="363" t="s">
        <v>4553</v>
      </c>
      <c r="D12" s="378"/>
      <c r="E12" s="378"/>
      <c r="F12" s="391"/>
      <c r="G12" s="391"/>
    </row>
    <row r="13" spans="1:7">
      <c r="A13" s="366" t="s">
        <v>1972</v>
      </c>
      <c r="B13" s="366" t="s">
        <v>4554</v>
      </c>
      <c r="C13" s="367" t="s">
        <v>4555</v>
      </c>
      <c r="D13" s="412"/>
      <c r="E13" s="412" t="str">
        <f>+B12</f>
        <v>PAA050</v>
      </c>
      <c r="F13" s="393"/>
      <c r="G13" s="393"/>
    </row>
    <row r="14" spans="1:7">
      <c r="A14" s="388" t="s">
        <v>1970</v>
      </c>
      <c r="B14" s="363" t="s">
        <v>4556</v>
      </c>
      <c r="C14" s="363" t="s">
        <v>4557</v>
      </c>
      <c r="D14" s="378"/>
      <c r="E14" s="378"/>
      <c r="F14" s="391"/>
      <c r="G14" s="391"/>
    </row>
    <row r="15" spans="1:7">
      <c r="A15" s="366" t="s">
        <v>1972</v>
      </c>
      <c r="B15" s="366" t="s">
        <v>4558</v>
      </c>
      <c r="C15" s="367" t="s">
        <v>4559</v>
      </c>
      <c r="D15" s="412"/>
      <c r="E15" s="412" t="str">
        <f>+B14</f>
        <v>PAA060</v>
      </c>
      <c r="F15" s="393">
        <v>47245309.560000002</v>
      </c>
      <c r="G15" s="393">
        <v>46735429.359999999</v>
      </c>
    </row>
    <row r="16" spans="1:7">
      <c r="A16" s="388" t="s">
        <v>1968</v>
      </c>
      <c r="B16" s="363" t="s">
        <v>4560</v>
      </c>
      <c r="C16" s="363" t="s">
        <v>4561</v>
      </c>
      <c r="D16" s="378"/>
      <c r="E16" s="378"/>
      <c r="F16" s="391"/>
      <c r="G16" s="391"/>
    </row>
    <row r="17" spans="1:7">
      <c r="A17" s="366">
        <v>5</v>
      </c>
      <c r="B17" s="366" t="s">
        <v>4562</v>
      </c>
      <c r="C17" s="367" t="s">
        <v>4563</v>
      </c>
      <c r="D17" s="412"/>
      <c r="E17" s="412" t="str">
        <f>+B16</f>
        <v>PAA070</v>
      </c>
      <c r="F17" s="393">
        <v>296072511.50999999</v>
      </c>
      <c r="G17" s="393">
        <v>307919538.79000002</v>
      </c>
    </row>
    <row r="18" spans="1:7">
      <c r="A18" s="366">
        <v>5</v>
      </c>
      <c r="B18" s="366" t="s">
        <v>4564</v>
      </c>
      <c r="C18" s="367" t="s">
        <v>4565</v>
      </c>
      <c r="D18" s="412"/>
      <c r="E18" s="412" t="str">
        <f>+E17</f>
        <v>PAA070</v>
      </c>
      <c r="F18" s="393">
        <v>75447988.480000004</v>
      </c>
      <c r="G18" s="393">
        <v>68441858.510000005</v>
      </c>
    </row>
    <row r="19" spans="1:7">
      <c r="A19" s="388" t="s">
        <v>1968</v>
      </c>
      <c r="B19" s="363" t="s">
        <v>4566</v>
      </c>
      <c r="C19" s="363" t="s">
        <v>4567</v>
      </c>
      <c r="D19" s="378"/>
      <c r="E19" s="378"/>
      <c r="F19" s="391"/>
      <c r="G19" s="391"/>
    </row>
    <row r="20" spans="1:7">
      <c r="A20" s="366">
        <v>5</v>
      </c>
      <c r="B20" s="366" t="s">
        <v>4568</v>
      </c>
      <c r="C20" s="367" t="s">
        <v>4569</v>
      </c>
      <c r="D20" s="412"/>
      <c r="E20" s="412" t="str">
        <f>+B19</f>
        <v>PAA080</v>
      </c>
      <c r="F20" s="393"/>
      <c r="G20" s="393"/>
    </row>
    <row r="21" spans="1:7">
      <c r="A21" s="366">
        <v>5</v>
      </c>
      <c r="B21" s="366" t="s">
        <v>4570</v>
      </c>
      <c r="C21" s="367" t="s">
        <v>4571</v>
      </c>
      <c r="D21" s="412"/>
      <c r="E21" s="412" t="str">
        <f>+E20</f>
        <v>PAA080</v>
      </c>
      <c r="F21" s="393">
        <v>11184241.189999999</v>
      </c>
      <c r="G21" s="393">
        <v>11296591.08</v>
      </c>
    </row>
    <row r="22" spans="1:7">
      <c r="A22" s="388" t="s">
        <v>1968</v>
      </c>
      <c r="B22" s="363" t="s">
        <v>4572</v>
      </c>
      <c r="C22" s="363" t="s">
        <v>4573</v>
      </c>
      <c r="D22" s="378"/>
      <c r="E22" s="378"/>
      <c r="F22" s="391"/>
      <c r="G22" s="391"/>
    </row>
    <row r="23" spans="1:7">
      <c r="A23" s="366" t="s">
        <v>1970</v>
      </c>
      <c r="B23" s="366" t="s">
        <v>4574</v>
      </c>
      <c r="C23" s="367" t="s">
        <v>4575</v>
      </c>
      <c r="D23" s="412"/>
      <c r="E23" s="412" t="str">
        <f>+B22</f>
        <v>PAA090</v>
      </c>
      <c r="F23" s="393">
        <v>241995.75</v>
      </c>
      <c r="G23" s="393">
        <v>74252.55</v>
      </c>
    </row>
    <row r="24" spans="1:7">
      <c r="A24" s="388" t="s">
        <v>1966</v>
      </c>
      <c r="B24" s="363" t="s">
        <v>4576</v>
      </c>
      <c r="C24" s="363" t="s">
        <v>4577</v>
      </c>
      <c r="D24" s="378"/>
      <c r="E24" s="378"/>
      <c r="F24" s="391"/>
      <c r="G24" s="391"/>
    </row>
    <row r="25" spans="1:7">
      <c r="A25" s="366" t="s">
        <v>1968</v>
      </c>
      <c r="B25" s="366" t="s">
        <v>4578</v>
      </c>
      <c r="C25" s="367" t="s">
        <v>4579</v>
      </c>
      <c r="D25" s="412"/>
      <c r="E25" s="412" t="str">
        <f>+B24</f>
        <v>PAA100</v>
      </c>
      <c r="F25" s="393">
        <v>16037135.33</v>
      </c>
      <c r="G25" s="393">
        <v>17216607.98</v>
      </c>
    </row>
    <row r="26" spans="1:7">
      <c r="A26" s="388" t="s">
        <v>1966</v>
      </c>
      <c r="B26" s="363" t="s">
        <v>4580</v>
      </c>
      <c r="C26" s="363" t="s">
        <v>4581</v>
      </c>
      <c r="D26" s="378"/>
      <c r="E26" s="378"/>
      <c r="F26" s="391"/>
      <c r="G26" s="391"/>
    </row>
    <row r="27" spans="1:7">
      <c r="A27" s="388" t="s">
        <v>1968</v>
      </c>
      <c r="B27" s="363" t="s">
        <v>4582</v>
      </c>
      <c r="C27" s="363" t="s">
        <v>4583</v>
      </c>
      <c r="D27" s="378"/>
      <c r="E27" s="378"/>
      <c r="F27" s="391"/>
      <c r="G27" s="391"/>
    </row>
    <row r="28" spans="1:7">
      <c r="A28" s="366" t="s">
        <v>1970</v>
      </c>
      <c r="B28" s="366" t="s">
        <v>4584</v>
      </c>
      <c r="C28" s="367" t="s">
        <v>4585</v>
      </c>
      <c r="D28" s="412"/>
      <c r="E28" s="412" t="str">
        <f>+B27</f>
        <v>PAA120</v>
      </c>
      <c r="F28" s="393"/>
      <c r="G28" s="393"/>
    </row>
    <row r="29" spans="1:7">
      <c r="A29" s="388" t="s">
        <v>1968</v>
      </c>
      <c r="B29" s="363" t="s">
        <v>4586</v>
      </c>
      <c r="C29" s="363" t="s">
        <v>4587</v>
      </c>
      <c r="D29" s="378"/>
      <c r="E29" s="378"/>
      <c r="F29" s="391"/>
      <c r="G29" s="391"/>
    </row>
    <row r="30" spans="1:7">
      <c r="A30" s="366" t="s">
        <v>1970</v>
      </c>
      <c r="B30" s="366" t="s">
        <v>4588</v>
      </c>
      <c r="C30" s="367" t="s">
        <v>4589</v>
      </c>
      <c r="D30" s="412"/>
      <c r="E30" s="412" t="str">
        <f>+B29</f>
        <v>PAA130</v>
      </c>
      <c r="F30" s="393">
        <v>279620.94</v>
      </c>
      <c r="G30" s="393">
        <v>279620.94</v>
      </c>
    </row>
    <row r="31" spans="1:7">
      <c r="A31" s="388" t="s">
        <v>1968</v>
      </c>
      <c r="B31" s="363" t="s">
        <v>4590</v>
      </c>
      <c r="C31" s="363" t="s">
        <v>4591</v>
      </c>
      <c r="D31" s="378"/>
      <c r="E31" s="378"/>
      <c r="F31" s="391"/>
      <c r="G31" s="391"/>
    </row>
    <row r="32" spans="1:7">
      <c r="A32" s="366" t="s">
        <v>1970</v>
      </c>
      <c r="B32" s="366" t="s">
        <v>4592</v>
      </c>
      <c r="C32" s="367" t="s">
        <v>4593</v>
      </c>
      <c r="D32" s="412"/>
      <c r="E32" s="412" t="str">
        <f>+B31</f>
        <v>PAA140</v>
      </c>
      <c r="F32" s="393">
        <v>6174.28</v>
      </c>
      <c r="G32" s="393">
        <v>6427.48</v>
      </c>
    </row>
    <row r="33" spans="1:7">
      <c r="A33" s="388" t="s">
        <v>1968</v>
      </c>
      <c r="B33" s="363" t="s">
        <v>4594</v>
      </c>
      <c r="C33" s="363" t="s">
        <v>4595</v>
      </c>
      <c r="D33" s="378"/>
      <c r="E33" s="378"/>
      <c r="F33" s="391"/>
      <c r="G33" s="391"/>
    </row>
    <row r="34" spans="1:7">
      <c r="A34" s="366" t="s">
        <v>1970</v>
      </c>
      <c r="B34" s="366" t="s">
        <v>4596</v>
      </c>
      <c r="C34" s="367" t="s">
        <v>4597</v>
      </c>
      <c r="D34" s="412"/>
      <c r="E34" s="412" t="str">
        <f>+B33</f>
        <v>PAA150</v>
      </c>
      <c r="F34" s="393">
        <v>776734.9</v>
      </c>
      <c r="G34" s="393">
        <v>938716.83</v>
      </c>
    </row>
    <row r="35" spans="1:7">
      <c r="A35" s="388" t="s">
        <v>1968</v>
      </c>
      <c r="B35" s="363" t="s">
        <v>4598</v>
      </c>
      <c r="C35" s="363" t="s">
        <v>4599</v>
      </c>
      <c r="D35" s="378"/>
      <c r="E35" s="378"/>
      <c r="F35" s="391"/>
      <c r="G35" s="391"/>
    </row>
    <row r="36" spans="1:7">
      <c r="A36" s="366" t="s">
        <v>1970</v>
      </c>
      <c r="B36" s="366" t="s">
        <v>4600</v>
      </c>
      <c r="C36" s="367" t="s">
        <v>4601</v>
      </c>
      <c r="D36" s="412"/>
      <c r="E36" s="412" t="str">
        <f>+B35</f>
        <v>PAA160</v>
      </c>
      <c r="F36" s="393">
        <v>3566534.87</v>
      </c>
      <c r="G36" s="393">
        <v>3725348.55</v>
      </c>
    </row>
    <row r="37" spans="1:7">
      <c r="A37" s="388" t="s">
        <v>1966</v>
      </c>
      <c r="B37" s="363" t="s">
        <v>4602</v>
      </c>
      <c r="C37" s="363" t="s">
        <v>4603</v>
      </c>
      <c r="D37" s="378"/>
      <c r="E37" s="378"/>
      <c r="F37" s="391"/>
      <c r="G37" s="391"/>
    </row>
    <row r="38" spans="1:7">
      <c r="A38" s="388" t="s">
        <v>1968</v>
      </c>
      <c r="B38" s="363" t="s">
        <v>4604</v>
      </c>
      <c r="C38" s="363" t="s">
        <v>4605</v>
      </c>
      <c r="D38" s="378"/>
      <c r="E38" s="378"/>
      <c r="F38" s="391"/>
      <c r="G38" s="391"/>
    </row>
    <row r="39" spans="1:7">
      <c r="A39" s="366">
        <v>5</v>
      </c>
      <c r="B39" s="366" t="s">
        <v>4606</v>
      </c>
      <c r="C39" s="367" t="s">
        <v>4607</v>
      </c>
      <c r="D39" s="412"/>
      <c r="E39" s="412" t="str">
        <f>+B38</f>
        <v>PAA180</v>
      </c>
      <c r="F39" s="393"/>
      <c r="G39" s="393"/>
    </row>
    <row r="40" spans="1:7">
      <c r="A40" s="388" t="s">
        <v>1968</v>
      </c>
      <c r="B40" s="363" t="s">
        <v>4608</v>
      </c>
      <c r="C40" s="363" t="s">
        <v>4609</v>
      </c>
      <c r="D40" s="378"/>
      <c r="E40" s="378"/>
      <c r="F40" s="391"/>
      <c r="G40" s="391"/>
    </row>
    <row r="41" spans="1:7">
      <c r="A41" s="366" t="s">
        <v>1970</v>
      </c>
      <c r="B41" s="366" t="s">
        <v>4610</v>
      </c>
      <c r="C41" s="367" t="s">
        <v>4611</v>
      </c>
      <c r="D41" s="412"/>
      <c r="E41" s="412" t="str">
        <f>+B40</f>
        <v>PAA190</v>
      </c>
      <c r="F41" s="393"/>
      <c r="G41" s="393"/>
    </row>
    <row r="42" spans="1:7">
      <c r="A42" s="388" t="s">
        <v>1968</v>
      </c>
      <c r="B42" s="363" t="s">
        <v>4612</v>
      </c>
      <c r="C42" s="363" t="s">
        <v>4613</v>
      </c>
      <c r="D42" s="378"/>
      <c r="E42" s="378"/>
      <c r="F42" s="391"/>
      <c r="G42" s="391"/>
    </row>
    <row r="43" spans="1:7">
      <c r="A43" s="366" t="s">
        <v>1970</v>
      </c>
      <c r="B43" s="366" t="s">
        <v>4614</v>
      </c>
      <c r="C43" s="367" t="s">
        <v>4615</v>
      </c>
      <c r="D43" s="412"/>
      <c r="E43" s="412" t="str">
        <f>+B42</f>
        <v>PAA200</v>
      </c>
      <c r="F43" s="393"/>
      <c r="G43" s="393"/>
    </row>
    <row r="44" spans="1:7">
      <c r="A44" s="388" t="s">
        <v>1966</v>
      </c>
      <c r="B44" s="363" t="s">
        <v>4616</v>
      </c>
      <c r="C44" s="363" t="s">
        <v>4617</v>
      </c>
      <c r="D44" s="378"/>
      <c r="E44" s="378"/>
      <c r="F44" s="391"/>
      <c r="G44" s="391"/>
    </row>
    <row r="45" spans="1:7">
      <c r="A45" s="366" t="s">
        <v>1968</v>
      </c>
      <c r="B45" s="366" t="s">
        <v>4618</v>
      </c>
      <c r="C45" s="367" t="s">
        <v>4619</v>
      </c>
      <c r="D45" s="412"/>
      <c r="E45" s="412" t="str">
        <f>+B44</f>
        <v>PAA210</v>
      </c>
      <c r="F45" s="393"/>
      <c r="G45" s="393"/>
    </row>
    <row r="46" spans="1:7">
      <c r="A46" s="388" t="s">
        <v>1966</v>
      </c>
      <c r="B46" s="363" t="s">
        <v>4620</v>
      </c>
      <c r="C46" s="363" t="s">
        <v>4621</v>
      </c>
      <c r="D46" s="378"/>
      <c r="E46" s="378"/>
      <c r="F46" s="391"/>
      <c r="G46" s="391"/>
    </row>
    <row r="47" spans="1:7">
      <c r="A47" s="366" t="s">
        <v>1968</v>
      </c>
      <c r="B47" s="366" t="s">
        <v>4622</v>
      </c>
      <c r="C47" s="367" t="s">
        <v>4623</v>
      </c>
      <c r="D47" s="412"/>
      <c r="E47" s="412" t="str">
        <f>+B46</f>
        <v>PAA220</v>
      </c>
      <c r="F47" s="393"/>
      <c r="G47" s="393"/>
    </row>
    <row r="48" spans="1:7">
      <c r="A48" s="388" t="s">
        <v>1963</v>
      </c>
      <c r="B48" s="363" t="s">
        <v>4624</v>
      </c>
      <c r="C48" s="363" t="s">
        <v>4625</v>
      </c>
      <c r="D48" s="378"/>
      <c r="E48" s="378"/>
      <c r="F48" s="391"/>
      <c r="G48" s="391"/>
    </row>
    <row r="49" spans="1:7">
      <c r="A49" s="388" t="s">
        <v>1966</v>
      </c>
      <c r="B49" s="363" t="s">
        <v>4626</v>
      </c>
      <c r="C49" s="363" t="s">
        <v>4627</v>
      </c>
      <c r="D49" s="378"/>
      <c r="E49" s="378"/>
      <c r="F49" s="391"/>
      <c r="G49" s="391"/>
    </row>
    <row r="50" spans="1:7">
      <c r="A50" s="366" t="s">
        <v>1968</v>
      </c>
      <c r="B50" s="366" t="s">
        <v>4628</v>
      </c>
      <c r="C50" s="367" t="s">
        <v>4629</v>
      </c>
      <c r="D50" s="412"/>
      <c r="E50" s="412" t="str">
        <f>+B49</f>
        <v>PBA000</v>
      </c>
      <c r="F50" s="393"/>
      <c r="G50" s="393"/>
    </row>
    <row r="51" spans="1:7">
      <c r="A51" s="388" t="s">
        <v>1966</v>
      </c>
      <c r="B51" s="363" t="s">
        <v>4630</v>
      </c>
      <c r="C51" s="363" t="s">
        <v>4631</v>
      </c>
      <c r="D51" s="378"/>
      <c r="E51" s="378"/>
      <c r="F51" s="391"/>
      <c r="G51" s="391"/>
    </row>
    <row r="52" spans="1:7">
      <c r="A52" s="388" t="s">
        <v>1968</v>
      </c>
      <c r="B52" s="363" t="s">
        <v>4632</v>
      </c>
      <c r="C52" s="363" t="s">
        <v>4633</v>
      </c>
      <c r="D52" s="378"/>
      <c r="E52" s="378"/>
      <c r="F52" s="391"/>
      <c r="G52" s="391"/>
    </row>
    <row r="53" spans="1:7">
      <c r="A53" s="366" t="s">
        <v>1970</v>
      </c>
      <c r="B53" s="366" t="s">
        <v>4634</v>
      </c>
      <c r="C53" s="367" t="s">
        <v>4635</v>
      </c>
      <c r="D53" s="412"/>
      <c r="E53" s="412" t="str">
        <f>+B52</f>
        <v>PBA020</v>
      </c>
      <c r="F53" s="393">
        <v>5231189.6399999997</v>
      </c>
      <c r="G53" s="393">
        <v>3917881.86</v>
      </c>
    </row>
    <row r="54" spans="1:7">
      <c r="A54" s="388" t="s">
        <v>1968</v>
      </c>
      <c r="B54" s="363" t="s">
        <v>4636</v>
      </c>
      <c r="C54" s="363" t="s">
        <v>4637</v>
      </c>
      <c r="D54" s="378"/>
      <c r="E54" s="378"/>
      <c r="F54" s="391"/>
      <c r="G54" s="391"/>
    </row>
    <row r="55" spans="1:7">
      <c r="A55" s="366" t="s">
        <v>1970</v>
      </c>
      <c r="B55" s="366" t="s">
        <v>4638</v>
      </c>
      <c r="C55" s="367" t="s">
        <v>4639</v>
      </c>
      <c r="D55" s="412"/>
      <c r="E55" s="412" t="str">
        <f>+B54</f>
        <v>PBA030</v>
      </c>
      <c r="F55" s="393">
        <v>628066.72</v>
      </c>
      <c r="G55" s="393">
        <v>2280257.06</v>
      </c>
    </row>
    <row r="56" spans="1:7">
      <c r="A56" s="388" t="s">
        <v>1968</v>
      </c>
      <c r="B56" s="363" t="s">
        <v>4640</v>
      </c>
      <c r="C56" s="363" t="s">
        <v>4641</v>
      </c>
      <c r="D56" s="378"/>
      <c r="E56" s="378"/>
      <c r="F56" s="391"/>
      <c r="G56" s="391"/>
    </row>
    <row r="57" spans="1:7">
      <c r="A57" s="366" t="s">
        <v>1970</v>
      </c>
      <c r="B57" s="366" t="s">
        <v>4642</v>
      </c>
      <c r="C57" s="367" t="s">
        <v>4643</v>
      </c>
      <c r="D57" s="412"/>
      <c r="E57" s="412" t="str">
        <f>+B56</f>
        <v>PBA040</v>
      </c>
      <c r="F57" s="393">
        <v>4064440.65</v>
      </c>
      <c r="G57" s="393">
        <v>3829150.65</v>
      </c>
    </row>
    <row r="58" spans="1:7">
      <c r="A58" s="388" t="s">
        <v>1968</v>
      </c>
      <c r="B58" s="363" t="s">
        <v>4644</v>
      </c>
      <c r="C58" s="363" t="s">
        <v>4645</v>
      </c>
      <c r="D58" s="378"/>
      <c r="E58" s="378"/>
      <c r="F58" s="391"/>
      <c r="G58" s="391"/>
    </row>
    <row r="59" spans="1:7">
      <c r="A59" s="366" t="s">
        <v>1970</v>
      </c>
      <c r="B59" s="366" t="s">
        <v>4646</v>
      </c>
      <c r="C59" s="367" t="s">
        <v>4647</v>
      </c>
      <c r="D59" s="412"/>
      <c r="E59" s="412" t="str">
        <f>+B58</f>
        <v>PBA050</v>
      </c>
      <c r="F59" s="393"/>
      <c r="G59" s="393"/>
    </row>
    <row r="60" spans="1:7">
      <c r="A60" s="388" t="s">
        <v>1968</v>
      </c>
      <c r="B60" s="363" t="s">
        <v>4648</v>
      </c>
      <c r="C60" s="363" t="s">
        <v>4649</v>
      </c>
      <c r="D60" s="378"/>
      <c r="E60" s="378"/>
      <c r="F60" s="391"/>
      <c r="G60" s="391"/>
    </row>
    <row r="61" spans="1:7">
      <c r="A61" s="366" t="s">
        <v>1970</v>
      </c>
      <c r="B61" s="366" t="s">
        <v>4650</v>
      </c>
      <c r="C61" s="367" t="s">
        <v>4651</v>
      </c>
      <c r="D61" s="412"/>
      <c r="E61" s="412" t="str">
        <f>+B60</f>
        <v>PBA051</v>
      </c>
      <c r="F61" s="393"/>
      <c r="G61" s="393"/>
    </row>
    <row r="62" spans="1:7">
      <c r="A62" s="388" t="s">
        <v>1968</v>
      </c>
      <c r="B62" s="363" t="s">
        <v>4652</v>
      </c>
      <c r="C62" s="363" t="s">
        <v>4653</v>
      </c>
      <c r="D62" s="378"/>
      <c r="E62" s="378"/>
      <c r="F62" s="391"/>
      <c r="G62" s="391"/>
    </row>
    <row r="63" spans="1:7">
      <c r="A63" s="366" t="s">
        <v>1970</v>
      </c>
      <c r="B63" s="366" t="s">
        <v>4654</v>
      </c>
      <c r="C63" s="367" t="s">
        <v>4655</v>
      </c>
      <c r="D63" s="412"/>
      <c r="E63" s="412" t="str">
        <f>+B62</f>
        <v>PBA052</v>
      </c>
      <c r="F63" s="393"/>
      <c r="G63" s="393"/>
    </row>
    <row r="64" spans="1:7">
      <c r="A64" s="388" t="s">
        <v>1968</v>
      </c>
      <c r="B64" s="363" t="s">
        <v>4656</v>
      </c>
      <c r="C64" s="363" t="s">
        <v>4657</v>
      </c>
      <c r="D64" s="378"/>
      <c r="E64" s="378"/>
      <c r="F64" s="391"/>
      <c r="G64" s="391"/>
    </row>
    <row r="65" spans="1:7">
      <c r="A65" s="366">
        <v>5</v>
      </c>
      <c r="B65" s="366" t="s">
        <v>4658</v>
      </c>
      <c r="C65" s="367" t="s">
        <v>4659</v>
      </c>
      <c r="D65" s="412"/>
      <c r="E65" s="412" t="str">
        <f>+B64</f>
        <v>PBA060</v>
      </c>
      <c r="F65" s="393">
        <v>81395.929999999993</v>
      </c>
      <c r="G65" s="393">
        <v>81395.929999999993</v>
      </c>
    </row>
    <row r="66" spans="1:7">
      <c r="A66" s="366">
        <v>5</v>
      </c>
      <c r="B66" s="366" t="s">
        <v>4660</v>
      </c>
      <c r="C66" s="367" t="s">
        <v>4661</v>
      </c>
      <c r="D66" s="412"/>
      <c r="E66" s="412" t="str">
        <f>+E65</f>
        <v>PBA060</v>
      </c>
      <c r="F66" s="393"/>
      <c r="G66" s="393"/>
    </row>
    <row r="67" spans="1:7">
      <c r="A67" s="366">
        <v>5</v>
      </c>
      <c r="B67" s="366" t="s">
        <v>4662</v>
      </c>
      <c r="C67" s="367" t="s">
        <v>4663</v>
      </c>
      <c r="D67" s="412"/>
      <c r="E67" s="412" t="str">
        <f>+E66</f>
        <v>PBA060</v>
      </c>
      <c r="F67" s="393">
        <v>1013520.27</v>
      </c>
      <c r="G67" s="393">
        <v>940984.58</v>
      </c>
    </row>
    <row r="68" spans="1:7">
      <c r="A68" s="388" t="s">
        <v>1966</v>
      </c>
      <c r="B68" s="363" t="s">
        <v>4664</v>
      </c>
      <c r="C68" s="363" t="s">
        <v>4665</v>
      </c>
      <c r="D68" s="378"/>
      <c r="E68" s="378"/>
      <c r="F68" s="391"/>
      <c r="G68" s="391"/>
    </row>
    <row r="69" spans="1:7">
      <c r="A69" s="388" t="s">
        <v>1968</v>
      </c>
      <c r="B69" s="363" t="s">
        <v>4666</v>
      </c>
      <c r="C69" s="363" t="s">
        <v>4667</v>
      </c>
      <c r="D69" s="378"/>
      <c r="E69" s="378"/>
      <c r="F69" s="391"/>
      <c r="G69" s="391"/>
    </row>
    <row r="70" spans="1:7">
      <c r="A70" s="366" t="s">
        <v>1970</v>
      </c>
      <c r="B70" s="366" t="s">
        <v>4668</v>
      </c>
      <c r="C70" s="367" t="s">
        <v>4669</v>
      </c>
      <c r="D70" s="412"/>
      <c r="E70" s="412" t="str">
        <f>+B69</f>
        <v>PBA080</v>
      </c>
      <c r="F70" s="393"/>
      <c r="G70" s="393"/>
    </row>
    <row r="71" spans="1:7">
      <c r="A71" s="388" t="s">
        <v>1968</v>
      </c>
      <c r="B71" s="363" t="s">
        <v>4670</v>
      </c>
      <c r="C71" s="363" t="s">
        <v>4671</v>
      </c>
      <c r="D71" s="378"/>
      <c r="E71" s="378"/>
      <c r="F71" s="391"/>
      <c r="G71" s="391"/>
    </row>
    <row r="72" spans="1:7">
      <c r="A72" s="366" t="s">
        <v>1970</v>
      </c>
      <c r="B72" s="366" t="s">
        <v>4672</v>
      </c>
      <c r="C72" s="367" t="s">
        <v>4673</v>
      </c>
      <c r="D72" s="412"/>
      <c r="E72" s="412" t="str">
        <f>+B71</f>
        <v>PBA090</v>
      </c>
      <c r="F72" s="393"/>
      <c r="G72" s="393"/>
    </row>
    <row r="73" spans="1:7">
      <c r="A73" s="388" t="s">
        <v>1968</v>
      </c>
      <c r="B73" s="363" t="s">
        <v>4674</v>
      </c>
      <c r="C73" s="363" t="s">
        <v>4675</v>
      </c>
      <c r="D73" s="378"/>
      <c r="E73" s="378"/>
      <c r="F73" s="391"/>
      <c r="G73" s="391"/>
    </row>
    <row r="74" spans="1:7">
      <c r="A74" s="366" t="s">
        <v>1970</v>
      </c>
      <c r="B74" s="366" t="s">
        <v>4676</v>
      </c>
      <c r="C74" s="367" t="s">
        <v>4677</v>
      </c>
      <c r="D74" s="412"/>
      <c r="E74" s="412" t="str">
        <f>+B73</f>
        <v>PBA100</v>
      </c>
      <c r="F74" s="393"/>
      <c r="G74" s="393"/>
    </row>
    <row r="75" spans="1:7">
      <c r="A75" s="388" t="s">
        <v>1968</v>
      </c>
      <c r="B75" s="363" t="s">
        <v>4678</v>
      </c>
      <c r="C75" s="363" t="s">
        <v>4679</v>
      </c>
      <c r="D75" s="378"/>
      <c r="E75" s="378"/>
      <c r="F75" s="391"/>
      <c r="G75" s="391"/>
    </row>
    <row r="76" spans="1:7">
      <c r="A76" s="366" t="s">
        <v>1970</v>
      </c>
      <c r="B76" s="366" t="s">
        <v>4680</v>
      </c>
      <c r="C76" s="367" t="s">
        <v>4681</v>
      </c>
      <c r="D76" s="412"/>
      <c r="E76" s="412" t="str">
        <f>+B75</f>
        <v>PBA110</v>
      </c>
      <c r="F76" s="393"/>
      <c r="G76" s="393"/>
    </row>
    <row r="77" spans="1:7">
      <c r="A77" s="388" t="s">
        <v>1968</v>
      </c>
      <c r="B77" s="363" t="s">
        <v>4682</v>
      </c>
      <c r="C77" s="363" t="s">
        <v>4683</v>
      </c>
      <c r="D77" s="378"/>
      <c r="E77" s="378"/>
      <c r="F77" s="391"/>
      <c r="G77" s="391"/>
    </row>
    <row r="78" spans="1:7">
      <c r="A78" s="366" t="s">
        <v>1970</v>
      </c>
      <c r="B78" s="366" t="s">
        <v>4684</v>
      </c>
      <c r="C78" s="367" t="s">
        <v>4685</v>
      </c>
      <c r="D78" s="412"/>
      <c r="E78" s="412" t="str">
        <f>+B77</f>
        <v>PBA120</v>
      </c>
      <c r="F78" s="393"/>
      <c r="G78" s="393"/>
    </row>
    <row r="79" spans="1:7">
      <c r="A79" s="388" t="s">
        <v>1968</v>
      </c>
      <c r="B79" s="363" t="s">
        <v>4686</v>
      </c>
      <c r="C79" s="363" t="s">
        <v>4687</v>
      </c>
      <c r="D79" s="378"/>
      <c r="E79" s="378"/>
      <c r="F79" s="391"/>
      <c r="G79" s="391"/>
    </row>
    <row r="80" spans="1:7">
      <c r="A80" s="366" t="s">
        <v>1970</v>
      </c>
      <c r="B80" s="366" t="s">
        <v>4688</v>
      </c>
      <c r="C80" s="367" t="s">
        <v>4689</v>
      </c>
      <c r="D80" s="412"/>
      <c r="E80" s="412" t="str">
        <f>+B79</f>
        <v>PBA130</v>
      </c>
      <c r="F80" s="393"/>
      <c r="G80" s="393"/>
    </row>
    <row r="81" spans="1:7">
      <c r="A81" s="388" t="s">
        <v>1968</v>
      </c>
      <c r="B81" s="363" t="s">
        <v>4690</v>
      </c>
      <c r="C81" s="363" t="s">
        <v>4691</v>
      </c>
      <c r="D81" s="378"/>
      <c r="E81" s="378"/>
      <c r="F81" s="391"/>
      <c r="G81" s="391"/>
    </row>
    <row r="82" spans="1:7">
      <c r="A82" s="366" t="s">
        <v>1970</v>
      </c>
      <c r="B82" s="366" t="s">
        <v>4692</v>
      </c>
      <c r="C82" s="367" t="s">
        <v>4693</v>
      </c>
      <c r="D82" s="412"/>
      <c r="E82" s="412" t="str">
        <f>+B81</f>
        <v>PBA140</v>
      </c>
      <c r="F82" s="393"/>
      <c r="G82" s="393"/>
    </row>
    <row r="83" spans="1:7" ht="25.5">
      <c r="A83" s="388" t="s">
        <v>1968</v>
      </c>
      <c r="B83" s="363" t="s">
        <v>4694</v>
      </c>
      <c r="C83" s="363" t="s">
        <v>4695</v>
      </c>
      <c r="D83" s="378"/>
      <c r="E83" s="378"/>
      <c r="F83" s="391"/>
      <c r="G83" s="391"/>
    </row>
    <row r="84" spans="1:7" ht="24">
      <c r="A84" s="366" t="s">
        <v>1970</v>
      </c>
      <c r="B84" s="366" t="s">
        <v>4696</v>
      </c>
      <c r="C84" s="367" t="s">
        <v>4697</v>
      </c>
      <c r="D84" s="412"/>
      <c r="E84" s="412" t="str">
        <f>+B83</f>
        <v>PBA141</v>
      </c>
      <c r="F84" s="393"/>
      <c r="G84" s="393"/>
    </row>
    <row r="85" spans="1:7">
      <c r="A85" s="388" t="s">
        <v>1966</v>
      </c>
      <c r="B85" s="363" t="s">
        <v>4698</v>
      </c>
      <c r="C85" s="363" t="s">
        <v>4699</v>
      </c>
      <c r="D85" s="378"/>
      <c r="E85" s="378"/>
      <c r="F85" s="391"/>
      <c r="G85" s="391"/>
    </row>
    <row r="86" spans="1:7" ht="25.5">
      <c r="A86" s="388" t="s">
        <v>1968</v>
      </c>
      <c r="B86" s="363" t="s">
        <v>4700</v>
      </c>
      <c r="C86" s="363" t="s">
        <v>4701</v>
      </c>
      <c r="D86" s="378"/>
      <c r="E86" s="378"/>
      <c r="F86" s="391"/>
      <c r="G86" s="391"/>
    </row>
    <row r="87" spans="1:7" ht="24">
      <c r="A87" s="366" t="s">
        <v>1970</v>
      </c>
      <c r="B87" s="366" t="s">
        <v>4702</v>
      </c>
      <c r="C87" s="367" t="s">
        <v>4703</v>
      </c>
      <c r="D87" s="412"/>
      <c r="E87" s="412" t="str">
        <f>+B86</f>
        <v>PBA151</v>
      </c>
      <c r="F87" s="393">
        <v>1190261.04</v>
      </c>
      <c r="G87" s="393">
        <v>1013672.1</v>
      </c>
    </row>
    <row r="88" spans="1:7" ht="25.5">
      <c r="A88" s="388" t="s">
        <v>1968</v>
      </c>
      <c r="B88" s="363" t="s">
        <v>4704</v>
      </c>
      <c r="C88" s="363" t="s">
        <v>4705</v>
      </c>
      <c r="D88" s="378"/>
      <c r="E88" s="378"/>
      <c r="F88" s="391"/>
      <c r="G88" s="391"/>
    </row>
    <row r="89" spans="1:7">
      <c r="A89" s="366" t="s">
        <v>1970</v>
      </c>
      <c r="B89" s="366" t="s">
        <v>4706</v>
      </c>
      <c r="C89" s="367" t="s">
        <v>4707</v>
      </c>
      <c r="D89" s="412"/>
      <c r="E89" s="412" t="str">
        <f>+B88</f>
        <v>PBA160</v>
      </c>
      <c r="F89" s="393">
        <v>2376760.14</v>
      </c>
      <c r="G89" s="393">
        <v>1617705.93</v>
      </c>
    </row>
    <row r="90" spans="1:7">
      <c r="A90" s="388" t="s">
        <v>1968</v>
      </c>
      <c r="B90" s="363" t="s">
        <v>4708</v>
      </c>
      <c r="C90" s="363" t="s">
        <v>4709</v>
      </c>
      <c r="D90" s="378"/>
      <c r="E90" s="378"/>
      <c r="F90" s="391"/>
      <c r="G90" s="391"/>
    </row>
    <row r="91" spans="1:7">
      <c r="A91" s="366" t="s">
        <v>1970</v>
      </c>
      <c r="B91" s="366" t="s">
        <v>4710</v>
      </c>
      <c r="C91" s="367" t="s">
        <v>4711</v>
      </c>
      <c r="D91" s="412"/>
      <c r="E91" s="412" t="str">
        <f>+B90</f>
        <v>PBA170</v>
      </c>
      <c r="F91" s="393">
        <v>9759637.4100000001</v>
      </c>
      <c r="G91" s="393">
        <v>14422482.74</v>
      </c>
    </row>
    <row r="92" spans="1:7">
      <c r="A92" s="388" t="s">
        <v>1968</v>
      </c>
      <c r="B92" s="363" t="s">
        <v>4712</v>
      </c>
      <c r="C92" s="363" t="s">
        <v>4713</v>
      </c>
      <c r="D92" s="378"/>
      <c r="E92" s="378"/>
      <c r="F92" s="391"/>
      <c r="G92" s="391"/>
    </row>
    <row r="93" spans="1:7">
      <c r="A93" s="366" t="s">
        <v>1970</v>
      </c>
      <c r="B93" s="366" t="s">
        <v>4714</v>
      </c>
      <c r="C93" s="367" t="s">
        <v>4715</v>
      </c>
      <c r="D93" s="412"/>
      <c r="E93" s="412" t="str">
        <f>+B92</f>
        <v>PBA180</v>
      </c>
      <c r="F93" s="393"/>
      <c r="G93" s="393"/>
    </row>
    <row r="94" spans="1:7">
      <c r="A94" s="388" t="s">
        <v>1968</v>
      </c>
      <c r="B94" s="363" t="s">
        <v>4716</v>
      </c>
      <c r="C94" s="363" t="s">
        <v>4717</v>
      </c>
      <c r="D94" s="378"/>
      <c r="E94" s="378"/>
      <c r="F94" s="391"/>
      <c r="G94" s="391"/>
    </row>
    <row r="95" spans="1:7">
      <c r="A95" s="366">
        <v>5</v>
      </c>
      <c r="B95" s="366" t="s">
        <v>4718</v>
      </c>
      <c r="C95" s="367" t="s">
        <v>4719</v>
      </c>
      <c r="D95" s="412"/>
      <c r="E95" s="412" t="str">
        <f>+B94</f>
        <v>PBA190</v>
      </c>
      <c r="F95" s="393">
        <v>1046681.12</v>
      </c>
      <c r="G95" s="393">
        <v>894834.35</v>
      </c>
    </row>
    <row r="96" spans="1:7">
      <c r="A96" s="366">
        <v>5</v>
      </c>
      <c r="B96" s="366" t="s">
        <v>4720</v>
      </c>
      <c r="C96" s="367" t="s">
        <v>4721</v>
      </c>
      <c r="D96" s="412"/>
      <c r="E96" s="412" t="str">
        <f>+E95</f>
        <v>PBA190</v>
      </c>
      <c r="F96" s="393">
        <v>11246773.689999999</v>
      </c>
      <c r="G96" s="393">
        <v>41046738.670000002</v>
      </c>
    </row>
    <row r="97" spans="1:7">
      <c r="A97" s="388" t="s">
        <v>1966</v>
      </c>
      <c r="B97" s="363" t="s">
        <v>4722</v>
      </c>
      <c r="C97" s="363" t="s">
        <v>4723</v>
      </c>
      <c r="D97" s="378"/>
      <c r="E97" s="378"/>
      <c r="F97" s="391"/>
      <c r="G97" s="391"/>
    </row>
    <row r="98" spans="1:7">
      <c r="A98" s="388" t="s">
        <v>1968</v>
      </c>
      <c r="B98" s="363" t="s">
        <v>4724</v>
      </c>
      <c r="C98" s="363" t="s">
        <v>4725</v>
      </c>
      <c r="D98" s="378"/>
      <c r="E98" s="378"/>
      <c r="F98" s="391"/>
      <c r="G98" s="391"/>
    </row>
    <row r="99" spans="1:7">
      <c r="A99" s="366" t="s">
        <v>1970</v>
      </c>
      <c r="B99" s="366" t="s">
        <v>4726</v>
      </c>
      <c r="C99" s="367" t="s">
        <v>4727</v>
      </c>
      <c r="D99" s="412"/>
      <c r="E99" s="412" t="str">
        <f>+B98</f>
        <v>PBA210</v>
      </c>
      <c r="F99" s="393"/>
      <c r="G99" s="393"/>
    </row>
    <row r="100" spans="1:7">
      <c r="A100" s="388" t="s">
        <v>1968</v>
      </c>
      <c r="B100" s="363" t="s">
        <v>4728</v>
      </c>
      <c r="C100" s="363" t="s">
        <v>4729</v>
      </c>
      <c r="D100" s="378"/>
      <c r="E100" s="378"/>
      <c r="F100" s="391"/>
      <c r="G100" s="391"/>
    </row>
    <row r="101" spans="1:7">
      <c r="A101" s="388" t="s">
        <v>1970</v>
      </c>
      <c r="B101" s="363" t="s">
        <v>4730</v>
      </c>
      <c r="C101" s="363" t="s">
        <v>4731</v>
      </c>
      <c r="D101" s="378"/>
      <c r="E101" s="378"/>
      <c r="F101" s="391"/>
      <c r="G101" s="391"/>
    </row>
    <row r="102" spans="1:7">
      <c r="A102" s="366" t="s">
        <v>1972</v>
      </c>
      <c r="B102" s="366" t="s">
        <v>4732</v>
      </c>
      <c r="C102" s="367" t="s">
        <v>4733</v>
      </c>
      <c r="D102" s="412"/>
      <c r="E102" s="412" t="str">
        <f>+B101</f>
        <v>PBA230</v>
      </c>
      <c r="F102" s="393">
        <v>15564266.060000001</v>
      </c>
      <c r="G102" s="393">
        <v>13647448.060000001</v>
      </c>
    </row>
    <row r="103" spans="1:7">
      <c r="A103" s="388" t="s">
        <v>1970</v>
      </c>
      <c r="B103" s="363" t="s">
        <v>4734</v>
      </c>
      <c r="C103" s="363" t="s">
        <v>4735</v>
      </c>
      <c r="D103" s="378"/>
      <c r="E103" s="378"/>
      <c r="F103" s="391"/>
      <c r="G103" s="391"/>
    </row>
    <row r="104" spans="1:7">
      <c r="A104" s="366" t="s">
        <v>1972</v>
      </c>
      <c r="B104" s="366" t="s">
        <v>4736</v>
      </c>
      <c r="C104" s="367" t="s">
        <v>4737</v>
      </c>
      <c r="D104" s="412"/>
      <c r="E104" s="412" t="str">
        <f>+B103</f>
        <v>PBA240</v>
      </c>
      <c r="F104" s="393">
        <v>8983661.5099999998</v>
      </c>
      <c r="G104" s="393">
        <v>7264675.5099999998</v>
      </c>
    </row>
    <row r="105" spans="1:7">
      <c r="A105" s="388" t="s">
        <v>1970</v>
      </c>
      <c r="B105" s="363" t="s">
        <v>4738</v>
      </c>
      <c r="C105" s="363" t="s">
        <v>4739</v>
      </c>
      <c r="D105" s="378"/>
      <c r="E105" s="378"/>
      <c r="F105" s="391"/>
      <c r="G105" s="391"/>
    </row>
    <row r="106" spans="1:7">
      <c r="A106" s="366" t="s">
        <v>1972</v>
      </c>
      <c r="B106" s="366" t="s">
        <v>4740</v>
      </c>
      <c r="C106" s="367" t="s">
        <v>4741</v>
      </c>
      <c r="D106" s="412"/>
      <c r="E106" s="412" t="str">
        <f>+B105</f>
        <v>PBA250</v>
      </c>
      <c r="F106" s="393">
        <v>727977.66</v>
      </c>
      <c r="G106" s="393">
        <v>608609.66</v>
      </c>
    </row>
    <row r="107" spans="1:7">
      <c r="A107" s="388" t="s">
        <v>1968</v>
      </c>
      <c r="B107" s="363" t="s">
        <v>4742</v>
      </c>
      <c r="C107" s="363" t="s">
        <v>4743</v>
      </c>
      <c r="D107" s="378"/>
      <c r="E107" s="378"/>
      <c r="F107" s="391"/>
      <c r="G107" s="391"/>
    </row>
    <row r="108" spans="1:7">
      <c r="A108" s="366">
        <v>5</v>
      </c>
      <c r="B108" s="366" t="s">
        <v>4744</v>
      </c>
      <c r="C108" s="367" t="s">
        <v>4745</v>
      </c>
      <c r="D108" s="412"/>
      <c r="E108" s="412" t="str">
        <f>+B107</f>
        <v>PBA260</v>
      </c>
      <c r="F108" s="393">
        <v>1761214.75</v>
      </c>
      <c r="G108" s="393">
        <v>1787088.44</v>
      </c>
    </row>
    <row r="109" spans="1:7">
      <c r="A109" s="366">
        <v>5</v>
      </c>
      <c r="B109" s="366" t="s">
        <v>4746</v>
      </c>
      <c r="C109" s="367" t="s">
        <v>4747</v>
      </c>
      <c r="D109" s="412"/>
      <c r="E109" s="412" t="str">
        <f>+E108</f>
        <v>PBA260</v>
      </c>
      <c r="F109" s="393">
        <v>1201160.8400000001</v>
      </c>
      <c r="G109" s="393">
        <v>1732331.14</v>
      </c>
    </row>
    <row r="110" spans="1:7">
      <c r="A110" s="388" t="s">
        <v>1968</v>
      </c>
      <c r="B110" s="363" t="s">
        <v>4748</v>
      </c>
      <c r="C110" s="363" t="s">
        <v>4749</v>
      </c>
      <c r="D110" s="378"/>
      <c r="E110" s="378"/>
      <c r="F110" s="391"/>
      <c r="G110" s="391"/>
    </row>
    <row r="111" spans="1:7">
      <c r="A111" s="366" t="s">
        <v>1970</v>
      </c>
      <c r="B111" s="366" t="s">
        <v>4750</v>
      </c>
      <c r="C111" s="367" t="s">
        <v>4751</v>
      </c>
      <c r="D111" s="412"/>
      <c r="E111" s="412" t="str">
        <f>+B110</f>
        <v>PBA270</v>
      </c>
      <c r="F111" s="393">
        <v>942966.19</v>
      </c>
      <c r="G111" s="393">
        <v>676390.15</v>
      </c>
    </row>
    <row r="112" spans="1:7">
      <c r="A112" s="388" t="s">
        <v>1963</v>
      </c>
      <c r="B112" s="363" t="s">
        <v>4752</v>
      </c>
      <c r="C112" s="363" t="s">
        <v>4753</v>
      </c>
      <c r="D112" s="378"/>
      <c r="E112" s="378"/>
      <c r="F112" s="391"/>
      <c r="G112" s="391"/>
    </row>
    <row r="113" spans="1:7">
      <c r="A113" s="388" t="s">
        <v>1966</v>
      </c>
      <c r="B113" s="363" t="s">
        <v>4754</v>
      </c>
      <c r="C113" s="363" t="s">
        <v>4755</v>
      </c>
      <c r="D113" s="378"/>
      <c r="E113" s="378"/>
      <c r="F113" s="391"/>
      <c r="G113" s="391"/>
    </row>
    <row r="114" spans="1:7">
      <c r="A114" s="366" t="s">
        <v>1968</v>
      </c>
      <c r="B114" s="366" t="s">
        <v>4756</v>
      </c>
      <c r="C114" s="367" t="s">
        <v>4757</v>
      </c>
      <c r="D114" s="412"/>
      <c r="E114" s="412" t="str">
        <f>+B113</f>
        <v>PCA000</v>
      </c>
      <c r="F114" s="393">
        <v>2310418</v>
      </c>
      <c r="G114" s="393">
        <v>2786062.25</v>
      </c>
    </row>
    <row r="115" spans="1:7">
      <c r="A115" s="388" t="s">
        <v>1966</v>
      </c>
      <c r="B115" s="363" t="s">
        <v>4758</v>
      </c>
      <c r="C115" s="363" t="s">
        <v>4759</v>
      </c>
      <c r="D115" s="378"/>
      <c r="E115" s="378"/>
      <c r="F115" s="391"/>
      <c r="G115" s="391"/>
    </row>
    <row r="116" spans="1:7">
      <c r="A116" s="366" t="s">
        <v>1968</v>
      </c>
      <c r="B116" s="366" t="s">
        <v>4760</v>
      </c>
      <c r="C116" s="367" t="s">
        <v>4761</v>
      </c>
      <c r="D116" s="412"/>
      <c r="E116" s="412" t="str">
        <f>+B115</f>
        <v>PCA010</v>
      </c>
      <c r="F116" s="393"/>
      <c r="G116" s="393"/>
    </row>
    <row r="117" spans="1:7">
      <c r="A117" s="388" t="s">
        <v>1966</v>
      </c>
      <c r="B117" s="363" t="s">
        <v>4762</v>
      </c>
      <c r="C117" s="363" t="s">
        <v>4763</v>
      </c>
      <c r="D117" s="378"/>
      <c r="E117" s="378"/>
      <c r="F117" s="391"/>
      <c r="G117" s="391"/>
    </row>
    <row r="118" spans="1:7">
      <c r="A118" s="366" t="s">
        <v>1968</v>
      </c>
      <c r="B118" s="366" t="s">
        <v>4764</v>
      </c>
      <c r="C118" s="367" t="s">
        <v>4765</v>
      </c>
      <c r="D118" s="412"/>
      <c r="E118" s="412" t="str">
        <f>+B117</f>
        <v>PCA020</v>
      </c>
      <c r="F118" s="393"/>
      <c r="G118" s="393"/>
    </row>
    <row r="119" spans="1:7">
      <c r="A119" s="388" t="s">
        <v>1963</v>
      </c>
      <c r="B119" s="363" t="s">
        <v>4766</v>
      </c>
      <c r="C119" s="363" t="s">
        <v>4767</v>
      </c>
      <c r="D119" s="378"/>
      <c r="E119" s="378"/>
      <c r="F119" s="391"/>
      <c r="G119" s="391"/>
    </row>
    <row r="120" spans="1:7">
      <c r="A120" s="388" t="s">
        <v>1966</v>
      </c>
      <c r="B120" s="363" t="s">
        <v>4768</v>
      </c>
      <c r="C120" s="363" t="s">
        <v>4769</v>
      </c>
      <c r="D120" s="378"/>
      <c r="E120" s="378"/>
      <c r="F120" s="391"/>
      <c r="G120" s="391"/>
    </row>
    <row r="121" spans="1:7">
      <c r="A121" s="366" t="s">
        <v>1968</v>
      </c>
      <c r="B121" s="366" t="s">
        <v>4770</v>
      </c>
      <c r="C121" s="367" t="s">
        <v>4771</v>
      </c>
      <c r="D121" s="412"/>
      <c r="E121" s="412" t="str">
        <f>+B120</f>
        <v>PDA000</v>
      </c>
      <c r="F121" s="393"/>
      <c r="G121" s="393"/>
    </row>
    <row r="122" spans="1:7">
      <c r="A122" s="388" t="s">
        <v>1966</v>
      </c>
      <c r="B122" s="363" t="s">
        <v>4772</v>
      </c>
      <c r="C122" s="363" t="s">
        <v>4773</v>
      </c>
      <c r="D122" s="378"/>
      <c r="E122" s="378"/>
      <c r="F122" s="391"/>
      <c r="G122" s="391"/>
    </row>
    <row r="123" spans="1:7">
      <c r="A123" s="388" t="s">
        <v>1968</v>
      </c>
      <c r="B123" s="363" t="s">
        <v>4774</v>
      </c>
      <c r="C123" s="363" t="s">
        <v>4775</v>
      </c>
      <c r="D123" s="378"/>
      <c r="E123" s="378"/>
      <c r="F123" s="391"/>
      <c r="G123" s="391"/>
    </row>
    <row r="124" spans="1:7">
      <c r="A124" s="366" t="s">
        <v>1970</v>
      </c>
      <c r="B124" s="366" t="s">
        <v>4776</v>
      </c>
      <c r="C124" s="367" t="s">
        <v>4777</v>
      </c>
      <c r="D124" s="412"/>
      <c r="E124" s="412" t="str">
        <f>+B123</f>
        <v>PDA020</v>
      </c>
      <c r="F124" s="393"/>
      <c r="G124" s="393"/>
    </row>
    <row r="125" spans="1:7">
      <c r="A125" s="388" t="s">
        <v>1968</v>
      </c>
      <c r="B125" s="363" t="s">
        <v>4778</v>
      </c>
      <c r="C125" s="363" t="s">
        <v>4779</v>
      </c>
      <c r="D125" s="378"/>
      <c r="E125" s="378"/>
      <c r="F125" s="391"/>
      <c r="G125" s="391"/>
    </row>
    <row r="126" spans="1:7">
      <c r="A126" s="366" t="s">
        <v>1970</v>
      </c>
      <c r="B126" s="366" t="s">
        <v>4780</v>
      </c>
      <c r="C126" s="367" t="s">
        <v>4781</v>
      </c>
      <c r="D126" s="412"/>
      <c r="E126" s="412" t="str">
        <f>+B125</f>
        <v>PDA030</v>
      </c>
      <c r="F126" s="393"/>
      <c r="G126" s="393"/>
    </row>
    <row r="127" spans="1:7">
      <c r="A127" s="388" t="s">
        <v>1968</v>
      </c>
      <c r="B127" s="363" t="s">
        <v>4782</v>
      </c>
      <c r="C127" s="363" t="s">
        <v>4783</v>
      </c>
      <c r="D127" s="378"/>
      <c r="E127" s="378"/>
      <c r="F127" s="391"/>
      <c r="G127" s="391"/>
    </row>
    <row r="128" spans="1:7">
      <c r="A128" s="366" t="s">
        <v>1970</v>
      </c>
      <c r="B128" s="366" t="s">
        <v>4784</v>
      </c>
      <c r="C128" s="367" t="s">
        <v>4785</v>
      </c>
      <c r="D128" s="412"/>
      <c r="E128" s="412" t="str">
        <f>+B127</f>
        <v>PDA040</v>
      </c>
      <c r="F128" s="393"/>
      <c r="G128" s="393"/>
    </row>
    <row r="129" spans="1:7">
      <c r="A129" s="388" t="s">
        <v>1968</v>
      </c>
      <c r="B129" s="363" t="s">
        <v>4786</v>
      </c>
      <c r="C129" s="363" t="s">
        <v>4787</v>
      </c>
      <c r="D129" s="378"/>
      <c r="E129" s="378"/>
      <c r="F129" s="391"/>
      <c r="G129" s="391"/>
    </row>
    <row r="130" spans="1:7">
      <c r="A130" s="366" t="s">
        <v>1970</v>
      </c>
      <c r="B130" s="366" t="s">
        <v>4788</v>
      </c>
      <c r="C130" s="367" t="s">
        <v>4789</v>
      </c>
      <c r="D130" s="412"/>
      <c r="E130" s="412" t="str">
        <f>+B129</f>
        <v>PDA050</v>
      </c>
      <c r="F130" s="393"/>
      <c r="G130" s="393"/>
    </row>
    <row r="131" spans="1:7">
      <c r="A131" s="388" t="s">
        <v>1968</v>
      </c>
      <c r="B131" s="363" t="s">
        <v>4790</v>
      </c>
      <c r="C131" s="363" t="s">
        <v>4791</v>
      </c>
      <c r="D131" s="378"/>
      <c r="E131" s="378"/>
      <c r="F131" s="391"/>
      <c r="G131" s="391"/>
    </row>
    <row r="132" spans="1:7">
      <c r="A132" s="366">
        <v>5</v>
      </c>
      <c r="B132" s="366" t="s">
        <v>4792</v>
      </c>
      <c r="C132" s="367" t="s">
        <v>4793</v>
      </c>
      <c r="D132" s="412"/>
      <c r="E132" s="412" t="str">
        <f>+B131</f>
        <v>PDA060</v>
      </c>
      <c r="F132" s="393"/>
      <c r="G132" s="393"/>
    </row>
    <row r="133" spans="1:7">
      <c r="A133" s="366">
        <v>5</v>
      </c>
      <c r="B133" s="366" t="s">
        <v>4794</v>
      </c>
      <c r="C133" s="367" t="s">
        <v>4795</v>
      </c>
      <c r="D133" s="412"/>
      <c r="E133" s="412" t="str">
        <f>+E132</f>
        <v>PDA060</v>
      </c>
      <c r="F133" s="393"/>
      <c r="G133" s="393"/>
    </row>
    <row r="134" spans="1:7">
      <c r="A134" s="366">
        <v>5</v>
      </c>
      <c r="B134" s="366" t="s">
        <v>4796</v>
      </c>
      <c r="C134" s="367" t="s">
        <v>4797</v>
      </c>
      <c r="D134" s="412"/>
      <c r="E134" s="412" t="str">
        <f t="shared" ref="E134:E135" si="0">+E133</f>
        <v>PDA060</v>
      </c>
      <c r="F134" s="393"/>
      <c r="G134" s="393"/>
    </row>
    <row r="135" spans="1:7">
      <c r="A135" s="366">
        <v>5</v>
      </c>
      <c r="B135" s="366" t="s">
        <v>4798</v>
      </c>
      <c r="C135" s="367" t="s">
        <v>4799</v>
      </c>
      <c r="D135" s="412"/>
      <c r="E135" s="412" t="str">
        <f t="shared" si="0"/>
        <v>PDA060</v>
      </c>
      <c r="F135" s="393"/>
      <c r="G135" s="393"/>
    </row>
    <row r="136" spans="1:7">
      <c r="A136" s="388" t="s">
        <v>1966</v>
      </c>
      <c r="B136" s="363" t="s">
        <v>4800</v>
      </c>
      <c r="C136" s="363" t="s">
        <v>4801</v>
      </c>
      <c r="D136" s="378"/>
      <c r="E136" s="378"/>
      <c r="F136" s="391"/>
      <c r="G136" s="391"/>
    </row>
    <row r="137" spans="1:7">
      <c r="A137" s="388" t="s">
        <v>1968</v>
      </c>
      <c r="B137" s="363" t="s">
        <v>4802</v>
      </c>
      <c r="C137" s="363" t="s">
        <v>4803</v>
      </c>
      <c r="D137" s="378"/>
      <c r="E137" s="378"/>
      <c r="F137" s="391"/>
      <c r="G137" s="391"/>
    </row>
    <row r="138" spans="1:7">
      <c r="A138" s="366" t="s">
        <v>1970</v>
      </c>
      <c r="B138" s="366" t="s">
        <v>4804</v>
      </c>
      <c r="C138" s="367" t="s">
        <v>4805</v>
      </c>
      <c r="D138" s="412"/>
      <c r="E138" s="412" t="str">
        <f>+B137</f>
        <v>PDA080</v>
      </c>
      <c r="F138" s="393"/>
      <c r="G138" s="393"/>
    </row>
    <row r="139" spans="1:7">
      <c r="A139" s="388" t="s">
        <v>1968</v>
      </c>
      <c r="B139" s="363" t="s">
        <v>4806</v>
      </c>
      <c r="C139" s="363" t="s">
        <v>4807</v>
      </c>
      <c r="D139" s="378"/>
      <c r="E139" s="378"/>
      <c r="F139" s="391"/>
      <c r="G139" s="391"/>
    </row>
    <row r="140" spans="1:7">
      <c r="A140" s="366" t="s">
        <v>1970</v>
      </c>
      <c r="B140" s="366" t="s">
        <v>4808</v>
      </c>
      <c r="C140" s="367" t="s">
        <v>4809</v>
      </c>
      <c r="D140" s="412"/>
      <c r="E140" s="412" t="str">
        <f>+B139</f>
        <v>PDA081</v>
      </c>
      <c r="F140" s="393">
        <v>8510844.25</v>
      </c>
      <c r="G140" s="393">
        <v>10141708.279999999</v>
      </c>
    </row>
    <row r="141" spans="1:7">
      <c r="A141" s="388" t="s">
        <v>1968</v>
      </c>
      <c r="B141" s="363" t="s">
        <v>4810</v>
      </c>
      <c r="C141" s="363" t="s">
        <v>4811</v>
      </c>
      <c r="D141" s="378" t="s">
        <v>1248</v>
      </c>
      <c r="E141" s="378"/>
      <c r="F141" s="391"/>
      <c r="G141" s="391"/>
    </row>
    <row r="142" spans="1:7">
      <c r="A142" s="366" t="s">
        <v>1970</v>
      </c>
      <c r="B142" s="366" t="s">
        <v>4812</v>
      </c>
      <c r="C142" s="367" t="s">
        <v>4813</v>
      </c>
      <c r="D142" s="412" t="s">
        <v>1248</v>
      </c>
      <c r="E142" s="412" t="str">
        <f>+B141</f>
        <v>PDA090</v>
      </c>
      <c r="F142" s="393"/>
      <c r="G142" s="393"/>
    </row>
    <row r="143" spans="1:7">
      <c r="A143" s="388" t="s">
        <v>1968</v>
      </c>
      <c r="B143" s="363" t="s">
        <v>4814</v>
      </c>
      <c r="C143" s="363" t="s">
        <v>4815</v>
      </c>
      <c r="D143" s="378"/>
      <c r="E143" s="378"/>
      <c r="F143" s="391"/>
      <c r="G143" s="391"/>
    </row>
    <row r="144" spans="1:7">
      <c r="A144" s="366" t="s">
        <v>1970</v>
      </c>
      <c r="B144" s="366" t="s">
        <v>4816</v>
      </c>
      <c r="C144" s="367" t="s">
        <v>4817</v>
      </c>
      <c r="D144" s="412"/>
      <c r="E144" s="412" t="str">
        <f>+B143</f>
        <v>PDA100</v>
      </c>
      <c r="F144" s="393">
        <v>31794940.969999999</v>
      </c>
      <c r="G144" s="393">
        <v>15463152.300000001</v>
      </c>
    </row>
    <row r="145" spans="1:7">
      <c r="A145" s="388" t="s">
        <v>1968</v>
      </c>
      <c r="B145" s="363" t="s">
        <v>4818</v>
      </c>
      <c r="C145" s="363" t="s">
        <v>4819</v>
      </c>
      <c r="D145" s="378"/>
      <c r="E145" s="378"/>
      <c r="F145" s="391"/>
      <c r="G145" s="391"/>
    </row>
    <row r="146" spans="1:7">
      <c r="A146" s="366" t="s">
        <v>1970</v>
      </c>
      <c r="B146" s="366" t="s">
        <v>4820</v>
      </c>
      <c r="C146" s="367" t="s">
        <v>4821</v>
      </c>
      <c r="D146" s="412"/>
      <c r="E146" s="412" t="str">
        <f>+B145</f>
        <v>PDA101</v>
      </c>
      <c r="F146" s="393">
        <v>520280.41</v>
      </c>
      <c r="G146" s="393">
        <v>520280.41</v>
      </c>
    </row>
    <row r="147" spans="1:7">
      <c r="A147" s="388" t="s">
        <v>1968</v>
      </c>
      <c r="B147" s="363" t="s">
        <v>4822</v>
      </c>
      <c r="C147" s="363" t="s">
        <v>4823</v>
      </c>
      <c r="D147" s="378"/>
      <c r="E147" s="378"/>
      <c r="F147" s="391"/>
      <c r="G147" s="391"/>
    </row>
    <row r="148" spans="1:7">
      <c r="A148" s="366" t="s">
        <v>1970</v>
      </c>
      <c r="B148" s="366" t="s">
        <v>4824</v>
      </c>
      <c r="C148" s="367" t="s">
        <v>4825</v>
      </c>
      <c r="D148" s="412"/>
      <c r="E148" s="412" t="str">
        <f>+B147</f>
        <v>PDA110</v>
      </c>
      <c r="F148" s="393"/>
      <c r="G148" s="393"/>
    </row>
    <row r="149" spans="1:7" ht="38.25">
      <c r="A149" s="388" t="s">
        <v>1968</v>
      </c>
      <c r="B149" s="363" t="s">
        <v>4826</v>
      </c>
      <c r="C149" s="363" t="s">
        <v>4827</v>
      </c>
      <c r="D149" s="378"/>
      <c r="E149" s="378"/>
      <c r="F149" s="391"/>
      <c r="G149" s="391"/>
    </row>
    <row r="150" spans="1:7" ht="24">
      <c r="A150" s="366" t="s">
        <v>1970</v>
      </c>
      <c r="B150" s="366" t="s">
        <v>4828</v>
      </c>
      <c r="C150" s="367" t="s">
        <v>4829</v>
      </c>
      <c r="D150" s="412"/>
      <c r="E150" s="412" t="str">
        <f>+B149</f>
        <v>PDA111</v>
      </c>
      <c r="F150" s="393"/>
      <c r="G150" s="393"/>
    </row>
    <row r="151" spans="1:7">
      <c r="A151" s="388" t="s">
        <v>1968</v>
      </c>
      <c r="B151" s="363" t="s">
        <v>4830</v>
      </c>
      <c r="C151" s="363" t="s">
        <v>4831</v>
      </c>
      <c r="D151" s="378"/>
      <c r="E151" s="378"/>
      <c r="F151" s="391"/>
      <c r="G151" s="391"/>
    </row>
    <row r="152" spans="1:7">
      <c r="A152" s="366" t="s">
        <v>1970</v>
      </c>
      <c r="B152" s="366" t="s">
        <v>4832</v>
      </c>
      <c r="C152" s="367" t="s">
        <v>4833</v>
      </c>
      <c r="D152" s="412"/>
      <c r="E152" s="412" t="str">
        <f>+B151</f>
        <v>PDA112</v>
      </c>
      <c r="F152" s="393"/>
      <c r="G152" s="393"/>
    </row>
    <row r="153" spans="1:7">
      <c r="A153" s="388" t="s">
        <v>1968</v>
      </c>
      <c r="B153" s="363" t="s">
        <v>4834</v>
      </c>
      <c r="C153" s="363" t="s">
        <v>4835</v>
      </c>
      <c r="D153" s="378"/>
      <c r="E153" s="378"/>
      <c r="F153" s="391"/>
      <c r="G153" s="391"/>
    </row>
    <row r="154" spans="1:7">
      <c r="A154" s="366" t="s">
        <v>1970</v>
      </c>
      <c r="B154" s="366" t="s">
        <v>4836</v>
      </c>
      <c r="C154" s="367" t="s">
        <v>4837</v>
      </c>
      <c r="D154" s="412"/>
      <c r="E154" s="412" t="str">
        <f>+B153</f>
        <v>PDA120</v>
      </c>
      <c r="F154" s="393"/>
      <c r="G154" s="393"/>
    </row>
    <row r="155" spans="1:7">
      <c r="A155" s="388" t="s">
        <v>1968</v>
      </c>
      <c r="B155" s="363" t="s">
        <v>4838</v>
      </c>
      <c r="C155" s="363" t="s">
        <v>4839</v>
      </c>
      <c r="D155" s="378"/>
      <c r="E155" s="378"/>
      <c r="F155" s="391"/>
      <c r="G155" s="391"/>
    </row>
    <row r="156" spans="1:7">
      <c r="A156" s="366">
        <v>5</v>
      </c>
      <c r="B156" s="366" t="s">
        <v>4840</v>
      </c>
      <c r="C156" s="367" t="s">
        <v>4841</v>
      </c>
      <c r="D156" s="412"/>
      <c r="E156" s="412" t="str">
        <f>+B155</f>
        <v>PDA121</v>
      </c>
      <c r="F156" s="393"/>
      <c r="G156" s="393"/>
    </row>
    <row r="157" spans="1:7">
      <c r="A157" s="366">
        <v>5</v>
      </c>
      <c r="B157" s="366" t="s">
        <v>4842</v>
      </c>
      <c r="C157" s="367" t="s">
        <v>4843</v>
      </c>
      <c r="D157" s="412"/>
      <c r="E157" s="412" t="str">
        <f>+E156</f>
        <v>PDA121</v>
      </c>
      <c r="F157" s="393">
        <v>2500</v>
      </c>
      <c r="G157" s="393">
        <v>2500</v>
      </c>
    </row>
    <row r="158" spans="1:7">
      <c r="A158" s="366">
        <v>5</v>
      </c>
      <c r="B158" s="366" t="s">
        <v>4844</v>
      </c>
      <c r="C158" s="367" t="s">
        <v>4845</v>
      </c>
      <c r="D158" s="412"/>
      <c r="E158" s="412" t="str">
        <f t="shared" ref="E158:E160" si="1">+E157</f>
        <v>PDA121</v>
      </c>
      <c r="F158" s="393">
        <v>10806768.08</v>
      </c>
      <c r="G158" s="393">
        <v>11022473.539999999</v>
      </c>
    </row>
    <row r="159" spans="1:7">
      <c r="A159" s="366">
        <v>5</v>
      </c>
      <c r="B159" s="366" t="s">
        <v>4846</v>
      </c>
      <c r="C159" s="367" t="s">
        <v>4847</v>
      </c>
      <c r="D159" s="412"/>
      <c r="E159" s="412" t="str">
        <f t="shared" si="1"/>
        <v>PDA121</v>
      </c>
      <c r="F159" s="393"/>
      <c r="G159" s="393"/>
    </row>
    <row r="160" spans="1:7">
      <c r="A160" s="366">
        <v>5</v>
      </c>
      <c r="B160" s="366" t="s">
        <v>4848</v>
      </c>
      <c r="C160" s="367" t="s">
        <v>4849</v>
      </c>
      <c r="D160" s="412"/>
      <c r="E160" s="412" t="str">
        <f t="shared" si="1"/>
        <v>PDA121</v>
      </c>
      <c r="F160" s="393"/>
      <c r="G160" s="393"/>
    </row>
    <row r="161" spans="1:7">
      <c r="A161" s="388" t="s">
        <v>1966</v>
      </c>
      <c r="B161" s="363" t="s">
        <v>4850</v>
      </c>
      <c r="C161" s="363" t="s">
        <v>4851</v>
      </c>
      <c r="D161" s="378"/>
      <c r="E161" s="378"/>
      <c r="F161" s="391"/>
      <c r="G161" s="391"/>
    </row>
    <row r="162" spans="1:7">
      <c r="A162" s="366">
        <v>4</v>
      </c>
      <c r="B162" s="366" t="s">
        <v>4852</v>
      </c>
      <c r="C162" s="367" t="s">
        <v>4853</v>
      </c>
      <c r="D162" s="412"/>
      <c r="E162" s="412" t="str">
        <f>+B161</f>
        <v>PDA130</v>
      </c>
      <c r="F162" s="393"/>
      <c r="G162" s="393"/>
    </row>
    <row r="163" spans="1:7">
      <c r="A163" s="366">
        <v>4</v>
      </c>
      <c r="B163" s="366" t="s">
        <v>4854</v>
      </c>
      <c r="C163" s="367" t="s">
        <v>4855</v>
      </c>
      <c r="D163" s="412"/>
      <c r="E163" s="412" t="str">
        <f>+E162</f>
        <v>PDA130</v>
      </c>
      <c r="F163" s="393">
        <v>3810929.1</v>
      </c>
      <c r="G163" s="393">
        <v>4000458.81</v>
      </c>
    </row>
    <row r="164" spans="1:7">
      <c r="A164" s="366">
        <v>4</v>
      </c>
      <c r="B164" s="366" t="s">
        <v>4856</v>
      </c>
      <c r="C164" s="367" t="s">
        <v>4857</v>
      </c>
      <c r="D164" s="412"/>
      <c r="E164" s="412" t="str">
        <f t="shared" ref="E164:E165" si="2">+E163</f>
        <v>PDA130</v>
      </c>
      <c r="F164" s="393">
        <v>339720.31</v>
      </c>
      <c r="G164" s="393">
        <v>101486.08</v>
      </c>
    </row>
    <row r="165" spans="1:7">
      <c r="A165" s="366">
        <v>4</v>
      </c>
      <c r="B165" s="366" t="s">
        <v>4858</v>
      </c>
      <c r="C165" s="367" t="s">
        <v>4859</v>
      </c>
      <c r="D165" s="412"/>
      <c r="E165" s="412" t="str">
        <f t="shared" si="2"/>
        <v>PDA130</v>
      </c>
      <c r="F165" s="393"/>
      <c r="G165" s="393"/>
    </row>
    <row r="166" spans="1:7">
      <c r="A166" s="388" t="s">
        <v>1966</v>
      </c>
      <c r="B166" s="363" t="s">
        <v>4860</v>
      </c>
      <c r="C166" s="363" t="s">
        <v>4861</v>
      </c>
      <c r="D166" s="378"/>
      <c r="E166" s="378"/>
      <c r="F166" s="391"/>
      <c r="G166" s="391"/>
    </row>
    <row r="167" spans="1:7">
      <c r="A167" s="388" t="s">
        <v>1968</v>
      </c>
      <c r="B167" s="363" t="s">
        <v>4862</v>
      </c>
      <c r="C167" s="363" t="s">
        <v>4863</v>
      </c>
      <c r="D167" s="378"/>
      <c r="E167" s="378"/>
      <c r="F167" s="391"/>
      <c r="G167" s="391"/>
    </row>
    <row r="168" spans="1:7" ht="25.5">
      <c r="A168" s="388" t="s">
        <v>1970</v>
      </c>
      <c r="B168" s="363" t="s">
        <v>4864</v>
      </c>
      <c r="C168" s="363" t="s">
        <v>4865</v>
      </c>
      <c r="D168" s="378" t="s">
        <v>4263</v>
      </c>
      <c r="E168" s="378"/>
      <c r="F168" s="391"/>
      <c r="G168" s="391"/>
    </row>
    <row r="169" spans="1:7">
      <c r="A169" s="366" t="s">
        <v>1972</v>
      </c>
      <c r="B169" s="366" t="s">
        <v>4866</v>
      </c>
      <c r="C169" s="367" t="s">
        <v>4867</v>
      </c>
      <c r="D169" s="412" t="s">
        <v>4263</v>
      </c>
      <c r="E169" s="412"/>
      <c r="F169" s="393"/>
      <c r="G169" s="393"/>
    </row>
    <row r="170" spans="1:7" ht="25.5">
      <c r="A170" s="388" t="s">
        <v>1970</v>
      </c>
      <c r="B170" s="363" t="s">
        <v>4868</v>
      </c>
      <c r="C170" s="363" t="s">
        <v>4869</v>
      </c>
      <c r="D170" s="378" t="s">
        <v>4263</v>
      </c>
      <c r="E170" s="378"/>
      <c r="F170" s="391"/>
      <c r="G170" s="391"/>
    </row>
    <row r="171" spans="1:7" ht="24">
      <c r="A171" s="366" t="s">
        <v>1972</v>
      </c>
      <c r="B171" s="366" t="s">
        <v>4870</v>
      </c>
      <c r="C171" s="367" t="s">
        <v>4871</v>
      </c>
      <c r="D171" s="412" t="s">
        <v>4263</v>
      </c>
      <c r="E171" s="412"/>
      <c r="F171" s="393"/>
      <c r="G171" s="393"/>
    </row>
    <row r="172" spans="1:7" ht="25.5">
      <c r="A172" s="388" t="s">
        <v>1970</v>
      </c>
      <c r="B172" s="363" t="s">
        <v>4872</v>
      </c>
      <c r="C172" s="363" t="s">
        <v>4873</v>
      </c>
      <c r="D172" s="378" t="s">
        <v>4263</v>
      </c>
      <c r="E172" s="378"/>
      <c r="F172" s="391"/>
      <c r="G172" s="391"/>
    </row>
    <row r="173" spans="1:7" ht="24">
      <c r="A173" s="366" t="s">
        <v>1972</v>
      </c>
      <c r="B173" s="366" t="s">
        <v>4874</v>
      </c>
      <c r="C173" s="367" t="s">
        <v>4875</v>
      </c>
      <c r="D173" s="412" t="s">
        <v>4263</v>
      </c>
      <c r="E173" s="412"/>
      <c r="F173" s="393"/>
      <c r="G173" s="393"/>
    </row>
    <row r="174" spans="1:7" ht="25.5">
      <c r="A174" s="388" t="s">
        <v>1970</v>
      </c>
      <c r="B174" s="363" t="s">
        <v>4876</v>
      </c>
      <c r="C174" s="363" t="s">
        <v>4877</v>
      </c>
      <c r="D174" s="378"/>
      <c r="E174" s="378"/>
      <c r="F174" s="391"/>
      <c r="G174" s="391"/>
    </row>
    <row r="175" spans="1:7">
      <c r="A175" s="366" t="s">
        <v>1972</v>
      </c>
      <c r="B175" s="366" t="s">
        <v>4878</v>
      </c>
      <c r="C175" s="367" t="s">
        <v>4879</v>
      </c>
      <c r="D175" s="412"/>
      <c r="E175" s="412"/>
      <c r="F175" s="393">
        <v>25590.5</v>
      </c>
      <c r="G175" s="393">
        <v>442971.7</v>
      </c>
    </row>
    <row r="176" spans="1:7" ht="25.5">
      <c r="A176" s="388" t="s">
        <v>1970</v>
      </c>
      <c r="B176" s="363" t="s">
        <v>4880</v>
      </c>
      <c r="C176" s="363" t="s">
        <v>4881</v>
      </c>
      <c r="D176" s="378"/>
      <c r="E176" s="378"/>
      <c r="F176" s="391"/>
      <c r="G176" s="391"/>
    </row>
    <row r="177" spans="1:7" ht="24">
      <c r="A177" s="366">
        <v>6</v>
      </c>
      <c r="B177" s="366" t="s">
        <v>4882</v>
      </c>
      <c r="C177" s="367" t="s">
        <v>4883</v>
      </c>
      <c r="D177" s="412"/>
      <c r="E177" s="412"/>
      <c r="F177" s="393">
        <v>18794955.559999999</v>
      </c>
      <c r="G177" s="393">
        <v>15876349.17</v>
      </c>
    </row>
    <row r="178" spans="1:7" ht="24">
      <c r="A178" s="366">
        <v>6</v>
      </c>
      <c r="B178" s="366" t="s">
        <v>4884</v>
      </c>
      <c r="C178" s="367" t="s">
        <v>4885</v>
      </c>
      <c r="D178" s="412"/>
      <c r="E178" s="412"/>
      <c r="F178" s="393">
        <v>584721.69999999995</v>
      </c>
      <c r="G178" s="393">
        <v>1121100.5</v>
      </c>
    </row>
    <row r="179" spans="1:7" ht="24">
      <c r="A179" s="366">
        <v>6</v>
      </c>
      <c r="B179" s="366" t="s">
        <v>4886</v>
      </c>
      <c r="C179" s="367" t="s">
        <v>4887</v>
      </c>
      <c r="D179" s="412"/>
      <c r="E179" s="412"/>
      <c r="F179" s="393">
        <v>-1001.4</v>
      </c>
      <c r="G179" s="393"/>
    </row>
    <row r="180" spans="1:7">
      <c r="A180" s="388" t="s">
        <v>1970</v>
      </c>
      <c r="B180" s="363" t="s">
        <v>4888</v>
      </c>
      <c r="C180" s="363" t="s">
        <v>4889</v>
      </c>
      <c r="D180" s="378"/>
      <c r="E180" s="378"/>
      <c r="F180" s="391"/>
      <c r="G180" s="391"/>
    </row>
    <row r="181" spans="1:7">
      <c r="A181" s="366">
        <v>6</v>
      </c>
      <c r="B181" s="366" t="s">
        <v>4890</v>
      </c>
      <c r="C181" s="367" t="s">
        <v>4891</v>
      </c>
      <c r="D181" s="412"/>
      <c r="E181" s="412"/>
      <c r="F181" s="393">
        <v>95382412.849999994</v>
      </c>
      <c r="G181" s="393">
        <v>50077062.649999999</v>
      </c>
    </row>
    <row r="182" spans="1:7" ht="24">
      <c r="A182" s="366">
        <v>6</v>
      </c>
      <c r="B182" s="366" t="s">
        <v>4892</v>
      </c>
      <c r="C182" s="367" t="s">
        <v>4893</v>
      </c>
      <c r="D182" s="412"/>
      <c r="E182" s="412"/>
      <c r="F182" s="393">
        <v>6028744.3200000003</v>
      </c>
      <c r="G182" s="393">
        <v>1172568.28</v>
      </c>
    </row>
    <row r="183" spans="1:7" ht="24">
      <c r="A183" s="366">
        <v>6</v>
      </c>
      <c r="B183" s="366" t="s">
        <v>4894</v>
      </c>
      <c r="C183" s="367" t="s">
        <v>4895</v>
      </c>
      <c r="D183" s="412"/>
      <c r="E183" s="412"/>
      <c r="F183" s="393">
        <v>-1185068.1100000001</v>
      </c>
      <c r="G183" s="393"/>
    </row>
    <row r="184" spans="1:7" ht="25.5">
      <c r="A184" s="388" t="s">
        <v>1970</v>
      </c>
      <c r="B184" s="363" t="s">
        <v>4896</v>
      </c>
      <c r="C184" s="363" t="s">
        <v>4897</v>
      </c>
      <c r="D184" s="378" t="s">
        <v>4263</v>
      </c>
      <c r="E184" s="378"/>
      <c r="F184" s="391"/>
      <c r="G184" s="391"/>
    </row>
    <row r="185" spans="1:7">
      <c r="A185" s="366" t="s">
        <v>1972</v>
      </c>
      <c r="B185" s="366" t="s">
        <v>4898</v>
      </c>
      <c r="C185" s="367" t="s">
        <v>4899</v>
      </c>
      <c r="D185" s="412" t="s">
        <v>4263</v>
      </c>
      <c r="E185" s="412"/>
      <c r="F185" s="393"/>
      <c r="G185" s="393"/>
    </row>
    <row r="186" spans="1:7" ht="25.5">
      <c r="A186" s="388" t="s">
        <v>1970</v>
      </c>
      <c r="B186" s="363" t="s">
        <v>4900</v>
      </c>
      <c r="C186" s="363" t="s">
        <v>4901</v>
      </c>
      <c r="D186" s="378"/>
      <c r="E186" s="378"/>
      <c r="F186" s="391"/>
      <c r="G186" s="391"/>
    </row>
    <row r="187" spans="1:7" ht="24">
      <c r="A187" s="366" t="s">
        <v>1972</v>
      </c>
      <c r="B187" s="366" t="s">
        <v>4902</v>
      </c>
      <c r="C187" s="367" t="s">
        <v>4903</v>
      </c>
      <c r="D187" s="412"/>
      <c r="E187" s="412"/>
      <c r="F187" s="393"/>
      <c r="G187" s="393"/>
    </row>
    <row r="188" spans="1:7" ht="25.5">
      <c r="A188" s="388" t="s">
        <v>1970</v>
      </c>
      <c r="B188" s="363" t="s">
        <v>4904</v>
      </c>
      <c r="C188" s="363" t="s">
        <v>4905</v>
      </c>
      <c r="D188" s="378" t="s">
        <v>4263</v>
      </c>
      <c r="E188" s="378"/>
      <c r="F188" s="391"/>
      <c r="G188" s="391"/>
    </row>
    <row r="189" spans="1:7">
      <c r="A189" s="366" t="s">
        <v>1972</v>
      </c>
      <c r="B189" s="366" t="s">
        <v>4906</v>
      </c>
      <c r="C189" s="367" t="s">
        <v>4907</v>
      </c>
      <c r="D189" s="412" t="s">
        <v>4263</v>
      </c>
      <c r="E189" s="412"/>
      <c r="F189" s="393"/>
      <c r="G189" s="393"/>
    </row>
    <row r="190" spans="1:7">
      <c r="A190" s="388" t="s">
        <v>1968</v>
      </c>
      <c r="B190" s="363" t="s">
        <v>4908</v>
      </c>
      <c r="C190" s="363" t="s">
        <v>4909</v>
      </c>
      <c r="D190" s="378"/>
      <c r="E190" s="378"/>
      <c r="F190" s="391"/>
      <c r="G190" s="391"/>
    </row>
    <row r="191" spans="1:7">
      <c r="A191" s="366">
        <v>5</v>
      </c>
      <c r="B191" s="366" t="s">
        <v>4910</v>
      </c>
      <c r="C191" s="367" t="s">
        <v>4911</v>
      </c>
      <c r="D191" s="412"/>
      <c r="E191" s="412" t="str">
        <f>+B190</f>
        <v>PDA220</v>
      </c>
      <c r="F191" s="393">
        <v>670587.27</v>
      </c>
      <c r="G191" s="393">
        <v>557434.55000000005</v>
      </c>
    </row>
    <row r="192" spans="1:7">
      <c r="A192" s="366">
        <v>5</v>
      </c>
      <c r="B192" s="366" t="s">
        <v>4912</v>
      </c>
      <c r="C192" s="367" t="s">
        <v>4913</v>
      </c>
      <c r="D192" s="412"/>
      <c r="E192" s="412" t="str">
        <f>+E191</f>
        <v>PDA220</v>
      </c>
      <c r="F192" s="393">
        <v>219155</v>
      </c>
      <c r="G192" s="393">
        <v>492408.77</v>
      </c>
    </row>
    <row r="193" spans="1:7">
      <c r="A193" s="366">
        <v>5</v>
      </c>
      <c r="B193" s="366" t="s">
        <v>4914</v>
      </c>
      <c r="C193" s="367" t="s">
        <v>4915</v>
      </c>
      <c r="D193" s="412"/>
      <c r="E193" s="412" t="str">
        <f t="shared" ref="E193" si="3">+E192</f>
        <v>PDA220</v>
      </c>
      <c r="F193" s="393"/>
      <c r="G193" s="393"/>
    </row>
    <row r="194" spans="1:7" ht="25.5">
      <c r="A194" s="388" t="s">
        <v>1968</v>
      </c>
      <c r="B194" s="363" t="s">
        <v>4916</v>
      </c>
      <c r="C194" s="363" t="s">
        <v>4917</v>
      </c>
      <c r="D194" s="378"/>
      <c r="E194" s="378"/>
      <c r="F194" s="391"/>
      <c r="G194" s="391"/>
    </row>
    <row r="195" spans="1:7" ht="25.5">
      <c r="A195" s="388" t="s">
        <v>1970</v>
      </c>
      <c r="B195" s="363" t="s">
        <v>4918</v>
      </c>
      <c r="C195" s="363" t="s">
        <v>4919</v>
      </c>
      <c r="D195" s="378"/>
      <c r="E195" s="378"/>
      <c r="F195" s="391"/>
      <c r="G195" s="391"/>
    </row>
    <row r="196" spans="1:7" ht="24">
      <c r="A196" s="366" t="s">
        <v>1972</v>
      </c>
      <c r="B196" s="366" t="s">
        <v>4920</v>
      </c>
      <c r="C196" s="367" t="s">
        <v>4921</v>
      </c>
      <c r="D196" s="412" t="s">
        <v>4263</v>
      </c>
      <c r="E196" s="412"/>
      <c r="F196" s="393"/>
      <c r="G196" s="393"/>
    </row>
    <row r="197" spans="1:7" ht="25.5">
      <c r="A197" s="388" t="s">
        <v>1970</v>
      </c>
      <c r="B197" s="363" t="s">
        <v>4922</v>
      </c>
      <c r="C197" s="363" t="s">
        <v>4923</v>
      </c>
      <c r="D197" s="378"/>
      <c r="E197" s="378"/>
      <c r="F197" s="391"/>
      <c r="G197" s="391"/>
    </row>
    <row r="198" spans="1:7" ht="24">
      <c r="A198" s="366" t="s">
        <v>1972</v>
      </c>
      <c r="B198" s="366" t="s">
        <v>4924</v>
      </c>
      <c r="C198" s="367" t="s">
        <v>4925</v>
      </c>
      <c r="D198" s="412" t="s">
        <v>4263</v>
      </c>
      <c r="E198" s="412"/>
      <c r="F198" s="393"/>
      <c r="G198" s="393"/>
    </row>
    <row r="199" spans="1:7" ht="25.5">
      <c r="A199" s="388" t="s">
        <v>1970</v>
      </c>
      <c r="B199" s="363" t="s">
        <v>4926</v>
      </c>
      <c r="C199" s="363" t="s">
        <v>4927</v>
      </c>
      <c r="D199" s="378"/>
      <c r="E199" s="378"/>
      <c r="F199" s="391"/>
      <c r="G199" s="391"/>
    </row>
    <row r="200" spans="1:7" ht="24">
      <c r="A200" s="366" t="s">
        <v>1972</v>
      </c>
      <c r="B200" s="366" t="s">
        <v>4928</v>
      </c>
      <c r="C200" s="367" t="s">
        <v>4929</v>
      </c>
      <c r="D200" s="412" t="s">
        <v>4263</v>
      </c>
      <c r="E200" s="412"/>
      <c r="F200" s="393"/>
      <c r="G200" s="393"/>
    </row>
    <row r="201" spans="1:7" ht="38.25">
      <c r="A201" s="388" t="s">
        <v>1970</v>
      </c>
      <c r="B201" s="363" t="s">
        <v>4930</v>
      </c>
      <c r="C201" s="363" t="s">
        <v>4931</v>
      </c>
      <c r="D201" s="378"/>
      <c r="E201" s="378"/>
      <c r="F201" s="391"/>
      <c r="G201" s="391"/>
    </row>
    <row r="202" spans="1:7" ht="24">
      <c r="A202" s="366" t="s">
        <v>1972</v>
      </c>
      <c r="B202" s="366" t="s">
        <v>4932</v>
      </c>
      <c r="C202" s="367" t="s">
        <v>4933</v>
      </c>
      <c r="D202" s="412" t="s">
        <v>4263</v>
      </c>
      <c r="E202" s="412"/>
      <c r="F202" s="393"/>
      <c r="G202" s="393"/>
    </row>
    <row r="203" spans="1:7" ht="25.5">
      <c r="A203" s="388" t="s">
        <v>1970</v>
      </c>
      <c r="B203" s="363" t="s">
        <v>4934</v>
      </c>
      <c r="C203" s="363" t="s">
        <v>4935</v>
      </c>
      <c r="D203" s="378"/>
      <c r="E203" s="378"/>
      <c r="F203" s="391"/>
      <c r="G203" s="391"/>
    </row>
    <row r="204" spans="1:7" ht="24">
      <c r="A204" s="366" t="s">
        <v>1972</v>
      </c>
      <c r="B204" s="366" t="s">
        <v>4936</v>
      </c>
      <c r="C204" s="367" t="s">
        <v>4937</v>
      </c>
      <c r="D204" s="412" t="s">
        <v>4263</v>
      </c>
      <c r="E204" s="412"/>
      <c r="F204" s="393"/>
      <c r="G204" s="393"/>
    </row>
    <row r="205" spans="1:7" ht="25.5">
      <c r="A205" s="388" t="s">
        <v>1966</v>
      </c>
      <c r="B205" s="363" t="s">
        <v>4938</v>
      </c>
      <c r="C205" s="363" t="s">
        <v>4939</v>
      </c>
      <c r="D205" s="378"/>
      <c r="E205" s="378"/>
      <c r="F205" s="391"/>
      <c r="G205" s="391"/>
    </row>
    <row r="206" spans="1:7">
      <c r="A206" s="388" t="s">
        <v>1968</v>
      </c>
      <c r="B206" s="363" t="s">
        <v>4940</v>
      </c>
      <c r="C206" s="363" t="s">
        <v>4941</v>
      </c>
      <c r="D206" s="378"/>
      <c r="E206" s="378"/>
      <c r="F206" s="391"/>
      <c r="G206" s="391"/>
    </row>
    <row r="207" spans="1:7">
      <c r="A207" s="366" t="s">
        <v>1970</v>
      </c>
      <c r="B207" s="366" t="s">
        <v>4942</v>
      </c>
      <c r="C207" s="367" t="s">
        <v>4943</v>
      </c>
      <c r="D207" s="412"/>
      <c r="E207" s="412" t="str">
        <f>+B206</f>
        <v>PDA250</v>
      </c>
      <c r="F207" s="393">
        <v>1699.59</v>
      </c>
      <c r="G207" s="393">
        <v>1699.59</v>
      </c>
    </row>
    <row r="208" spans="1:7">
      <c r="A208" s="388" t="s">
        <v>1968</v>
      </c>
      <c r="B208" s="363" t="s">
        <v>4944</v>
      </c>
      <c r="C208" s="363" t="s">
        <v>4945</v>
      </c>
      <c r="D208" s="378"/>
      <c r="E208" s="378"/>
      <c r="F208" s="391"/>
      <c r="G208" s="391"/>
    </row>
    <row r="209" spans="1:7">
      <c r="A209" s="366" t="s">
        <v>1970</v>
      </c>
      <c r="B209" s="366" t="s">
        <v>4946</v>
      </c>
      <c r="C209" s="367" t="s">
        <v>4947</v>
      </c>
      <c r="D209" s="412"/>
      <c r="E209" s="412" t="str">
        <f>+B208</f>
        <v>PDA260</v>
      </c>
      <c r="F209" s="393"/>
      <c r="G209" s="393"/>
    </row>
    <row r="210" spans="1:7">
      <c r="A210" s="388" t="s">
        <v>1968</v>
      </c>
      <c r="B210" s="363" t="s">
        <v>4948</v>
      </c>
      <c r="C210" s="363" t="s">
        <v>4949</v>
      </c>
      <c r="D210" s="378"/>
      <c r="E210" s="378"/>
      <c r="F210" s="391"/>
      <c r="G210" s="391"/>
    </row>
    <row r="211" spans="1:7">
      <c r="A211" s="366">
        <v>5</v>
      </c>
      <c r="B211" s="366" t="s">
        <v>4950</v>
      </c>
      <c r="C211" s="367" t="s">
        <v>4951</v>
      </c>
      <c r="D211" s="412"/>
      <c r="E211" s="412" t="str">
        <f>+B210</f>
        <v>PDA270</v>
      </c>
      <c r="F211" s="393"/>
      <c r="G211" s="393"/>
    </row>
    <row r="212" spans="1:7">
      <c r="A212" s="366">
        <v>5</v>
      </c>
      <c r="B212" s="366" t="s">
        <v>4952</v>
      </c>
      <c r="C212" s="367" t="s">
        <v>4953</v>
      </c>
      <c r="D212" s="412"/>
      <c r="E212" s="412" t="str">
        <f>+E211</f>
        <v>PDA270</v>
      </c>
      <c r="F212" s="393"/>
      <c r="G212" s="393"/>
    </row>
    <row r="213" spans="1:7">
      <c r="A213" s="366">
        <v>5</v>
      </c>
      <c r="B213" s="366" t="s">
        <v>4954</v>
      </c>
      <c r="C213" s="367" t="s">
        <v>4955</v>
      </c>
      <c r="D213" s="412"/>
      <c r="E213" s="412" t="str">
        <f>+E212</f>
        <v>PDA270</v>
      </c>
      <c r="F213" s="393"/>
      <c r="G213" s="393"/>
    </row>
    <row r="214" spans="1:7">
      <c r="A214" s="388" t="s">
        <v>1966</v>
      </c>
      <c r="B214" s="363" t="s">
        <v>4956</v>
      </c>
      <c r="C214" s="363" t="s">
        <v>4957</v>
      </c>
      <c r="D214" s="378"/>
      <c r="E214" s="378"/>
      <c r="F214" s="391"/>
      <c r="G214" s="391"/>
    </row>
    <row r="215" spans="1:7" ht="25.5">
      <c r="A215" s="388" t="s">
        <v>1968</v>
      </c>
      <c r="B215" s="363" t="s">
        <v>4958</v>
      </c>
      <c r="C215" s="363" t="s">
        <v>4959</v>
      </c>
      <c r="D215" s="378"/>
      <c r="E215" s="378"/>
      <c r="F215" s="391"/>
      <c r="G215" s="391"/>
    </row>
    <row r="216" spans="1:7" ht="25.5">
      <c r="A216" s="388" t="s">
        <v>1970</v>
      </c>
      <c r="B216" s="363" t="s">
        <v>4960</v>
      </c>
      <c r="C216" s="363" t="s">
        <v>4961</v>
      </c>
      <c r="D216" s="378"/>
      <c r="E216" s="378"/>
      <c r="F216" s="391"/>
      <c r="G216" s="391"/>
    </row>
    <row r="217" spans="1:7">
      <c r="A217" s="366">
        <v>6</v>
      </c>
      <c r="B217" s="366" t="s">
        <v>4962</v>
      </c>
      <c r="C217" s="367" t="s">
        <v>4963</v>
      </c>
      <c r="D217" s="412"/>
      <c r="E217" s="412" t="str">
        <f>+B216</f>
        <v>PDA291</v>
      </c>
      <c r="F217" s="393">
        <v>598556.18000000005</v>
      </c>
      <c r="G217" s="393">
        <v>1653222.15</v>
      </c>
    </row>
    <row r="218" spans="1:7" ht="24">
      <c r="A218" s="366" t="s">
        <v>1972</v>
      </c>
      <c r="B218" s="366" t="s">
        <v>4964</v>
      </c>
      <c r="C218" s="367" t="s">
        <v>4965</v>
      </c>
      <c r="D218" s="412"/>
      <c r="E218" s="412" t="str">
        <f>+E217</f>
        <v>PDA291</v>
      </c>
      <c r="F218" s="393">
        <v>10706369.109999999</v>
      </c>
      <c r="G218" s="393">
        <v>3544711.45</v>
      </c>
    </row>
    <row r="219" spans="1:7">
      <c r="A219" s="388" t="s">
        <v>1970</v>
      </c>
      <c r="B219" s="363" t="s">
        <v>4966</v>
      </c>
      <c r="C219" s="363" t="s">
        <v>4967</v>
      </c>
      <c r="D219" s="378"/>
      <c r="E219" s="378"/>
      <c r="F219" s="391"/>
      <c r="G219" s="391"/>
    </row>
    <row r="220" spans="1:7">
      <c r="A220" s="366" t="s">
        <v>1972</v>
      </c>
      <c r="B220" s="366" t="s">
        <v>4968</v>
      </c>
      <c r="C220" s="367" t="s">
        <v>4969</v>
      </c>
      <c r="D220" s="412"/>
      <c r="E220" s="412" t="str">
        <f>+B219</f>
        <v>PDA292</v>
      </c>
      <c r="F220" s="393">
        <v>-3554568.17</v>
      </c>
      <c r="G220" s="393"/>
    </row>
    <row r="221" spans="1:7">
      <c r="A221" s="388" t="s">
        <v>1968</v>
      </c>
      <c r="B221" s="363" t="s">
        <v>4970</v>
      </c>
      <c r="C221" s="363" t="s">
        <v>4971</v>
      </c>
      <c r="D221" s="378"/>
      <c r="E221" s="378"/>
      <c r="F221" s="391"/>
      <c r="G221" s="391"/>
    </row>
    <row r="222" spans="1:7">
      <c r="A222" s="388" t="s">
        <v>1970</v>
      </c>
      <c r="B222" s="363" t="s">
        <v>4972</v>
      </c>
      <c r="C222" s="363" t="s">
        <v>4973</v>
      </c>
      <c r="D222" s="378"/>
      <c r="E222" s="378"/>
      <c r="F222" s="391"/>
      <c r="G222" s="391"/>
    </row>
    <row r="223" spans="1:7">
      <c r="A223" s="366">
        <v>6</v>
      </c>
      <c r="B223" s="366" t="s">
        <v>4974</v>
      </c>
      <c r="C223" s="367" t="s">
        <v>4975</v>
      </c>
      <c r="D223" s="412"/>
      <c r="E223" s="412" t="str">
        <f>+B222</f>
        <v>PDA301</v>
      </c>
      <c r="F223" s="393">
        <v>29997751.34</v>
      </c>
      <c r="G223" s="393">
        <v>25970371.300000001</v>
      </c>
    </row>
    <row r="224" spans="1:7">
      <c r="A224" s="366">
        <v>6</v>
      </c>
      <c r="B224" s="366" t="s">
        <v>4976</v>
      </c>
      <c r="C224" s="367" t="s">
        <v>4977</v>
      </c>
      <c r="D224" s="412"/>
      <c r="E224" s="412" t="str">
        <f>+E223</f>
        <v>PDA301</v>
      </c>
      <c r="F224" s="393">
        <v>107895.72</v>
      </c>
      <c r="G224" s="393">
        <v>174248.12</v>
      </c>
    </row>
    <row r="225" spans="1:7">
      <c r="A225" s="366">
        <v>6</v>
      </c>
      <c r="B225" s="366" t="s">
        <v>4978</v>
      </c>
      <c r="C225" s="367" t="s">
        <v>4979</v>
      </c>
      <c r="D225" s="412"/>
      <c r="E225" s="412" t="str">
        <f>+E224</f>
        <v>PDA301</v>
      </c>
      <c r="F225" s="393">
        <v>104691.06</v>
      </c>
      <c r="G225" s="393">
        <v>22947.360000000001</v>
      </c>
    </row>
    <row r="226" spans="1:7">
      <c r="A226" s="366">
        <v>6</v>
      </c>
      <c r="B226" s="366" t="s">
        <v>4980</v>
      </c>
      <c r="C226" s="367" t="s">
        <v>4981</v>
      </c>
      <c r="D226" s="412"/>
      <c r="E226" s="412" t="str">
        <f>+E225</f>
        <v>PDA301</v>
      </c>
      <c r="F226" s="393">
        <v>4223017.43</v>
      </c>
      <c r="G226" s="393">
        <v>4420047.47</v>
      </c>
    </row>
    <row r="227" spans="1:7">
      <c r="A227" s="366">
        <v>6</v>
      </c>
      <c r="B227" s="366" t="s">
        <v>4982</v>
      </c>
      <c r="C227" s="367" t="s">
        <v>4983</v>
      </c>
      <c r="D227" s="412"/>
      <c r="E227" s="412" t="str">
        <f t="shared" ref="E227:E228" si="4">+E226</f>
        <v>PDA301</v>
      </c>
      <c r="F227" s="393"/>
      <c r="G227" s="393"/>
    </row>
    <row r="228" spans="1:7">
      <c r="A228" s="366">
        <v>6</v>
      </c>
      <c r="B228" s="366" t="s">
        <v>4984</v>
      </c>
      <c r="C228" s="367" t="s">
        <v>4985</v>
      </c>
      <c r="D228" s="412"/>
      <c r="E228" s="412" t="str">
        <f t="shared" si="4"/>
        <v>PDA301</v>
      </c>
      <c r="F228" s="393">
        <v>30119689.370000001</v>
      </c>
      <c r="G228" s="393">
        <v>37904821.899999999</v>
      </c>
    </row>
    <row r="229" spans="1:7">
      <c r="A229" s="388" t="s">
        <v>1970</v>
      </c>
      <c r="B229" s="363" t="s">
        <v>4986</v>
      </c>
      <c r="C229" s="363" t="s">
        <v>4987</v>
      </c>
      <c r="D229" s="378"/>
      <c r="E229" s="378"/>
      <c r="F229" s="391"/>
      <c r="G229" s="391"/>
    </row>
    <row r="230" spans="1:7">
      <c r="A230" s="366" t="s">
        <v>1972</v>
      </c>
      <c r="B230" s="366" t="s">
        <v>4988</v>
      </c>
      <c r="C230" s="367" t="s">
        <v>4989</v>
      </c>
      <c r="D230" s="412"/>
      <c r="E230" s="412" t="str">
        <f>+B229</f>
        <v>PDA302</v>
      </c>
      <c r="F230" s="393">
        <v>-2580162.7999999998</v>
      </c>
      <c r="G230" s="393">
        <v>-898960.43</v>
      </c>
    </row>
    <row r="231" spans="1:7">
      <c r="A231" s="388" t="s">
        <v>1966</v>
      </c>
      <c r="B231" s="363" t="s">
        <v>4990</v>
      </c>
      <c r="C231" s="363" t="s">
        <v>4991</v>
      </c>
      <c r="D231" s="378"/>
      <c r="E231" s="378"/>
      <c r="F231" s="391"/>
      <c r="G231" s="391"/>
    </row>
    <row r="232" spans="1:7">
      <c r="A232" s="366">
        <v>4</v>
      </c>
      <c r="B232" s="366" t="s">
        <v>4992</v>
      </c>
      <c r="C232" s="367" t="s">
        <v>4993</v>
      </c>
      <c r="D232" s="412"/>
      <c r="E232" s="412" t="str">
        <f>+B231</f>
        <v>PDA310</v>
      </c>
      <c r="F232" s="393"/>
      <c r="G232" s="393"/>
    </row>
    <row r="233" spans="1:7">
      <c r="A233" s="366">
        <v>4</v>
      </c>
      <c r="B233" s="366" t="s">
        <v>4994</v>
      </c>
      <c r="C233" s="367" t="s">
        <v>4995</v>
      </c>
      <c r="D233" s="412"/>
      <c r="E233" s="412" t="str">
        <f>+E232</f>
        <v>PDA310</v>
      </c>
      <c r="F233" s="393"/>
      <c r="G233" s="393"/>
    </row>
    <row r="234" spans="1:7">
      <c r="A234" s="388" t="s">
        <v>1966</v>
      </c>
      <c r="B234" s="363" t="s">
        <v>4996</v>
      </c>
      <c r="C234" s="363" t="s">
        <v>4997</v>
      </c>
      <c r="D234" s="378"/>
      <c r="E234" s="378"/>
      <c r="F234" s="391"/>
      <c r="G234" s="391"/>
    </row>
    <row r="235" spans="1:7">
      <c r="A235" s="366">
        <v>4</v>
      </c>
      <c r="B235" s="366" t="s">
        <v>4998</v>
      </c>
      <c r="C235" s="367" t="s">
        <v>115</v>
      </c>
      <c r="D235" s="412"/>
      <c r="E235" s="412" t="str">
        <f>+B234</f>
        <v>PDA320</v>
      </c>
      <c r="F235" s="393"/>
      <c r="G235" s="393">
        <v>97582.1</v>
      </c>
    </row>
    <row r="236" spans="1:7">
      <c r="A236" s="366">
        <v>4</v>
      </c>
      <c r="B236" s="366" t="s">
        <v>4999</v>
      </c>
      <c r="C236" s="367" t="s">
        <v>110</v>
      </c>
      <c r="D236" s="412"/>
      <c r="E236" s="412" t="str">
        <f>+E235</f>
        <v>PDA320</v>
      </c>
      <c r="F236" s="393">
        <v>6051442.1100000003</v>
      </c>
      <c r="G236" s="393">
        <v>5970522.9400000004</v>
      </c>
    </row>
    <row r="237" spans="1:7">
      <c r="A237" s="366">
        <v>4</v>
      </c>
      <c r="B237" s="366" t="s">
        <v>5000</v>
      </c>
      <c r="C237" s="367" t="s">
        <v>5001</v>
      </c>
      <c r="D237" s="412"/>
      <c r="E237" s="412" t="str">
        <f>+E236</f>
        <v>PDA320</v>
      </c>
      <c r="F237" s="393">
        <v>449898.97</v>
      </c>
      <c r="G237" s="393"/>
    </row>
    <row r="238" spans="1:7">
      <c r="A238" s="366">
        <v>4</v>
      </c>
      <c r="B238" s="366" t="s">
        <v>5002</v>
      </c>
      <c r="C238" s="367" t="s">
        <v>5003</v>
      </c>
      <c r="D238" s="412"/>
      <c r="E238" s="412" t="str">
        <f>+E237</f>
        <v>PDA320</v>
      </c>
      <c r="F238" s="393">
        <v>25308.38</v>
      </c>
      <c r="G238" s="393">
        <v>2468901.25</v>
      </c>
    </row>
    <row r="239" spans="1:7">
      <c r="A239" s="366">
        <v>4</v>
      </c>
      <c r="B239" s="366" t="s">
        <v>5004</v>
      </c>
      <c r="C239" s="367" t="s">
        <v>5005</v>
      </c>
      <c r="D239" s="412"/>
      <c r="E239" s="412" t="str">
        <f t="shared" ref="E239:E240" si="5">+E238</f>
        <v>PDA320</v>
      </c>
      <c r="F239" s="393"/>
      <c r="G239" s="393"/>
    </row>
    <row r="240" spans="1:7">
      <c r="A240" s="366">
        <v>4</v>
      </c>
      <c r="B240" s="366" t="s">
        <v>5006</v>
      </c>
      <c r="C240" s="367" t="s">
        <v>5007</v>
      </c>
      <c r="D240" s="412"/>
      <c r="E240" s="412" t="str">
        <f t="shared" si="5"/>
        <v>PDA320</v>
      </c>
      <c r="F240" s="393"/>
      <c r="G240" s="393"/>
    </row>
    <row r="241" spans="1:7">
      <c r="A241" s="366">
        <v>4</v>
      </c>
      <c r="B241" s="366" t="s">
        <v>5008</v>
      </c>
      <c r="C241" s="367" t="s">
        <v>5009</v>
      </c>
      <c r="D241" s="412"/>
      <c r="E241" s="412" t="str">
        <f>+E240</f>
        <v>PDA320</v>
      </c>
      <c r="F241" s="393"/>
      <c r="G241" s="393"/>
    </row>
    <row r="242" spans="1:7">
      <c r="A242" s="366">
        <v>4</v>
      </c>
      <c r="B242" s="366" t="s">
        <v>5010</v>
      </c>
      <c r="C242" s="367" t="s">
        <v>5011</v>
      </c>
      <c r="D242" s="412"/>
      <c r="E242" s="412" t="str">
        <f t="shared" ref="E242:E246" si="6">+E241</f>
        <v>PDA320</v>
      </c>
      <c r="F242" s="393"/>
      <c r="G242" s="393"/>
    </row>
    <row r="243" spans="1:7">
      <c r="A243" s="366">
        <v>4</v>
      </c>
      <c r="B243" s="366" t="s">
        <v>5012</v>
      </c>
      <c r="C243" s="367" t="s">
        <v>5013</v>
      </c>
      <c r="D243" s="412"/>
      <c r="E243" s="412" t="str">
        <f t="shared" si="6"/>
        <v>PDA320</v>
      </c>
      <c r="F243" s="393"/>
      <c r="G243" s="393">
        <v>764345.96</v>
      </c>
    </row>
    <row r="244" spans="1:7">
      <c r="A244" s="366">
        <v>4</v>
      </c>
      <c r="B244" s="366" t="s">
        <v>5014</v>
      </c>
      <c r="C244" s="367" t="s">
        <v>5015</v>
      </c>
      <c r="D244" s="412"/>
      <c r="E244" s="412" t="str">
        <f t="shared" si="6"/>
        <v>PDA320</v>
      </c>
      <c r="F244" s="393">
        <v>10196192.34</v>
      </c>
      <c r="G244" s="393"/>
    </row>
    <row r="245" spans="1:7">
      <c r="A245" s="366">
        <v>4</v>
      </c>
      <c r="B245" s="366" t="s">
        <v>5016</v>
      </c>
      <c r="C245" s="367" t="s">
        <v>5017</v>
      </c>
      <c r="D245" s="412"/>
      <c r="E245" s="412" t="str">
        <f t="shared" si="6"/>
        <v>PDA320</v>
      </c>
      <c r="F245" s="393"/>
      <c r="G245" s="393"/>
    </row>
    <row r="246" spans="1:7">
      <c r="A246" s="366">
        <v>4</v>
      </c>
      <c r="B246" s="366" t="s">
        <v>5018</v>
      </c>
      <c r="C246" s="367" t="s">
        <v>5019</v>
      </c>
      <c r="D246" s="412"/>
      <c r="E246" s="412" t="str">
        <f t="shared" si="6"/>
        <v>PDA320</v>
      </c>
      <c r="F246" s="393">
        <v>582989.06000000006</v>
      </c>
      <c r="G246" s="393">
        <v>63924.38</v>
      </c>
    </row>
    <row r="247" spans="1:7" ht="25.5">
      <c r="A247" s="388" t="s">
        <v>1966</v>
      </c>
      <c r="B247" s="363" t="s">
        <v>5020</v>
      </c>
      <c r="C247" s="363" t="s">
        <v>5021</v>
      </c>
      <c r="D247" s="378"/>
      <c r="E247" s="378"/>
      <c r="F247" s="391"/>
      <c r="G247" s="391"/>
    </row>
    <row r="248" spans="1:7">
      <c r="A248" s="366">
        <v>4</v>
      </c>
      <c r="B248" s="366" t="s">
        <v>5022</v>
      </c>
      <c r="C248" s="367" t="s">
        <v>5023</v>
      </c>
      <c r="D248" s="412"/>
      <c r="E248" s="412" t="str">
        <f>+B247</f>
        <v>PDA330</v>
      </c>
      <c r="F248" s="393">
        <v>21564722.239999998</v>
      </c>
      <c r="G248" s="393">
        <v>9387725.1199999992</v>
      </c>
    </row>
    <row r="249" spans="1:7">
      <c r="A249" s="366">
        <v>4</v>
      </c>
      <c r="B249" s="366" t="s">
        <v>5024</v>
      </c>
      <c r="C249" s="367" t="s">
        <v>5025</v>
      </c>
      <c r="D249" s="412"/>
      <c r="E249" s="412" t="str">
        <f>+E248</f>
        <v>PDA330</v>
      </c>
      <c r="F249" s="393">
        <v>44699.32</v>
      </c>
      <c r="G249" s="393">
        <v>10251.35</v>
      </c>
    </row>
    <row r="250" spans="1:7">
      <c r="A250" s="366">
        <v>4</v>
      </c>
      <c r="B250" s="366" t="s">
        <v>5026</v>
      </c>
      <c r="C250" s="367" t="s">
        <v>5027</v>
      </c>
      <c r="D250" s="412"/>
      <c r="E250" s="412" t="str">
        <f>+E249</f>
        <v>PDA330</v>
      </c>
      <c r="F250" s="393">
        <v>17757.43</v>
      </c>
      <c r="G250" s="393">
        <v>78848.160000000003</v>
      </c>
    </row>
    <row r="251" spans="1:7">
      <c r="A251" s="366">
        <v>4</v>
      </c>
      <c r="B251" s="366" t="s">
        <v>5028</v>
      </c>
      <c r="C251" s="367" t="s">
        <v>5029</v>
      </c>
      <c r="D251" s="412"/>
      <c r="E251" s="412" t="str">
        <f>+E250</f>
        <v>PDA330</v>
      </c>
      <c r="F251" s="393">
        <v>4612809.7300000004</v>
      </c>
      <c r="G251" s="393">
        <v>1118181.8799999999</v>
      </c>
    </row>
    <row r="252" spans="1:7">
      <c r="A252" s="366">
        <v>4</v>
      </c>
      <c r="B252" s="366" t="s">
        <v>5030</v>
      </c>
      <c r="C252" s="367" t="s">
        <v>5031</v>
      </c>
      <c r="D252" s="412"/>
      <c r="E252" s="412" t="str">
        <f t="shared" ref="E252:E253" si="7">+E251</f>
        <v>PDA330</v>
      </c>
      <c r="F252" s="393">
        <v>49337.91</v>
      </c>
      <c r="G252" s="393">
        <v>51834.44</v>
      </c>
    </row>
    <row r="253" spans="1:7">
      <c r="A253" s="366">
        <v>4</v>
      </c>
      <c r="B253" s="366" t="s">
        <v>5032</v>
      </c>
      <c r="C253" s="367" t="s">
        <v>5033</v>
      </c>
      <c r="D253" s="412"/>
      <c r="E253" s="412" t="str">
        <f t="shared" si="7"/>
        <v>PDA330</v>
      </c>
      <c r="F253" s="393">
        <v>108644.95</v>
      </c>
      <c r="G253" s="393">
        <v>107288.37</v>
      </c>
    </row>
    <row r="254" spans="1:7">
      <c r="A254" s="366">
        <v>4</v>
      </c>
      <c r="B254" s="366" t="s">
        <v>5034</v>
      </c>
      <c r="C254" s="367" t="s">
        <v>5035</v>
      </c>
      <c r="D254" s="412"/>
      <c r="E254" s="412" t="str">
        <f>+E253</f>
        <v>PDA330</v>
      </c>
      <c r="F254" s="393">
        <v>41606.53</v>
      </c>
      <c r="G254" s="393">
        <v>10667.84</v>
      </c>
    </row>
    <row r="255" spans="1:7">
      <c r="A255" s="366">
        <v>4</v>
      </c>
      <c r="B255" s="366" t="s">
        <v>5036</v>
      </c>
      <c r="C255" s="367" t="s">
        <v>5037</v>
      </c>
      <c r="D255" s="412"/>
      <c r="E255" s="412" t="str">
        <f t="shared" ref="E255:E256" si="8">+E254</f>
        <v>PDA330</v>
      </c>
      <c r="F255" s="393">
        <v>1404.39</v>
      </c>
      <c r="G255" s="393">
        <v>1404.39</v>
      </c>
    </row>
    <row r="256" spans="1:7">
      <c r="A256" s="366">
        <v>4</v>
      </c>
      <c r="B256" s="366" t="s">
        <v>5038</v>
      </c>
      <c r="C256" s="367" t="s">
        <v>5039</v>
      </c>
      <c r="D256" s="412"/>
      <c r="E256" s="412" t="str">
        <f t="shared" si="8"/>
        <v>PDA330</v>
      </c>
      <c r="F256" s="393">
        <v>212335</v>
      </c>
      <c r="G256" s="393">
        <v>176171.42</v>
      </c>
    </row>
    <row r="257" spans="1:7">
      <c r="A257" s="388" t="s">
        <v>1966</v>
      </c>
      <c r="B257" s="363" t="s">
        <v>5040</v>
      </c>
      <c r="C257" s="363" t="s">
        <v>5041</v>
      </c>
      <c r="D257" s="378"/>
      <c r="E257" s="378"/>
      <c r="F257" s="391"/>
      <c r="G257" s="391"/>
    </row>
    <row r="258" spans="1:7">
      <c r="A258" s="388" t="s">
        <v>1968</v>
      </c>
      <c r="B258" s="363" t="s">
        <v>5042</v>
      </c>
      <c r="C258" s="363" t="s">
        <v>5043</v>
      </c>
      <c r="D258" s="378"/>
      <c r="E258" s="378"/>
      <c r="F258" s="391"/>
      <c r="G258" s="391"/>
    </row>
    <row r="259" spans="1:7">
      <c r="A259" s="366">
        <v>5</v>
      </c>
      <c r="B259" s="366" t="s">
        <v>5044</v>
      </c>
      <c r="C259" s="422" t="s">
        <v>5045</v>
      </c>
      <c r="D259" s="412"/>
      <c r="E259" s="412" t="str">
        <f>+B258</f>
        <v>PDA350</v>
      </c>
      <c r="F259" s="393"/>
      <c r="G259" s="393"/>
    </row>
    <row r="260" spans="1:7">
      <c r="A260" s="388" t="s">
        <v>1968</v>
      </c>
      <c r="B260" s="363" t="s">
        <v>5046</v>
      </c>
      <c r="C260" s="363" t="s">
        <v>5047</v>
      </c>
      <c r="D260" s="378"/>
      <c r="E260" s="378"/>
      <c r="F260" s="391"/>
      <c r="G260" s="391"/>
    </row>
    <row r="261" spans="1:7">
      <c r="A261" s="366">
        <v>5</v>
      </c>
      <c r="B261" s="366" t="s">
        <v>5048</v>
      </c>
      <c r="C261" s="367" t="s">
        <v>5049</v>
      </c>
      <c r="D261" s="412"/>
      <c r="E261" s="412" t="str">
        <f>+B260</f>
        <v>PDA360</v>
      </c>
      <c r="F261" s="393">
        <v>18831157.82</v>
      </c>
      <c r="G261" s="393">
        <v>2780502.78</v>
      </c>
    </row>
    <row r="262" spans="1:7">
      <c r="A262" s="366">
        <v>5</v>
      </c>
      <c r="B262" s="366" t="s">
        <v>5050</v>
      </c>
      <c r="C262" s="367" t="s">
        <v>5051</v>
      </c>
      <c r="D262" s="412"/>
      <c r="E262" s="412" t="str">
        <f>+E261</f>
        <v>PDA360</v>
      </c>
      <c r="F262" s="393">
        <v>15258423.859999999</v>
      </c>
      <c r="G262" s="393">
        <v>35306858.090000004</v>
      </c>
    </row>
    <row r="263" spans="1:7">
      <c r="A263" s="388" t="s">
        <v>1968</v>
      </c>
      <c r="B263" s="363" t="s">
        <v>5052</v>
      </c>
      <c r="C263" s="363" t="s">
        <v>5053</v>
      </c>
      <c r="D263" s="378"/>
      <c r="E263" s="378"/>
      <c r="F263" s="391"/>
      <c r="G263" s="391"/>
    </row>
    <row r="264" spans="1:7">
      <c r="A264" s="366">
        <v>5</v>
      </c>
      <c r="B264" s="366" t="s">
        <v>5054</v>
      </c>
      <c r="C264" s="367" t="s">
        <v>5055</v>
      </c>
      <c r="D264" s="412"/>
      <c r="E264" s="412" t="str">
        <f>+B263</f>
        <v>PDA370</v>
      </c>
      <c r="F264" s="393"/>
      <c r="G264" s="393"/>
    </row>
    <row r="265" spans="1:7">
      <c r="A265" s="366">
        <v>5</v>
      </c>
      <c r="B265" s="366" t="s">
        <v>5056</v>
      </c>
      <c r="C265" s="367" t="s">
        <v>5057</v>
      </c>
      <c r="D265" s="412"/>
      <c r="E265" s="412" t="str">
        <f>+E264</f>
        <v>PDA370</v>
      </c>
      <c r="F265" s="393"/>
      <c r="G265" s="393"/>
    </row>
    <row r="266" spans="1:7">
      <c r="A266" s="388" t="s">
        <v>1968</v>
      </c>
      <c r="B266" s="363" t="s">
        <v>5058</v>
      </c>
      <c r="C266" s="363" t="s">
        <v>5059</v>
      </c>
      <c r="D266" s="378"/>
      <c r="E266" s="378"/>
      <c r="F266" s="391"/>
      <c r="G266" s="391"/>
    </row>
    <row r="267" spans="1:7">
      <c r="A267" s="366">
        <v>5</v>
      </c>
      <c r="B267" s="366" t="s">
        <v>5060</v>
      </c>
      <c r="C267" s="367" t="s">
        <v>5061</v>
      </c>
      <c r="D267" s="412"/>
      <c r="E267" s="412" t="str">
        <f>+B266</f>
        <v>PDA380</v>
      </c>
      <c r="F267" s="393">
        <v>110210.99</v>
      </c>
      <c r="G267" s="393">
        <v>82117.13</v>
      </c>
    </row>
    <row r="268" spans="1:7">
      <c r="A268" s="366">
        <v>5</v>
      </c>
      <c r="B268" s="366" t="s">
        <v>5062</v>
      </c>
      <c r="C268" s="367" t="s">
        <v>5063</v>
      </c>
      <c r="D268" s="412"/>
      <c r="E268" s="412" t="str">
        <f>+E267</f>
        <v>PDA380</v>
      </c>
      <c r="F268" s="393">
        <v>2624.96</v>
      </c>
      <c r="G268" s="393">
        <v>3332.66</v>
      </c>
    </row>
    <row r="269" spans="1:7">
      <c r="A269" s="366">
        <v>5</v>
      </c>
      <c r="B269" s="366" t="s">
        <v>5064</v>
      </c>
      <c r="C269" s="367" t="s">
        <v>5065</v>
      </c>
      <c r="D269" s="412"/>
      <c r="E269" s="412" t="str">
        <f>+E268</f>
        <v>PDA380</v>
      </c>
      <c r="F269" s="393">
        <v>194120.92</v>
      </c>
      <c r="G269" s="393">
        <v>305626.19</v>
      </c>
    </row>
    <row r="270" spans="1:7">
      <c r="A270" s="366">
        <v>5</v>
      </c>
      <c r="B270" s="366" t="s">
        <v>5066</v>
      </c>
      <c r="C270" s="367" t="s">
        <v>5067</v>
      </c>
      <c r="D270" s="412"/>
      <c r="E270" s="412" t="str">
        <f>+E269</f>
        <v>PDA380</v>
      </c>
      <c r="F270" s="393">
        <v>42863.09</v>
      </c>
      <c r="G270" s="393">
        <v>34243.379999999997</v>
      </c>
    </row>
    <row r="271" spans="1:7">
      <c r="A271" s="371">
        <v>5</v>
      </c>
      <c r="B271" s="371" t="s">
        <v>5068</v>
      </c>
      <c r="C271" s="372" t="s">
        <v>5069</v>
      </c>
      <c r="D271" s="385"/>
      <c r="E271" s="385"/>
      <c r="F271" s="397"/>
      <c r="G271" s="397"/>
    </row>
    <row r="272" spans="1:7">
      <c r="A272" s="366">
        <v>6</v>
      </c>
      <c r="B272" s="366" t="s">
        <v>5070</v>
      </c>
      <c r="C272" s="367" t="s">
        <v>5071</v>
      </c>
      <c r="D272" s="412"/>
      <c r="E272" s="412" t="str">
        <f>+B266</f>
        <v>PDA380</v>
      </c>
      <c r="F272" s="393">
        <v>12868918.52</v>
      </c>
      <c r="G272" s="393">
        <v>9126283.5199999996</v>
      </c>
    </row>
    <row r="273" spans="1:7">
      <c r="A273" s="366">
        <v>6</v>
      </c>
      <c r="B273" s="366" t="s">
        <v>5072</v>
      </c>
      <c r="C273" s="367" t="s">
        <v>5073</v>
      </c>
      <c r="D273" s="412"/>
      <c r="E273" s="412" t="str">
        <f>+E272</f>
        <v>PDA380</v>
      </c>
      <c r="F273" s="393">
        <v>4805508.58</v>
      </c>
      <c r="G273" s="393">
        <v>3815339.89</v>
      </c>
    </row>
    <row r="274" spans="1:7">
      <c r="A274" s="366">
        <v>5</v>
      </c>
      <c r="B274" s="366" t="s">
        <v>5074</v>
      </c>
      <c r="C274" s="367" t="s">
        <v>5075</v>
      </c>
      <c r="D274" s="412"/>
      <c r="E274" s="412" t="str">
        <f t="shared" ref="E274:E276" si="9">+E273</f>
        <v>PDA380</v>
      </c>
      <c r="F274" s="393">
        <v>318342.36</v>
      </c>
      <c r="G274" s="393">
        <v>323394.15999999997</v>
      </c>
    </row>
    <row r="275" spans="1:7">
      <c r="A275" s="366">
        <v>5</v>
      </c>
      <c r="B275" s="366" t="s">
        <v>5076</v>
      </c>
      <c r="C275" s="367" t="s">
        <v>5077</v>
      </c>
      <c r="D275" s="412"/>
      <c r="E275" s="412" t="str">
        <f t="shared" si="9"/>
        <v>PDA380</v>
      </c>
      <c r="F275" s="393">
        <v>288.67</v>
      </c>
      <c r="G275" s="393">
        <v>288.67</v>
      </c>
    </row>
    <row r="276" spans="1:7">
      <c r="A276" s="366">
        <v>5</v>
      </c>
      <c r="B276" s="366" t="s">
        <v>5078</v>
      </c>
      <c r="C276" s="367" t="s">
        <v>5079</v>
      </c>
      <c r="D276" s="412"/>
      <c r="E276" s="412" t="str">
        <f t="shared" si="9"/>
        <v>PDA380</v>
      </c>
      <c r="F276" s="393"/>
      <c r="G276" s="393"/>
    </row>
    <row r="277" spans="1:7">
      <c r="A277" s="371">
        <v>5</v>
      </c>
      <c r="B277" s="371" t="s">
        <v>5080</v>
      </c>
      <c r="C277" s="372" t="s">
        <v>5081</v>
      </c>
      <c r="D277" s="385"/>
      <c r="E277" s="385"/>
      <c r="F277" s="397"/>
      <c r="G277" s="397"/>
    </row>
    <row r="278" spans="1:7">
      <c r="A278" s="366">
        <v>6</v>
      </c>
      <c r="B278" s="366" t="s">
        <v>5082</v>
      </c>
      <c r="C278" s="367" t="s">
        <v>5083</v>
      </c>
      <c r="D278" s="412"/>
      <c r="E278" s="412" t="str">
        <f>+B266</f>
        <v>PDA380</v>
      </c>
      <c r="F278" s="393">
        <v>188541.34</v>
      </c>
      <c r="G278" s="393">
        <v>188541.34</v>
      </c>
    </row>
    <row r="279" spans="1:7">
      <c r="A279" s="366">
        <v>6</v>
      </c>
      <c r="B279" s="366" t="s">
        <v>5084</v>
      </c>
      <c r="C279" s="367" t="s">
        <v>5085</v>
      </c>
      <c r="D279" s="412"/>
      <c r="E279" s="412" t="str">
        <f>+E278</f>
        <v>PDA380</v>
      </c>
      <c r="F279" s="393">
        <v>346983.5</v>
      </c>
      <c r="G279" s="393">
        <v>269257.03999999998</v>
      </c>
    </row>
    <row r="280" spans="1:7">
      <c r="A280" s="366">
        <v>5</v>
      </c>
      <c r="B280" s="366" t="s">
        <v>5086</v>
      </c>
      <c r="C280" s="367" t="s">
        <v>5087</v>
      </c>
      <c r="D280" s="412"/>
      <c r="E280" s="412" t="str">
        <f t="shared" ref="E280:E281" si="10">+E279</f>
        <v>PDA380</v>
      </c>
      <c r="F280" s="393">
        <v>7267928.9199999999</v>
      </c>
      <c r="G280" s="393">
        <v>6048960.4699999997</v>
      </c>
    </row>
    <row r="281" spans="1:7">
      <c r="A281" s="366">
        <v>5</v>
      </c>
      <c r="B281" s="366" t="s">
        <v>5088</v>
      </c>
      <c r="C281" s="367" t="s">
        <v>5395</v>
      </c>
      <c r="D281" s="412"/>
      <c r="E281" s="412" t="str">
        <f t="shared" si="10"/>
        <v>PDA380</v>
      </c>
      <c r="F281" s="393">
        <v>363228.93</v>
      </c>
      <c r="G281" s="393">
        <v>279895.3</v>
      </c>
    </row>
    <row r="282" spans="1:7">
      <c r="A282" s="371">
        <v>5</v>
      </c>
      <c r="B282" s="371" t="s">
        <v>5089</v>
      </c>
      <c r="C282" s="372" t="s">
        <v>5090</v>
      </c>
      <c r="D282" s="385"/>
      <c r="E282" s="385"/>
      <c r="F282" s="397"/>
      <c r="G282" s="397"/>
    </row>
    <row r="283" spans="1:7">
      <c r="A283" s="366">
        <v>6</v>
      </c>
      <c r="B283" s="366" t="s">
        <v>5091</v>
      </c>
      <c r="C283" s="367" t="s">
        <v>5092</v>
      </c>
      <c r="D283" s="412"/>
      <c r="E283" s="412" t="str">
        <f>+B266</f>
        <v>PDA380</v>
      </c>
      <c r="F283" s="393"/>
      <c r="G283" s="393"/>
    </row>
    <row r="284" spans="1:7">
      <c r="A284" s="366">
        <v>6</v>
      </c>
      <c r="B284" s="366" t="s">
        <v>5093</v>
      </c>
      <c r="C284" s="367" t="s">
        <v>5094</v>
      </c>
      <c r="D284" s="412"/>
      <c r="E284" s="412" t="str">
        <f>+E283</f>
        <v>PDA380</v>
      </c>
      <c r="F284" s="393">
        <v>158549.54999999999</v>
      </c>
      <c r="G284" s="393">
        <v>268102.46000000002</v>
      </c>
    </row>
    <row r="285" spans="1:7">
      <c r="A285" s="366">
        <v>5</v>
      </c>
      <c r="B285" s="366" t="s">
        <v>5095</v>
      </c>
      <c r="C285" s="367" t="s">
        <v>5096</v>
      </c>
      <c r="D285" s="412"/>
      <c r="E285" s="412" t="str">
        <f t="shared" ref="E285:E286" si="11">+E284</f>
        <v>PDA380</v>
      </c>
      <c r="F285" s="393">
        <v>732719.51</v>
      </c>
      <c r="G285" s="393">
        <v>3138671.53</v>
      </c>
    </row>
    <row r="286" spans="1:7">
      <c r="A286" s="366">
        <v>5</v>
      </c>
      <c r="B286" s="366" t="s">
        <v>5097</v>
      </c>
      <c r="C286" s="367" t="s">
        <v>5098</v>
      </c>
      <c r="D286" s="412"/>
      <c r="E286" s="412" t="str">
        <f t="shared" si="11"/>
        <v>PDA380</v>
      </c>
      <c r="F286" s="393">
        <v>-59993.49</v>
      </c>
      <c r="G286" s="393">
        <v>-53270.12</v>
      </c>
    </row>
    <row r="287" spans="1:7">
      <c r="A287" s="388" t="s">
        <v>1963</v>
      </c>
      <c r="B287" s="363" t="s">
        <v>5099</v>
      </c>
      <c r="C287" s="363" t="s">
        <v>5100</v>
      </c>
      <c r="D287" s="378"/>
      <c r="E287" s="378"/>
      <c r="F287" s="391"/>
      <c r="G287" s="391"/>
    </row>
    <row r="288" spans="1:7">
      <c r="A288" s="388" t="s">
        <v>1966</v>
      </c>
      <c r="B288" s="363" t="s">
        <v>5101</v>
      </c>
      <c r="C288" s="363" t="s">
        <v>5102</v>
      </c>
      <c r="D288" s="378"/>
      <c r="E288" s="378"/>
      <c r="F288" s="391"/>
      <c r="G288" s="391"/>
    </row>
    <row r="289" spans="1:7">
      <c r="A289" s="388" t="s">
        <v>1968</v>
      </c>
      <c r="B289" s="363" t="s">
        <v>5103</v>
      </c>
      <c r="C289" s="363" t="s">
        <v>5104</v>
      </c>
      <c r="D289" s="378"/>
      <c r="E289" s="378"/>
      <c r="F289" s="391"/>
      <c r="G289" s="391"/>
    </row>
    <row r="290" spans="1:7">
      <c r="A290" s="366" t="s">
        <v>1970</v>
      </c>
      <c r="B290" s="366" t="s">
        <v>5105</v>
      </c>
      <c r="C290" s="367" t="s">
        <v>5106</v>
      </c>
      <c r="D290" s="412"/>
      <c r="E290" s="412" t="str">
        <f>+B289</f>
        <v>PEA010</v>
      </c>
      <c r="F290" s="393"/>
      <c r="G290" s="393">
        <v>5849.23</v>
      </c>
    </row>
    <row r="291" spans="1:7">
      <c r="A291" s="388" t="s">
        <v>1968</v>
      </c>
      <c r="B291" s="363" t="s">
        <v>5107</v>
      </c>
      <c r="C291" s="363" t="s">
        <v>5108</v>
      </c>
      <c r="D291" s="378" t="s">
        <v>1248</v>
      </c>
      <c r="E291" s="378"/>
      <c r="F291" s="391"/>
      <c r="G291" s="391"/>
    </row>
    <row r="292" spans="1:7">
      <c r="A292" s="366" t="s">
        <v>1970</v>
      </c>
      <c r="B292" s="366" t="s">
        <v>5109</v>
      </c>
      <c r="C292" s="367" t="s">
        <v>5110</v>
      </c>
      <c r="D292" s="412" t="s">
        <v>1248</v>
      </c>
      <c r="E292" s="412" t="str">
        <f>+B291</f>
        <v>PEA020</v>
      </c>
      <c r="F292" s="393"/>
      <c r="G292" s="393"/>
    </row>
    <row r="293" spans="1:7">
      <c r="A293" s="388" t="s">
        <v>1966</v>
      </c>
      <c r="B293" s="363" t="s">
        <v>5111</v>
      </c>
      <c r="C293" s="363" t="s">
        <v>5112</v>
      </c>
      <c r="D293" s="378"/>
      <c r="E293" s="378"/>
      <c r="F293" s="391"/>
      <c r="G293" s="391"/>
    </row>
    <row r="294" spans="1:7">
      <c r="A294" s="388" t="s">
        <v>1968</v>
      </c>
      <c r="B294" s="363" t="s">
        <v>5113</v>
      </c>
      <c r="C294" s="363" t="s">
        <v>5114</v>
      </c>
      <c r="D294" s="378"/>
      <c r="E294" s="378"/>
      <c r="F294" s="391"/>
      <c r="G294" s="391"/>
    </row>
    <row r="295" spans="1:7">
      <c r="A295" s="366" t="s">
        <v>1970</v>
      </c>
      <c r="B295" s="366" t="s">
        <v>5115</v>
      </c>
      <c r="C295" s="367" t="s">
        <v>5116</v>
      </c>
      <c r="D295" s="412"/>
      <c r="E295" s="412" t="str">
        <f>+B294</f>
        <v>PEA040</v>
      </c>
      <c r="F295" s="393">
        <v>16</v>
      </c>
      <c r="G295" s="393"/>
    </row>
    <row r="296" spans="1:7">
      <c r="A296" s="388" t="s">
        <v>1968</v>
      </c>
      <c r="B296" s="363" t="s">
        <v>5117</v>
      </c>
      <c r="C296" s="363" t="s">
        <v>5118</v>
      </c>
      <c r="D296" s="378" t="s">
        <v>1248</v>
      </c>
      <c r="E296" s="378"/>
      <c r="F296" s="391"/>
      <c r="G296" s="391"/>
    </row>
    <row r="297" spans="1:7">
      <c r="A297" s="366" t="s">
        <v>1970</v>
      </c>
      <c r="B297" s="366" t="s">
        <v>5119</v>
      </c>
      <c r="C297" s="367" t="s">
        <v>5120</v>
      </c>
      <c r="D297" s="412" t="s">
        <v>1248</v>
      </c>
      <c r="E297" s="412" t="str">
        <f>+B296</f>
        <v>PEA050</v>
      </c>
      <c r="F297" s="393"/>
      <c r="G297" s="393"/>
    </row>
    <row r="298" spans="1:7" ht="38.25">
      <c r="A298" s="388" t="s">
        <v>1968</v>
      </c>
      <c r="B298" s="363" t="s">
        <v>5121</v>
      </c>
      <c r="C298" s="363" t="s">
        <v>5122</v>
      </c>
      <c r="D298" s="378"/>
      <c r="E298" s="378"/>
      <c r="F298" s="391"/>
      <c r="G298" s="391"/>
    </row>
    <row r="299" spans="1:7" ht="24">
      <c r="A299" s="366" t="s">
        <v>1970</v>
      </c>
      <c r="B299" s="366" t="s">
        <v>5123</v>
      </c>
      <c r="C299" s="367" t="s">
        <v>5124</v>
      </c>
      <c r="D299" s="412"/>
      <c r="E299" s="412" t="str">
        <f>+B298</f>
        <v>PEA060</v>
      </c>
      <c r="F299" s="393"/>
      <c r="G299" s="393"/>
    </row>
    <row r="300" spans="1:7">
      <c r="A300" s="418" t="s">
        <v>1963</v>
      </c>
      <c r="B300" s="419" t="s">
        <v>5125</v>
      </c>
      <c r="C300" s="419" t="s">
        <v>5126</v>
      </c>
      <c r="D300" s="420"/>
      <c r="E300" s="420"/>
      <c r="F300" s="421">
        <f>SUM(F5:F299)</f>
        <v>983398871.54000008</v>
      </c>
      <c r="G300" s="421">
        <f>SUM(G5:G299)</f>
        <v>939263734.18999982</v>
      </c>
    </row>
    <row r="301" spans="1:7">
      <c r="A301" s="388" t="s">
        <v>1963</v>
      </c>
      <c r="B301" s="363" t="s">
        <v>5127</v>
      </c>
      <c r="C301" s="363" t="s">
        <v>5128</v>
      </c>
      <c r="D301" s="378"/>
      <c r="E301" s="378"/>
      <c r="F301" s="391"/>
      <c r="G301" s="391"/>
    </row>
    <row r="302" spans="1:7">
      <c r="A302" s="388" t="s">
        <v>1966</v>
      </c>
      <c r="B302" s="363" t="s">
        <v>5129</v>
      </c>
      <c r="C302" s="363" t="s">
        <v>5130</v>
      </c>
      <c r="D302" s="378"/>
      <c r="E302" s="378"/>
      <c r="F302" s="391"/>
      <c r="G302" s="391"/>
    </row>
    <row r="303" spans="1:7">
      <c r="A303" s="366" t="s">
        <v>1968</v>
      </c>
      <c r="B303" s="366" t="s">
        <v>5131</v>
      </c>
      <c r="C303" s="367" t="s">
        <v>5132</v>
      </c>
      <c r="D303" s="412"/>
      <c r="E303" s="412" t="str">
        <f>+B302</f>
        <v>PFA000</v>
      </c>
      <c r="F303" s="393"/>
      <c r="G303" s="393"/>
    </row>
    <row r="304" spans="1:7">
      <c r="A304" s="388" t="s">
        <v>1966</v>
      </c>
      <c r="B304" s="363" t="s">
        <v>5133</v>
      </c>
      <c r="C304" s="363" t="s">
        <v>5134</v>
      </c>
      <c r="D304" s="378"/>
      <c r="E304" s="378"/>
      <c r="F304" s="391"/>
      <c r="G304" s="391"/>
    </row>
    <row r="305" spans="1:7">
      <c r="A305" s="366" t="s">
        <v>1968</v>
      </c>
      <c r="B305" s="366" t="s">
        <v>5135</v>
      </c>
      <c r="C305" s="367" t="s">
        <v>5136</v>
      </c>
      <c r="D305" s="412"/>
      <c r="E305" s="412" t="str">
        <f>+B304</f>
        <v>PFA010</v>
      </c>
      <c r="F305" s="393">
        <v>546694.87</v>
      </c>
      <c r="G305" s="393">
        <v>539194.87</v>
      </c>
    </row>
    <row r="306" spans="1:7">
      <c r="A306" s="388" t="s">
        <v>1966</v>
      </c>
      <c r="B306" s="363" t="s">
        <v>5137</v>
      </c>
      <c r="C306" s="363" t="s">
        <v>5138</v>
      </c>
      <c r="D306" s="378"/>
      <c r="E306" s="378"/>
      <c r="F306" s="391"/>
      <c r="G306" s="391"/>
    </row>
    <row r="307" spans="1:7">
      <c r="A307" s="366" t="s">
        <v>1968</v>
      </c>
      <c r="B307" s="366" t="s">
        <v>5139</v>
      </c>
      <c r="C307" s="367" t="s">
        <v>5140</v>
      </c>
      <c r="D307" s="412"/>
      <c r="E307" s="412" t="str">
        <f>+B306</f>
        <v>PFA020</v>
      </c>
      <c r="F307" s="393">
        <v>2749380.73</v>
      </c>
      <c r="G307" s="393">
        <v>2749380.73</v>
      </c>
    </row>
    <row r="308" spans="1:7">
      <c r="A308" s="388" t="s">
        <v>1966</v>
      </c>
      <c r="B308" s="363" t="s">
        <v>5141</v>
      </c>
      <c r="C308" s="363" t="s">
        <v>5142</v>
      </c>
      <c r="D308" s="378"/>
      <c r="E308" s="378"/>
      <c r="F308" s="391"/>
      <c r="G308" s="391"/>
    </row>
    <row r="309" spans="1:7">
      <c r="A309" s="366" t="s">
        <v>1968</v>
      </c>
      <c r="B309" s="366" t="s">
        <v>5143</v>
      </c>
      <c r="C309" s="367" t="s">
        <v>5144</v>
      </c>
      <c r="D309" s="412"/>
      <c r="E309" s="412" t="str">
        <f>+B308</f>
        <v>PFA021</v>
      </c>
      <c r="F309" s="393"/>
      <c r="G309" s="393"/>
    </row>
    <row r="310" spans="1:7">
      <c r="A310" s="388" t="s">
        <v>1966</v>
      </c>
      <c r="B310" s="363" t="s">
        <v>5145</v>
      </c>
      <c r="C310" s="363" t="s">
        <v>5146</v>
      </c>
      <c r="D310" s="378"/>
      <c r="E310" s="378"/>
      <c r="F310" s="391"/>
      <c r="G310" s="391"/>
    </row>
    <row r="311" spans="1:7">
      <c r="A311" s="366">
        <v>4</v>
      </c>
      <c r="B311" s="366" t="s">
        <v>5147</v>
      </c>
      <c r="C311" s="367" t="s">
        <v>5148</v>
      </c>
      <c r="D311" s="412"/>
      <c r="E311" s="412" t="str">
        <f>+B310</f>
        <v>PFA030</v>
      </c>
      <c r="F311" s="393">
        <v>4070885.5</v>
      </c>
      <c r="G311" s="393">
        <v>4070885.5</v>
      </c>
    </row>
    <row r="312" spans="1:7">
      <c r="A312" s="366">
        <v>4</v>
      </c>
      <c r="B312" s="366" t="s">
        <v>5149</v>
      </c>
      <c r="C312" s="367" t="s">
        <v>5150</v>
      </c>
      <c r="D312" s="412"/>
      <c r="E312" s="412" t="str">
        <f>+E311</f>
        <v>PFA030</v>
      </c>
      <c r="F312" s="393">
        <v>8757</v>
      </c>
      <c r="G312" s="393">
        <v>8757</v>
      </c>
    </row>
    <row r="313" spans="1:7">
      <c r="A313" s="366">
        <v>4</v>
      </c>
      <c r="B313" s="366" t="s">
        <v>5151</v>
      </c>
      <c r="C313" s="367" t="s">
        <v>5152</v>
      </c>
      <c r="D313" s="412"/>
      <c r="E313" s="412" t="str">
        <f t="shared" ref="E313:E315" si="12">+E312</f>
        <v>PFA030</v>
      </c>
      <c r="F313" s="393">
        <v>30723454.960000001</v>
      </c>
      <c r="G313" s="393">
        <v>30836560.010000002</v>
      </c>
    </row>
    <row r="314" spans="1:7">
      <c r="A314" s="366">
        <v>4</v>
      </c>
      <c r="B314" s="366" t="s">
        <v>5153</v>
      </c>
      <c r="C314" s="367" t="s">
        <v>5154</v>
      </c>
      <c r="D314" s="412"/>
      <c r="E314" s="412" t="str">
        <f t="shared" si="12"/>
        <v>PFA030</v>
      </c>
      <c r="F314" s="393"/>
      <c r="G314" s="393"/>
    </row>
    <row r="315" spans="1:7">
      <c r="A315" s="366">
        <v>4</v>
      </c>
      <c r="B315" s="366" t="s">
        <v>5155</v>
      </c>
      <c r="C315" s="367" t="s">
        <v>5156</v>
      </c>
      <c r="D315" s="412"/>
      <c r="E315" s="412" t="str">
        <f t="shared" si="12"/>
        <v>PFA030</v>
      </c>
      <c r="F315" s="393"/>
      <c r="G315" s="393"/>
    </row>
  </sheetData>
  <autoFilter ref="A1:G315"/>
  <conditionalFormatting sqref="C2:C258 C260:C315">
    <cfRule type="duplicateValues" dxfId="0" priority="1"/>
  </conditionalFormatting>
  <printOptions horizontalCentered="1"/>
  <pageMargins left="0" right="0" top="0.19685039370078741" bottom="0.19685039370078741" header="0.31496062992125984" footer="0.31496062992125984"/>
  <pageSetup paperSize="9" scale="70" fitToHeight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selection sqref="A1:B1"/>
    </sheetView>
  </sheetViews>
  <sheetFormatPr defaultRowHeight="12.75"/>
  <cols>
    <col min="1" max="1" width="6.28515625" style="599" customWidth="1"/>
    <col min="2" max="2" width="60.42578125" style="599" customWidth="1"/>
    <col min="3" max="3" width="15" style="407" customWidth="1"/>
    <col min="4" max="4" width="14.85546875" style="389" customWidth="1"/>
    <col min="5" max="249" width="9.140625" style="599"/>
    <col min="250" max="250" width="6.28515625" style="599" customWidth="1"/>
    <col min="251" max="251" width="72.28515625" style="599" bestFit="1" customWidth="1"/>
    <col min="252" max="252" width="15" style="599" customWidth="1"/>
    <col min="253" max="253" width="14.85546875" style="599" customWidth="1"/>
    <col min="254" max="254" width="8.5703125" style="599" customWidth="1"/>
    <col min="255" max="505" width="9.140625" style="599"/>
    <col min="506" max="506" width="6.28515625" style="599" customWidth="1"/>
    <col min="507" max="507" width="72.28515625" style="599" bestFit="1" customWidth="1"/>
    <col min="508" max="508" width="15" style="599" customWidth="1"/>
    <col min="509" max="509" width="14.85546875" style="599" customWidth="1"/>
    <col min="510" max="510" width="8.5703125" style="599" customWidth="1"/>
    <col min="511" max="761" width="9.140625" style="599"/>
    <col min="762" max="762" width="6.28515625" style="599" customWidth="1"/>
    <col min="763" max="763" width="72.28515625" style="599" bestFit="1" customWidth="1"/>
    <col min="764" max="764" width="15" style="599" customWidth="1"/>
    <col min="765" max="765" width="14.85546875" style="599" customWidth="1"/>
    <col min="766" max="766" width="8.5703125" style="599" customWidth="1"/>
    <col min="767" max="1017" width="9.140625" style="599"/>
    <col min="1018" max="1018" width="6.28515625" style="599" customWidth="1"/>
    <col min="1019" max="1019" width="72.28515625" style="599" bestFit="1" customWidth="1"/>
    <col min="1020" max="1020" width="15" style="599" customWidth="1"/>
    <col min="1021" max="1021" width="14.85546875" style="599" customWidth="1"/>
    <col min="1022" max="1022" width="8.5703125" style="599" customWidth="1"/>
    <col min="1023" max="1273" width="9.140625" style="599"/>
    <col min="1274" max="1274" width="6.28515625" style="599" customWidth="1"/>
    <col min="1275" max="1275" width="72.28515625" style="599" bestFit="1" customWidth="1"/>
    <col min="1276" max="1276" width="15" style="599" customWidth="1"/>
    <col min="1277" max="1277" width="14.85546875" style="599" customWidth="1"/>
    <col min="1278" max="1278" width="8.5703125" style="599" customWidth="1"/>
    <col min="1279" max="1529" width="9.140625" style="599"/>
    <col min="1530" max="1530" width="6.28515625" style="599" customWidth="1"/>
    <col min="1531" max="1531" width="72.28515625" style="599" bestFit="1" customWidth="1"/>
    <col min="1532" max="1532" width="15" style="599" customWidth="1"/>
    <col min="1533" max="1533" width="14.85546875" style="599" customWidth="1"/>
    <col min="1534" max="1534" width="8.5703125" style="599" customWidth="1"/>
    <col min="1535" max="1785" width="9.140625" style="599"/>
    <col min="1786" max="1786" width="6.28515625" style="599" customWidth="1"/>
    <col min="1787" max="1787" width="72.28515625" style="599" bestFit="1" customWidth="1"/>
    <col min="1788" max="1788" width="15" style="599" customWidth="1"/>
    <col min="1789" max="1789" width="14.85546875" style="599" customWidth="1"/>
    <col min="1790" max="1790" width="8.5703125" style="599" customWidth="1"/>
    <col min="1791" max="2041" width="9.140625" style="599"/>
    <col min="2042" max="2042" width="6.28515625" style="599" customWidth="1"/>
    <col min="2043" max="2043" width="72.28515625" style="599" bestFit="1" customWidth="1"/>
    <col min="2044" max="2044" width="15" style="599" customWidth="1"/>
    <col min="2045" max="2045" width="14.85546875" style="599" customWidth="1"/>
    <col min="2046" max="2046" width="8.5703125" style="599" customWidth="1"/>
    <col min="2047" max="2297" width="9.140625" style="599"/>
    <col min="2298" max="2298" width="6.28515625" style="599" customWidth="1"/>
    <col min="2299" max="2299" width="72.28515625" style="599" bestFit="1" customWidth="1"/>
    <col min="2300" max="2300" width="15" style="599" customWidth="1"/>
    <col min="2301" max="2301" width="14.85546875" style="599" customWidth="1"/>
    <col min="2302" max="2302" width="8.5703125" style="599" customWidth="1"/>
    <col min="2303" max="2553" width="9.140625" style="599"/>
    <col min="2554" max="2554" width="6.28515625" style="599" customWidth="1"/>
    <col min="2555" max="2555" width="72.28515625" style="599" bestFit="1" customWidth="1"/>
    <col min="2556" max="2556" width="15" style="599" customWidth="1"/>
    <col min="2557" max="2557" width="14.85546875" style="599" customWidth="1"/>
    <col min="2558" max="2558" width="8.5703125" style="599" customWidth="1"/>
    <col min="2559" max="2809" width="9.140625" style="599"/>
    <col min="2810" max="2810" width="6.28515625" style="599" customWidth="1"/>
    <col min="2811" max="2811" width="72.28515625" style="599" bestFit="1" customWidth="1"/>
    <col min="2812" max="2812" width="15" style="599" customWidth="1"/>
    <col min="2813" max="2813" width="14.85546875" style="599" customWidth="1"/>
    <col min="2814" max="2814" width="8.5703125" style="599" customWidth="1"/>
    <col min="2815" max="3065" width="9.140625" style="599"/>
    <col min="3066" max="3066" width="6.28515625" style="599" customWidth="1"/>
    <col min="3067" max="3067" width="72.28515625" style="599" bestFit="1" customWidth="1"/>
    <col min="3068" max="3068" width="15" style="599" customWidth="1"/>
    <col min="3069" max="3069" width="14.85546875" style="599" customWidth="1"/>
    <col min="3070" max="3070" width="8.5703125" style="599" customWidth="1"/>
    <col min="3071" max="3321" width="9.140625" style="599"/>
    <col min="3322" max="3322" width="6.28515625" style="599" customWidth="1"/>
    <col min="3323" max="3323" width="72.28515625" style="599" bestFit="1" customWidth="1"/>
    <col min="3324" max="3324" width="15" style="599" customWidth="1"/>
    <col min="3325" max="3325" width="14.85546875" style="599" customWidth="1"/>
    <col min="3326" max="3326" width="8.5703125" style="599" customWidth="1"/>
    <col min="3327" max="3577" width="9.140625" style="599"/>
    <col min="3578" max="3578" width="6.28515625" style="599" customWidth="1"/>
    <col min="3579" max="3579" width="72.28515625" style="599" bestFit="1" customWidth="1"/>
    <col min="3580" max="3580" width="15" style="599" customWidth="1"/>
    <col min="3581" max="3581" width="14.85546875" style="599" customWidth="1"/>
    <col min="3582" max="3582" width="8.5703125" style="599" customWidth="1"/>
    <col min="3583" max="3833" width="9.140625" style="599"/>
    <col min="3834" max="3834" width="6.28515625" style="599" customWidth="1"/>
    <col min="3835" max="3835" width="72.28515625" style="599" bestFit="1" customWidth="1"/>
    <col min="3836" max="3836" width="15" style="599" customWidth="1"/>
    <col min="3837" max="3837" width="14.85546875" style="599" customWidth="1"/>
    <col min="3838" max="3838" width="8.5703125" style="599" customWidth="1"/>
    <col min="3839" max="4089" width="9.140625" style="599"/>
    <col min="4090" max="4090" width="6.28515625" style="599" customWidth="1"/>
    <col min="4091" max="4091" width="72.28515625" style="599" bestFit="1" customWidth="1"/>
    <col min="4092" max="4092" width="15" style="599" customWidth="1"/>
    <col min="4093" max="4093" width="14.85546875" style="599" customWidth="1"/>
    <col min="4094" max="4094" width="8.5703125" style="599" customWidth="1"/>
    <col min="4095" max="4345" width="9.140625" style="599"/>
    <col min="4346" max="4346" width="6.28515625" style="599" customWidth="1"/>
    <col min="4347" max="4347" width="72.28515625" style="599" bestFit="1" customWidth="1"/>
    <col min="4348" max="4348" width="15" style="599" customWidth="1"/>
    <col min="4349" max="4349" width="14.85546875" style="599" customWidth="1"/>
    <col min="4350" max="4350" width="8.5703125" style="599" customWidth="1"/>
    <col min="4351" max="4601" width="9.140625" style="599"/>
    <col min="4602" max="4602" width="6.28515625" style="599" customWidth="1"/>
    <col min="4603" max="4603" width="72.28515625" style="599" bestFit="1" customWidth="1"/>
    <col min="4604" max="4604" width="15" style="599" customWidth="1"/>
    <col min="4605" max="4605" width="14.85546875" style="599" customWidth="1"/>
    <col min="4606" max="4606" width="8.5703125" style="599" customWidth="1"/>
    <col min="4607" max="4857" width="9.140625" style="599"/>
    <col min="4858" max="4858" width="6.28515625" style="599" customWidth="1"/>
    <col min="4859" max="4859" width="72.28515625" style="599" bestFit="1" customWidth="1"/>
    <col min="4860" max="4860" width="15" style="599" customWidth="1"/>
    <col min="4861" max="4861" width="14.85546875" style="599" customWidth="1"/>
    <col min="4862" max="4862" width="8.5703125" style="599" customWidth="1"/>
    <col min="4863" max="5113" width="9.140625" style="599"/>
    <col min="5114" max="5114" width="6.28515625" style="599" customWidth="1"/>
    <col min="5115" max="5115" width="72.28515625" style="599" bestFit="1" customWidth="1"/>
    <col min="5116" max="5116" width="15" style="599" customWidth="1"/>
    <col min="5117" max="5117" width="14.85546875" style="599" customWidth="1"/>
    <col min="5118" max="5118" width="8.5703125" style="599" customWidth="1"/>
    <col min="5119" max="5369" width="9.140625" style="599"/>
    <col min="5370" max="5370" width="6.28515625" style="599" customWidth="1"/>
    <col min="5371" max="5371" width="72.28515625" style="599" bestFit="1" customWidth="1"/>
    <col min="5372" max="5372" width="15" style="599" customWidth="1"/>
    <col min="5373" max="5373" width="14.85546875" style="599" customWidth="1"/>
    <col min="5374" max="5374" width="8.5703125" style="599" customWidth="1"/>
    <col min="5375" max="5625" width="9.140625" style="599"/>
    <col min="5626" max="5626" width="6.28515625" style="599" customWidth="1"/>
    <col min="5627" max="5627" width="72.28515625" style="599" bestFit="1" customWidth="1"/>
    <col min="5628" max="5628" width="15" style="599" customWidth="1"/>
    <col min="5629" max="5629" width="14.85546875" style="599" customWidth="1"/>
    <col min="5630" max="5630" width="8.5703125" style="599" customWidth="1"/>
    <col min="5631" max="5881" width="9.140625" style="599"/>
    <col min="5882" max="5882" width="6.28515625" style="599" customWidth="1"/>
    <col min="5883" max="5883" width="72.28515625" style="599" bestFit="1" customWidth="1"/>
    <col min="5884" max="5884" width="15" style="599" customWidth="1"/>
    <col min="5885" max="5885" width="14.85546875" style="599" customWidth="1"/>
    <col min="5886" max="5886" width="8.5703125" style="599" customWidth="1"/>
    <col min="5887" max="6137" width="9.140625" style="599"/>
    <col min="6138" max="6138" width="6.28515625" style="599" customWidth="1"/>
    <col min="6139" max="6139" width="72.28515625" style="599" bestFit="1" customWidth="1"/>
    <col min="6140" max="6140" width="15" style="599" customWidth="1"/>
    <col min="6141" max="6141" width="14.85546875" style="599" customWidth="1"/>
    <col min="6142" max="6142" width="8.5703125" style="599" customWidth="1"/>
    <col min="6143" max="6393" width="9.140625" style="599"/>
    <col min="6394" max="6394" width="6.28515625" style="599" customWidth="1"/>
    <col min="6395" max="6395" width="72.28515625" style="599" bestFit="1" customWidth="1"/>
    <col min="6396" max="6396" width="15" style="599" customWidth="1"/>
    <col min="6397" max="6397" width="14.85546875" style="599" customWidth="1"/>
    <col min="6398" max="6398" width="8.5703125" style="599" customWidth="1"/>
    <col min="6399" max="6649" width="9.140625" style="599"/>
    <col min="6650" max="6650" width="6.28515625" style="599" customWidth="1"/>
    <col min="6651" max="6651" width="72.28515625" style="599" bestFit="1" customWidth="1"/>
    <col min="6652" max="6652" width="15" style="599" customWidth="1"/>
    <col min="6653" max="6653" width="14.85546875" style="599" customWidth="1"/>
    <col min="6654" max="6654" width="8.5703125" style="599" customWidth="1"/>
    <col min="6655" max="6905" width="9.140625" style="599"/>
    <col min="6906" max="6906" width="6.28515625" style="599" customWidth="1"/>
    <col min="6907" max="6907" width="72.28515625" style="599" bestFit="1" customWidth="1"/>
    <col min="6908" max="6908" width="15" style="599" customWidth="1"/>
    <col min="6909" max="6909" width="14.85546875" style="599" customWidth="1"/>
    <col min="6910" max="6910" width="8.5703125" style="599" customWidth="1"/>
    <col min="6911" max="7161" width="9.140625" style="599"/>
    <col min="7162" max="7162" width="6.28515625" style="599" customWidth="1"/>
    <col min="7163" max="7163" width="72.28515625" style="599" bestFit="1" customWidth="1"/>
    <col min="7164" max="7164" width="15" style="599" customWidth="1"/>
    <col min="7165" max="7165" width="14.85546875" style="599" customWidth="1"/>
    <col min="7166" max="7166" width="8.5703125" style="599" customWidth="1"/>
    <col min="7167" max="7417" width="9.140625" style="599"/>
    <col min="7418" max="7418" width="6.28515625" style="599" customWidth="1"/>
    <col min="7419" max="7419" width="72.28515625" style="599" bestFit="1" customWidth="1"/>
    <col min="7420" max="7420" width="15" style="599" customWidth="1"/>
    <col min="7421" max="7421" width="14.85546875" style="599" customWidth="1"/>
    <col min="7422" max="7422" width="8.5703125" style="599" customWidth="1"/>
    <col min="7423" max="7673" width="9.140625" style="599"/>
    <col min="7674" max="7674" width="6.28515625" style="599" customWidth="1"/>
    <col min="7675" max="7675" width="72.28515625" style="599" bestFit="1" customWidth="1"/>
    <col min="7676" max="7676" width="15" style="599" customWidth="1"/>
    <col min="7677" max="7677" width="14.85546875" style="599" customWidth="1"/>
    <col min="7678" max="7678" width="8.5703125" style="599" customWidth="1"/>
    <col min="7679" max="7929" width="9.140625" style="599"/>
    <col min="7930" max="7930" width="6.28515625" style="599" customWidth="1"/>
    <col min="7931" max="7931" width="72.28515625" style="599" bestFit="1" customWidth="1"/>
    <col min="7932" max="7932" width="15" style="599" customWidth="1"/>
    <col min="7933" max="7933" width="14.85546875" style="599" customWidth="1"/>
    <col min="7934" max="7934" width="8.5703125" style="599" customWidth="1"/>
    <col min="7935" max="8185" width="9.140625" style="599"/>
    <col min="8186" max="8186" width="6.28515625" style="599" customWidth="1"/>
    <col min="8187" max="8187" width="72.28515625" style="599" bestFit="1" customWidth="1"/>
    <col min="8188" max="8188" width="15" style="599" customWidth="1"/>
    <col min="8189" max="8189" width="14.85546875" style="599" customWidth="1"/>
    <col min="8190" max="8190" width="8.5703125" style="599" customWidth="1"/>
    <col min="8191" max="8441" width="9.140625" style="599"/>
    <col min="8442" max="8442" width="6.28515625" style="599" customWidth="1"/>
    <col min="8443" max="8443" width="72.28515625" style="599" bestFit="1" customWidth="1"/>
    <col min="8444" max="8444" width="15" style="599" customWidth="1"/>
    <col min="8445" max="8445" width="14.85546875" style="599" customWidth="1"/>
    <col min="8446" max="8446" width="8.5703125" style="599" customWidth="1"/>
    <col min="8447" max="8697" width="9.140625" style="599"/>
    <col min="8698" max="8698" width="6.28515625" style="599" customWidth="1"/>
    <col min="8699" max="8699" width="72.28515625" style="599" bestFit="1" customWidth="1"/>
    <col min="8700" max="8700" width="15" style="599" customWidth="1"/>
    <col min="8701" max="8701" width="14.85546875" style="599" customWidth="1"/>
    <col min="8702" max="8702" width="8.5703125" style="599" customWidth="1"/>
    <col min="8703" max="8953" width="9.140625" style="599"/>
    <col min="8954" max="8954" width="6.28515625" style="599" customWidth="1"/>
    <col min="8955" max="8955" width="72.28515625" style="599" bestFit="1" customWidth="1"/>
    <col min="8956" max="8956" width="15" style="599" customWidth="1"/>
    <col min="8957" max="8957" width="14.85546875" style="599" customWidth="1"/>
    <col min="8958" max="8958" width="8.5703125" style="599" customWidth="1"/>
    <col min="8959" max="9209" width="9.140625" style="599"/>
    <col min="9210" max="9210" width="6.28515625" style="599" customWidth="1"/>
    <col min="9211" max="9211" width="72.28515625" style="599" bestFit="1" customWidth="1"/>
    <col min="9212" max="9212" width="15" style="599" customWidth="1"/>
    <col min="9213" max="9213" width="14.85546875" style="599" customWidth="1"/>
    <col min="9214" max="9214" width="8.5703125" style="599" customWidth="1"/>
    <col min="9215" max="9465" width="9.140625" style="599"/>
    <col min="9466" max="9466" width="6.28515625" style="599" customWidth="1"/>
    <col min="9467" max="9467" width="72.28515625" style="599" bestFit="1" customWidth="1"/>
    <col min="9468" max="9468" width="15" style="599" customWidth="1"/>
    <col min="9469" max="9469" width="14.85546875" style="599" customWidth="1"/>
    <col min="9470" max="9470" width="8.5703125" style="599" customWidth="1"/>
    <col min="9471" max="9721" width="9.140625" style="599"/>
    <col min="9722" max="9722" width="6.28515625" style="599" customWidth="1"/>
    <col min="9723" max="9723" width="72.28515625" style="599" bestFit="1" customWidth="1"/>
    <col min="9724" max="9724" width="15" style="599" customWidth="1"/>
    <col min="9725" max="9725" width="14.85546875" style="599" customWidth="1"/>
    <col min="9726" max="9726" width="8.5703125" style="599" customWidth="1"/>
    <col min="9727" max="9977" width="9.140625" style="599"/>
    <col min="9978" max="9978" width="6.28515625" style="599" customWidth="1"/>
    <col min="9979" max="9979" width="72.28515625" style="599" bestFit="1" customWidth="1"/>
    <col min="9980" max="9980" width="15" style="599" customWidth="1"/>
    <col min="9981" max="9981" width="14.85546875" style="599" customWidth="1"/>
    <col min="9982" max="9982" width="8.5703125" style="599" customWidth="1"/>
    <col min="9983" max="10233" width="9.140625" style="599"/>
    <col min="10234" max="10234" width="6.28515625" style="599" customWidth="1"/>
    <col min="10235" max="10235" width="72.28515625" style="599" bestFit="1" customWidth="1"/>
    <col min="10236" max="10236" width="15" style="599" customWidth="1"/>
    <col min="10237" max="10237" width="14.85546875" style="599" customWidth="1"/>
    <col min="10238" max="10238" width="8.5703125" style="599" customWidth="1"/>
    <col min="10239" max="10489" width="9.140625" style="599"/>
    <col min="10490" max="10490" width="6.28515625" style="599" customWidth="1"/>
    <col min="10491" max="10491" width="72.28515625" style="599" bestFit="1" customWidth="1"/>
    <col min="10492" max="10492" width="15" style="599" customWidth="1"/>
    <col min="10493" max="10493" width="14.85546875" style="599" customWidth="1"/>
    <col min="10494" max="10494" width="8.5703125" style="599" customWidth="1"/>
    <col min="10495" max="10745" width="9.140625" style="599"/>
    <col min="10746" max="10746" width="6.28515625" style="599" customWidth="1"/>
    <col min="10747" max="10747" width="72.28515625" style="599" bestFit="1" customWidth="1"/>
    <col min="10748" max="10748" width="15" style="599" customWidth="1"/>
    <col min="10749" max="10749" width="14.85546875" style="599" customWidth="1"/>
    <col min="10750" max="10750" width="8.5703125" style="599" customWidth="1"/>
    <col min="10751" max="11001" width="9.140625" style="599"/>
    <col min="11002" max="11002" width="6.28515625" style="599" customWidth="1"/>
    <col min="11003" max="11003" width="72.28515625" style="599" bestFit="1" customWidth="1"/>
    <col min="11004" max="11004" width="15" style="599" customWidth="1"/>
    <col min="11005" max="11005" width="14.85546875" style="599" customWidth="1"/>
    <col min="11006" max="11006" width="8.5703125" style="599" customWidth="1"/>
    <col min="11007" max="11257" width="9.140625" style="599"/>
    <col min="11258" max="11258" width="6.28515625" style="599" customWidth="1"/>
    <col min="11259" max="11259" width="72.28515625" style="599" bestFit="1" customWidth="1"/>
    <col min="11260" max="11260" width="15" style="599" customWidth="1"/>
    <col min="11261" max="11261" width="14.85546875" style="599" customWidth="1"/>
    <col min="11262" max="11262" width="8.5703125" style="599" customWidth="1"/>
    <col min="11263" max="11513" width="9.140625" style="599"/>
    <col min="11514" max="11514" width="6.28515625" style="599" customWidth="1"/>
    <col min="11515" max="11515" width="72.28515625" style="599" bestFit="1" customWidth="1"/>
    <col min="11516" max="11516" width="15" style="599" customWidth="1"/>
    <col min="11517" max="11517" width="14.85546875" style="599" customWidth="1"/>
    <col min="11518" max="11518" width="8.5703125" style="599" customWidth="1"/>
    <col min="11519" max="11769" width="9.140625" style="599"/>
    <col min="11770" max="11770" width="6.28515625" style="599" customWidth="1"/>
    <col min="11771" max="11771" width="72.28515625" style="599" bestFit="1" customWidth="1"/>
    <col min="11772" max="11772" width="15" style="599" customWidth="1"/>
    <col min="11773" max="11773" width="14.85546875" style="599" customWidth="1"/>
    <col min="11774" max="11774" width="8.5703125" style="599" customWidth="1"/>
    <col min="11775" max="12025" width="9.140625" style="599"/>
    <col min="12026" max="12026" width="6.28515625" style="599" customWidth="1"/>
    <col min="12027" max="12027" width="72.28515625" style="599" bestFit="1" customWidth="1"/>
    <col min="12028" max="12028" width="15" style="599" customWidth="1"/>
    <col min="12029" max="12029" width="14.85546875" style="599" customWidth="1"/>
    <col min="12030" max="12030" width="8.5703125" style="599" customWidth="1"/>
    <col min="12031" max="12281" width="9.140625" style="599"/>
    <col min="12282" max="12282" width="6.28515625" style="599" customWidth="1"/>
    <col min="12283" max="12283" width="72.28515625" style="599" bestFit="1" customWidth="1"/>
    <col min="12284" max="12284" width="15" style="599" customWidth="1"/>
    <col min="12285" max="12285" width="14.85546875" style="599" customWidth="1"/>
    <col min="12286" max="12286" width="8.5703125" style="599" customWidth="1"/>
    <col min="12287" max="12537" width="9.140625" style="599"/>
    <col min="12538" max="12538" width="6.28515625" style="599" customWidth="1"/>
    <col min="12539" max="12539" width="72.28515625" style="599" bestFit="1" customWidth="1"/>
    <col min="12540" max="12540" width="15" style="599" customWidth="1"/>
    <col min="12541" max="12541" width="14.85546875" style="599" customWidth="1"/>
    <col min="12542" max="12542" width="8.5703125" style="599" customWidth="1"/>
    <col min="12543" max="12793" width="9.140625" style="599"/>
    <col min="12794" max="12794" width="6.28515625" style="599" customWidth="1"/>
    <col min="12795" max="12795" width="72.28515625" style="599" bestFit="1" customWidth="1"/>
    <col min="12796" max="12796" width="15" style="599" customWidth="1"/>
    <col min="12797" max="12797" width="14.85546875" style="599" customWidth="1"/>
    <col min="12798" max="12798" width="8.5703125" style="599" customWidth="1"/>
    <col min="12799" max="13049" width="9.140625" style="599"/>
    <col min="13050" max="13050" width="6.28515625" style="599" customWidth="1"/>
    <col min="13051" max="13051" width="72.28515625" style="599" bestFit="1" customWidth="1"/>
    <col min="13052" max="13052" width="15" style="599" customWidth="1"/>
    <col min="13053" max="13053" width="14.85546875" style="599" customWidth="1"/>
    <col min="13054" max="13054" width="8.5703125" style="599" customWidth="1"/>
    <col min="13055" max="13305" width="9.140625" style="599"/>
    <col min="13306" max="13306" width="6.28515625" style="599" customWidth="1"/>
    <col min="13307" max="13307" width="72.28515625" style="599" bestFit="1" customWidth="1"/>
    <col min="13308" max="13308" width="15" style="599" customWidth="1"/>
    <col min="13309" max="13309" width="14.85546875" style="599" customWidth="1"/>
    <col min="13310" max="13310" width="8.5703125" style="599" customWidth="1"/>
    <col min="13311" max="13561" width="9.140625" style="599"/>
    <col min="13562" max="13562" width="6.28515625" style="599" customWidth="1"/>
    <col min="13563" max="13563" width="72.28515625" style="599" bestFit="1" customWidth="1"/>
    <col min="13564" max="13564" width="15" style="599" customWidth="1"/>
    <col min="13565" max="13565" width="14.85546875" style="599" customWidth="1"/>
    <col min="13566" max="13566" width="8.5703125" style="599" customWidth="1"/>
    <col min="13567" max="13817" width="9.140625" style="599"/>
    <col min="13818" max="13818" width="6.28515625" style="599" customWidth="1"/>
    <col min="13819" max="13819" width="72.28515625" style="599" bestFit="1" customWidth="1"/>
    <col min="13820" max="13820" width="15" style="599" customWidth="1"/>
    <col min="13821" max="13821" width="14.85546875" style="599" customWidth="1"/>
    <col min="13822" max="13822" width="8.5703125" style="599" customWidth="1"/>
    <col min="13823" max="14073" width="9.140625" style="599"/>
    <col min="14074" max="14074" width="6.28515625" style="599" customWidth="1"/>
    <col min="14075" max="14075" width="72.28515625" style="599" bestFit="1" customWidth="1"/>
    <col min="14076" max="14076" width="15" style="599" customWidth="1"/>
    <col min="14077" max="14077" width="14.85546875" style="599" customWidth="1"/>
    <col min="14078" max="14078" width="8.5703125" style="599" customWidth="1"/>
    <col min="14079" max="14329" width="9.140625" style="599"/>
    <col min="14330" max="14330" width="6.28515625" style="599" customWidth="1"/>
    <col min="14331" max="14331" width="72.28515625" style="599" bestFit="1" customWidth="1"/>
    <col min="14332" max="14332" width="15" style="599" customWidth="1"/>
    <col min="14333" max="14333" width="14.85546875" style="599" customWidth="1"/>
    <col min="14334" max="14334" width="8.5703125" style="599" customWidth="1"/>
    <col min="14335" max="14585" width="9.140625" style="599"/>
    <col min="14586" max="14586" width="6.28515625" style="599" customWidth="1"/>
    <col min="14587" max="14587" width="72.28515625" style="599" bestFit="1" customWidth="1"/>
    <col min="14588" max="14588" width="15" style="599" customWidth="1"/>
    <col min="14589" max="14589" width="14.85546875" style="599" customWidth="1"/>
    <col min="14590" max="14590" width="8.5703125" style="599" customWidth="1"/>
    <col min="14591" max="14841" width="9.140625" style="599"/>
    <col min="14842" max="14842" width="6.28515625" style="599" customWidth="1"/>
    <col min="14843" max="14843" width="72.28515625" style="599" bestFit="1" customWidth="1"/>
    <col min="14844" max="14844" width="15" style="599" customWidth="1"/>
    <col min="14845" max="14845" width="14.85546875" style="599" customWidth="1"/>
    <col min="14846" max="14846" width="8.5703125" style="599" customWidth="1"/>
    <col min="14847" max="15097" width="9.140625" style="599"/>
    <col min="15098" max="15098" width="6.28515625" style="599" customWidth="1"/>
    <col min="15099" max="15099" width="72.28515625" style="599" bestFit="1" customWidth="1"/>
    <col min="15100" max="15100" width="15" style="599" customWidth="1"/>
    <col min="15101" max="15101" width="14.85546875" style="599" customWidth="1"/>
    <col min="15102" max="15102" width="8.5703125" style="599" customWidth="1"/>
    <col min="15103" max="15353" width="9.140625" style="599"/>
    <col min="15354" max="15354" width="6.28515625" style="599" customWidth="1"/>
    <col min="15355" max="15355" width="72.28515625" style="599" bestFit="1" customWidth="1"/>
    <col min="15356" max="15356" width="15" style="599" customWidth="1"/>
    <col min="15357" max="15357" width="14.85546875" style="599" customWidth="1"/>
    <col min="15358" max="15358" width="8.5703125" style="599" customWidth="1"/>
    <col min="15359" max="15609" width="9.140625" style="599"/>
    <col min="15610" max="15610" width="6.28515625" style="599" customWidth="1"/>
    <col min="15611" max="15611" width="72.28515625" style="599" bestFit="1" customWidth="1"/>
    <col min="15612" max="15612" width="15" style="599" customWidth="1"/>
    <col min="15613" max="15613" width="14.85546875" style="599" customWidth="1"/>
    <col min="15614" max="15614" width="8.5703125" style="599" customWidth="1"/>
    <col min="15615" max="15865" width="9.140625" style="599"/>
    <col min="15866" max="15866" width="6.28515625" style="599" customWidth="1"/>
    <col min="15867" max="15867" width="72.28515625" style="599" bestFit="1" customWidth="1"/>
    <col min="15868" max="15868" width="15" style="599" customWidth="1"/>
    <col min="15869" max="15869" width="14.85546875" style="599" customWidth="1"/>
    <col min="15870" max="15870" width="8.5703125" style="599" customWidth="1"/>
    <col min="15871" max="16121" width="9.140625" style="599"/>
    <col min="16122" max="16122" width="6.28515625" style="599" customWidth="1"/>
    <col min="16123" max="16123" width="72.28515625" style="599" bestFit="1" customWidth="1"/>
    <col min="16124" max="16124" width="15" style="599" customWidth="1"/>
    <col min="16125" max="16125" width="14.85546875" style="599" customWidth="1"/>
    <col min="16126" max="16126" width="8.5703125" style="599" customWidth="1"/>
    <col min="16127" max="16384" width="9.140625" style="599"/>
  </cols>
  <sheetData>
    <row r="1" spans="1:5">
      <c r="A1" s="886" t="s">
        <v>5198</v>
      </c>
      <c r="B1" s="886"/>
      <c r="C1" s="598" t="s">
        <v>5199</v>
      </c>
      <c r="D1" s="598" t="s">
        <v>5200</v>
      </c>
    </row>
    <row r="2" spans="1:5">
      <c r="A2" s="600"/>
      <c r="B2" s="600"/>
      <c r="C2" s="601"/>
      <c r="D2" s="602"/>
    </row>
    <row r="3" spans="1:5">
      <c r="A3" s="603" t="s">
        <v>5201</v>
      </c>
      <c r="B3" s="604"/>
      <c r="C3" s="605"/>
      <c r="D3" s="606"/>
    </row>
    <row r="4" spans="1:5">
      <c r="A4" s="607" t="s">
        <v>5202</v>
      </c>
      <c r="B4" s="607" t="s">
        <v>5203</v>
      </c>
      <c r="C4" s="608">
        <f>+'Schema SP'!I122</f>
        <v>0</v>
      </c>
      <c r="D4" s="796">
        <v>0</v>
      </c>
    </row>
    <row r="5" spans="1:5">
      <c r="A5" s="607"/>
      <c r="B5" s="609" t="s">
        <v>5204</v>
      </c>
      <c r="C5" s="797"/>
      <c r="D5" s="798"/>
    </row>
    <row r="6" spans="1:5">
      <c r="A6" s="610" t="s">
        <v>5202</v>
      </c>
      <c r="B6" s="611" t="s">
        <v>5205</v>
      </c>
      <c r="C6" s="799">
        <f>+'Alimentazione CE Costi'!E944+'Alimentazione CE Costi'!E946</f>
        <v>16306324.27</v>
      </c>
      <c r="D6" s="799">
        <v>16231343.289999999</v>
      </c>
    </row>
    <row r="7" spans="1:5">
      <c r="A7" s="610" t="s">
        <v>5202</v>
      </c>
      <c r="B7" s="611" t="s">
        <v>5206</v>
      </c>
      <c r="C7" s="799">
        <f>+'Alimentazione CE Costi'!E948+'Alimentazione CE Costi'!E949+'Alimentazione CE Costi'!E950+'Alimentazione CE Costi'!E951+'Alimentazione CE Costi'!E952</f>
        <v>9652553.4900000002</v>
      </c>
      <c r="D7" s="799">
        <v>9644631.7399999984</v>
      </c>
    </row>
    <row r="8" spans="1:5">
      <c r="A8" s="610" t="s">
        <v>5202</v>
      </c>
      <c r="B8" s="611" t="s">
        <v>5207</v>
      </c>
      <c r="C8" s="799">
        <f>+SUM('Alimentazione CE Costi'!E933:E940)</f>
        <v>268000.20999999996</v>
      </c>
      <c r="D8" s="799">
        <v>600938.71</v>
      </c>
    </row>
    <row r="9" spans="1:5">
      <c r="A9" s="603" t="s">
        <v>5208</v>
      </c>
      <c r="B9" s="612"/>
      <c r="C9" s="800">
        <f>SUM(C6:C8)</f>
        <v>26226877.969999999</v>
      </c>
      <c r="D9" s="800">
        <f>SUM(D6:D8)</f>
        <v>26476913.739999998</v>
      </c>
    </row>
    <row r="10" spans="1:5">
      <c r="A10" s="610" t="s">
        <v>5209</v>
      </c>
      <c r="B10" s="611" t="s">
        <v>5210</v>
      </c>
      <c r="C10" s="799">
        <f>+'Alimentazione CE Ricavi'!E69+'Alimentazione CE Ricavi'!E71+SUM('Alimentazione CE Ricavi'!E291:E303)</f>
        <v>25625869.259999998</v>
      </c>
      <c r="D10" s="799">
        <v>-25863137.300000004</v>
      </c>
    </row>
    <row r="11" spans="1:5">
      <c r="A11" s="610" t="s">
        <v>5209</v>
      </c>
      <c r="B11" s="611" t="s">
        <v>5211</v>
      </c>
      <c r="C11" s="799">
        <f>+SUM('Alimentazione CE Ricavi'!E69:E82)</f>
        <v>42462531.689999998</v>
      </c>
      <c r="D11" s="799">
        <v>-14017661.57</v>
      </c>
    </row>
    <row r="12" spans="1:5">
      <c r="A12" s="603" t="s">
        <v>5212</v>
      </c>
      <c r="B12" s="612"/>
      <c r="C12" s="800">
        <f>SUM(C10:C11)</f>
        <v>68088400.949999988</v>
      </c>
      <c r="D12" s="800">
        <f>SUM(D10:D11)</f>
        <v>-39880798.870000005</v>
      </c>
    </row>
    <row r="13" spans="1:5">
      <c r="A13" s="610" t="s">
        <v>5202</v>
      </c>
      <c r="B13" s="610" t="s">
        <v>5213</v>
      </c>
      <c r="C13" s="799">
        <f>+'Alimentazione CE Costi'!E1065+'Alimentazione CE Costi'!E1066</f>
        <v>150150.88</v>
      </c>
      <c r="D13" s="799">
        <v>176073.42</v>
      </c>
    </row>
    <row r="14" spans="1:5">
      <c r="A14" s="610" t="s">
        <v>5209</v>
      </c>
      <c r="B14" s="611" t="s">
        <v>5214</v>
      </c>
      <c r="C14" s="801">
        <f>+'Alimentazione SP P'!F114-'Alimentazione SP P'!G114-'Rendiconto finanziario'!C13</f>
        <v>-625795.13</v>
      </c>
      <c r="D14" s="801">
        <v>-470231.81000000017</v>
      </c>
      <c r="E14" s="613"/>
    </row>
    <row r="15" spans="1:5">
      <c r="A15" s="610" t="s">
        <v>5202</v>
      </c>
      <c r="B15" s="610" t="s">
        <v>5215</v>
      </c>
      <c r="C15" s="802">
        <f>+'Alimentazione CE Costi'!E635+'Alimentazione CE Costi'!E644+'Alimentazione CE Costi'!E661+'Alimentazione CE Costi'!E676+'Alimentazione CE Costi'!E690+'Alimentazione CE Costi'!E704+'Alimentazione CE Costi'!E717+'Alimentazione CE Costi'!E726+'Alimentazione CE Costi'!E743+'Alimentazione CE Costi'!E757+'Alimentazione CE Costi'!E770+'Alimentazione CE Costi'!E779+'Alimentazione CE Costi'!E797+'Alimentazione CE Costi'!E811+'Alimentazione CE Costi'!E826+'Alimentazione CE Costi'!E840+'Alimentazione CE Costi'!E853+'Alimentazione CE Costi'!E862+'Alimentazione CE Costi'!E879+'Alimentazione CE Costi'!E614+'Alimentazione CE Costi'!E623+'Alimentazione CE Costi'!E893</f>
        <v>0</v>
      </c>
      <c r="D15" s="802"/>
      <c r="E15" s="613"/>
    </row>
    <row r="16" spans="1:5">
      <c r="A16" s="610" t="s">
        <v>5209</v>
      </c>
      <c r="B16" s="611" t="s">
        <v>5216</v>
      </c>
      <c r="C16" s="801">
        <f>'Alimentazione SP P'!F116-'Alimentazione SP P'!G116-'Rendiconto finanziario'!C15</f>
        <v>0</v>
      </c>
      <c r="D16" s="801"/>
    </row>
    <row r="17" spans="1:5">
      <c r="A17" s="603" t="s">
        <v>5217</v>
      </c>
      <c r="B17" s="612"/>
      <c r="C17" s="800">
        <f>SUM(C13:C16)</f>
        <v>-475644.25</v>
      </c>
      <c r="D17" s="800">
        <f>SUM(D13:D16)</f>
        <v>-294158.39000000013</v>
      </c>
      <c r="E17" s="614"/>
    </row>
    <row r="18" spans="1:5">
      <c r="A18" s="610" t="s">
        <v>5218</v>
      </c>
      <c r="B18" s="611" t="s">
        <v>5219</v>
      </c>
      <c r="C18" s="799">
        <v>0</v>
      </c>
      <c r="D18" s="799"/>
    </row>
    <row r="19" spans="1:5">
      <c r="A19" s="610" t="s">
        <v>5202</v>
      </c>
      <c r="B19" s="610" t="s">
        <v>5220</v>
      </c>
      <c r="C19" s="799">
        <f>+SUM('Alimentazione CE Costi'!E956:E1014)</f>
        <v>60420.05</v>
      </c>
      <c r="D19" s="799">
        <v>501925.01</v>
      </c>
    </row>
    <row r="20" spans="1:5">
      <c r="A20" s="615" t="s">
        <v>5209</v>
      </c>
      <c r="B20" s="615" t="s">
        <v>5221</v>
      </c>
      <c r="C20" s="799">
        <f>-('SP Attivo Alim'!F45+'SP Attivo Alim'!F47+'SP Attivo Alim'!F49+'SP Attivo Alim'!F51+'SP Attivo Alim'!F100+'SP Attivo Alim'!F101+'SP Attivo Alim'!F103+'SP Attivo Alim'!F104+'SP Attivo Alim'!F106+'SP Attivo Alim'!F108+'SP Attivo Alim'!F110+'SP Attivo Alim'!F112+'SP Attivo Alim'!F114+'SP Attivo Alim'!F116+'SP Attivo Alim'!F121+'SP Attivo Alim'!F124+'SP Attivo Alim'!F127+'SP Attivo Alim'!F132+'SP Attivo Alim'!F189+'SP Attivo Alim'!F192+'SP Attivo Alim'!F195+'SP Attivo Alim'!F198+'SP Attivo Alim'!F201+'SP Attivo Alim'!F204+'SP Attivo Alim'!F209+'SP Attivo Alim'!F212+'SP Attivo Alim'!F215+'SP Attivo Alim'!F219+'SP Attivo Alim'!F222+'SP Attivo Alim'!F227+'SP Attivo Alim'!F230+'SP Attivo Alim'!F235+'SP Attivo Alim'!F240+'SP Attivo Alim'!F243+'SP Attivo Alim'!F246+'SP Attivo Alim'!F249+'SP Attivo Alim'!F252+'SP Attivo Alim'!F255+'SP Attivo Alim'!F260+'SP Attivo Alim'!F263+'SP Attivo Alim'!F269+'SP Attivo Alim'!F272+'SP Attivo Alim'!F276+'SP Attivo Alim'!F279+'SP Attivo Alim'!F282+'SP Attivo Alim'!F287+'SP Attivo Alim'!F290+'SP Attivo Alim'!F299+'SP Attivo Alim'!F320+'SP Attivo Alim'!F326+'SP Attivo Alim'!F329+'SP Attivo Alim'!F334+'SP Attivo Alim'!F343+'SP Attivo Alim'!F351+'SP Attivo Alim'!F354+'SP Attivo Alim'!F360+'SP Attivo Alim'!F363+'SP Attivo Alim'!F372+'SP Attivo Alim'!F373)+SUM('SP Attivo Alim'!G45+'SP Attivo Alim'!G47+'SP Attivo Alim'!G49+'SP Attivo Alim'!G51+'SP Attivo Alim'!G100+'SP Attivo Alim'!G101+'SP Attivo Alim'!G103+'SP Attivo Alim'!G104+'SP Attivo Alim'!G106+'SP Attivo Alim'!G108+'SP Attivo Alim'!G110+'SP Attivo Alim'!G112+'SP Attivo Alim'!G114+'SP Attivo Alim'!G116+'SP Attivo Alim'!G121+'SP Attivo Alim'!G124+'SP Attivo Alim'!G127+'SP Attivo Alim'!G132+'SP Attivo Alim'!G189+'SP Attivo Alim'!G192+'SP Attivo Alim'!G195+'SP Attivo Alim'!G198+'SP Attivo Alim'!G201+'SP Attivo Alim'!G204+'SP Attivo Alim'!G209+'SP Attivo Alim'!G212+'SP Attivo Alim'!G215+'SP Attivo Alim'!G219+'SP Attivo Alim'!G222+'SP Attivo Alim'!G227+'SP Attivo Alim'!G230+'SP Attivo Alim'!G235+'SP Attivo Alim'!G240+'SP Attivo Alim'!G243+'SP Attivo Alim'!G246+'SP Attivo Alim'!G249+'SP Attivo Alim'!G252+'SP Attivo Alim'!G255+'SP Attivo Alim'!G260+'SP Attivo Alim'!G263+'SP Attivo Alim'!G269+'SP Attivo Alim'!G272+'SP Attivo Alim'!G276+'SP Attivo Alim'!G279+'SP Attivo Alim'!G282+'SP Attivo Alim'!G287+'SP Attivo Alim'!G290+'SP Attivo Alim'!G299+'SP Attivo Alim'!G320+'SP Attivo Alim'!G326+'SP Attivo Alim'!G329+'SP Attivo Alim'!G334+'SP Attivo Alim'!G343+'SP Attivo Alim'!G351+'SP Attivo Alim'!G354+'SP Attivo Alim'!G360+'SP Attivo Alim'!G363+'SP Attivo Alim'!G372+'SP Attivo Alim'!G373)-'Rendiconto finanziario'!C19</f>
        <v>-103036.33999999911</v>
      </c>
      <c r="D20" s="799">
        <v>-1872407.5800000003</v>
      </c>
      <c r="E20" s="614"/>
    </row>
    <row r="21" spans="1:5">
      <c r="A21" s="603" t="s">
        <v>5222</v>
      </c>
      <c r="B21" s="612"/>
      <c r="C21" s="800">
        <f>SUM(C18:C20)</f>
        <v>-42616.289999999106</v>
      </c>
      <c r="D21" s="800">
        <f>SUM(D18:D20)</f>
        <v>-1370482.5700000003</v>
      </c>
      <c r="E21" s="614"/>
    </row>
    <row r="22" spans="1:5">
      <c r="A22" s="610" t="s">
        <v>5202</v>
      </c>
      <c r="B22" s="610" t="s">
        <v>5223</v>
      </c>
      <c r="C22" s="799">
        <f>+SUM('Alimentazione CE Costi'!E1049:E1101)+'Alimentazione CE Costi'!E1192+'Alimentazione CE Costi'!E615+'Alimentazione CE Costi'!E624+'Alimentazione CE Costi'!E636+'Alimentazione CE Costi'!E645+'Alimentazione CE Costi'!E662+'Alimentazione CE Costi'!E677+'Alimentazione CE Costi'!E691+'Alimentazione CE Costi'!E705+'Alimentazione CE Costi'!E718+'Alimentazione CE Costi'!E727+'Alimentazione CE Costi'!E744+'Alimentazione CE Costi'!E758+'Alimentazione CE Costi'!E771+'Alimentazione CE Costi'!E780+'Alimentazione CE Costi'!E798+'Alimentazione CE Costi'!E812+'Alimentazione CE Costi'!E827+'Alimentazione CE Costi'!E841+'Alimentazione CE Costi'!E854+'Alimentazione CE Costi'!E863+'Alimentazione CE Costi'!E880+'Alimentazione CE Costi'!E894</f>
        <v>18556788.669999998</v>
      </c>
      <c r="D22" s="802">
        <v>53932818.620000012</v>
      </c>
      <c r="E22" s="614"/>
    </row>
    <row r="23" spans="1:5">
      <c r="A23" s="610" t="s">
        <v>5209</v>
      </c>
      <c r="B23" s="611" t="s">
        <v>5224</v>
      </c>
      <c r="C23" s="799">
        <f>'Schema SP'!K130-'Rendiconto finanziario'!C22-'Rendiconto finanziario'!C11</f>
        <v>-90960994.359999999</v>
      </c>
      <c r="D23" s="799">
        <v>-17273453.050000012</v>
      </c>
      <c r="E23" s="616"/>
    </row>
    <row r="24" spans="1:5">
      <c r="A24" s="603" t="s">
        <v>5225</v>
      </c>
      <c r="B24" s="612"/>
      <c r="C24" s="800">
        <f>SUM(C22:C23)</f>
        <v>-72404205.689999998</v>
      </c>
      <c r="D24" s="800">
        <f>SUM(D22:D23)</f>
        <v>36659365.57</v>
      </c>
      <c r="E24" s="614"/>
    </row>
    <row r="25" spans="1:5">
      <c r="A25" s="617" t="s">
        <v>5226</v>
      </c>
      <c r="B25" s="617"/>
      <c r="C25" s="803">
        <f>C4+C9+C12+C17+C21+C24</f>
        <v>21392812.689999998</v>
      </c>
      <c r="D25" s="803">
        <f>D4+D9+D12+D17+D21+D24</f>
        <v>21590839.479999993</v>
      </c>
    </row>
    <row r="26" spans="1:5" ht="15">
      <c r="A26" s="618"/>
      <c r="B26" s="618"/>
      <c r="C26" s="804"/>
      <c r="D26" s="805"/>
    </row>
    <row r="27" spans="1:5" ht="22.5">
      <c r="A27" s="610" t="s">
        <v>5227</v>
      </c>
      <c r="B27" s="619" t="s">
        <v>5228</v>
      </c>
      <c r="C27" s="799">
        <f>'Schema SP'!K139</f>
        <v>14485219</v>
      </c>
      <c r="D27" s="799">
        <v>-688863</v>
      </c>
    </row>
    <row r="28" spans="1:5">
      <c r="A28" s="610" t="s">
        <v>5227</v>
      </c>
      <c r="B28" s="620" t="s">
        <v>5229</v>
      </c>
      <c r="C28" s="799">
        <f>'Schema SP'!K140</f>
        <v>48704</v>
      </c>
      <c r="D28" s="799">
        <v>816040</v>
      </c>
    </row>
    <row r="29" spans="1:5">
      <c r="A29" s="610" t="s">
        <v>5227</v>
      </c>
      <c r="B29" s="620" t="s">
        <v>5230</v>
      </c>
      <c r="C29" s="799">
        <f>'Schema SP'!K141</f>
        <v>50780203</v>
      </c>
      <c r="D29" s="799">
        <v>-2359553</v>
      </c>
    </row>
    <row r="30" spans="1:5">
      <c r="A30" s="610" t="s">
        <v>5227</v>
      </c>
      <c r="B30" s="620" t="s">
        <v>5231</v>
      </c>
      <c r="C30" s="801"/>
      <c r="D30" s="801"/>
    </row>
    <row r="31" spans="1:5">
      <c r="A31" s="610" t="s">
        <v>5227</v>
      </c>
      <c r="B31" s="620" t="s">
        <v>5232</v>
      </c>
      <c r="C31" s="799">
        <f>'Schema SP'!K149-'Rendiconto finanziario'!C94</f>
        <v>-3068170</v>
      </c>
      <c r="D31" s="799">
        <v>3936968</v>
      </c>
    </row>
    <row r="32" spans="1:5">
      <c r="A32" s="610" t="s">
        <v>5227</v>
      </c>
      <c r="B32" s="620" t="s">
        <v>5233</v>
      </c>
      <c r="C32" s="799">
        <f>'Schema SP'!K151</f>
        <v>7940554</v>
      </c>
      <c r="D32" s="799">
        <v>4498647</v>
      </c>
    </row>
    <row r="33" spans="1:5">
      <c r="A33" s="610" t="s">
        <v>5227</v>
      </c>
      <c r="B33" s="620" t="s">
        <v>5234</v>
      </c>
      <c r="C33" s="799">
        <f>'Schema SP'!K153</f>
        <v>15710945</v>
      </c>
      <c r="D33" s="799">
        <v>1383327</v>
      </c>
    </row>
    <row r="34" spans="1:5">
      <c r="A34" s="610" t="s">
        <v>5227</v>
      </c>
      <c r="B34" s="620" t="s">
        <v>5235</v>
      </c>
      <c r="C34" s="799">
        <f>'Schema SP'!K138+'Schema SP'!K148+'Schema SP'!K152+'Schema SP'!K154-'Rendiconto finanziario'!C30</f>
        <v>-487726</v>
      </c>
      <c r="D34" s="799">
        <v>3933433</v>
      </c>
    </row>
    <row r="35" spans="1:5">
      <c r="A35" s="607" t="s">
        <v>5227</v>
      </c>
      <c r="B35" s="607" t="s">
        <v>5236</v>
      </c>
      <c r="C35" s="796">
        <f>SUM(C27:C34)</f>
        <v>85409729</v>
      </c>
      <c r="D35" s="796">
        <f>SUM(D27:D34)</f>
        <v>11519999</v>
      </c>
      <c r="E35" s="614"/>
    </row>
    <row r="36" spans="1:5">
      <c r="A36" s="607" t="s">
        <v>5227</v>
      </c>
      <c r="B36" s="607" t="s">
        <v>5237</v>
      </c>
      <c r="C36" s="608">
        <f>'Schema SP'!K157+'Schema SP'!K158</f>
        <v>-5833</v>
      </c>
      <c r="D36" s="608">
        <v>5849</v>
      </c>
    </row>
    <row r="37" spans="1:5">
      <c r="A37" s="610" t="s">
        <v>5227</v>
      </c>
      <c r="B37" s="620" t="s">
        <v>5238</v>
      </c>
      <c r="C37" s="799">
        <v>0</v>
      </c>
      <c r="D37" s="799">
        <v>0</v>
      </c>
    </row>
    <row r="38" spans="1:5">
      <c r="A38" s="610" t="s">
        <v>5227</v>
      </c>
      <c r="B38" s="620" t="s">
        <v>5239</v>
      </c>
      <c r="C38" s="799">
        <f>-('Schema SP'!K52-'Schema SP'!K56)-'Schema SP'!K48</f>
        <v>2842786</v>
      </c>
      <c r="D38" s="799">
        <v>-17723008</v>
      </c>
    </row>
    <row r="39" spans="1:5">
      <c r="A39" s="610" t="s">
        <v>5227</v>
      </c>
      <c r="B39" s="620" t="s">
        <v>5240</v>
      </c>
      <c r="C39" s="799">
        <v>0</v>
      </c>
      <c r="D39" s="799">
        <v>0</v>
      </c>
    </row>
    <row r="40" spans="1:5">
      <c r="A40" s="610" t="s">
        <v>5227</v>
      </c>
      <c r="B40" s="620" t="s">
        <v>5241</v>
      </c>
      <c r="C40" s="799">
        <v>0</v>
      </c>
      <c r="D40" s="799">
        <v>0</v>
      </c>
    </row>
    <row r="41" spans="1:5">
      <c r="A41" s="610" t="s">
        <v>5227</v>
      </c>
      <c r="B41" s="620" t="s">
        <v>5242</v>
      </c>
      <c r="C41" s="799">
        <v>0</v>
      </c>
      <c r="D41" s="799">
        <v>0</v>
      </c>
    </row>
    <row r="42" spans="1:5">
      <c r="A42" s="610" t="s">
        <v>5227</v>
      </c>
      <c r="B42" s="620" t="s">
        <v>5243</v>
      </c>
      <c r="C42" s="799">
        <v>0</v>
      </c>
      <c r="D42" s="799">
        <v>0</v>
      </c>
    </row>
    <row r="43" spans="1:5">
      <c r="A43" s="610" t="s">
        <v>5227</v>
      </c>
      <c r="B43" s="620" t="s">
        <v>5244</v>
      </c>
      <c r="C43" s="799">
        <v>0</v>
      </c>
      <c r="D43" s="799">
        <v>0</v>
      </c>
    </row>
    <row r="44" spans="1:5">
      <c r="A44" s="610"/>
      <c r="B44" s="621"/>
      <c r="C44" s="799"/>
      <c r="D44" s="799"/>
    </row>
    <row r="45" spans="1:5">
      <c r="A45" s="610" t="s">
        <v>5227</v>
      </c>
      <c r="B45" s="620" t="s">
        <v>5245</v>
      </c>
      <c r="C45" s="799">
        <f>-'Schema SP'!K59</f>
        <v>6084951</v>
      </c>
      <c r="D45" s="799">
        <v>26581378</v>
      </c>
    </row>
    <row r="46" spans="1:5">
      <c r="A46" s="610" t="s">
        <v>5227</v>
      </c>
      <c r="B46" s="620" t="s">
        <v>5246</v>
      </c>
      <c r="C46" s="799">
        <f>-'Schema SP'!K71</f>
        <v>-73449</v>
      </c>
      <c r="D46" s="799">
        <v>264709</v>
      </c>
    </row>
    <row r="47" spans="1:5">
      <c r="A47" s="610" t="s">
        <v>5227</v>
      </c>
      <c r="B47" s="620" t="s">
        <v>5247</v>
      </c>
      <c r="C47" s="799">
        <f>-'Schema SP'!K72</f>
        <v>-8577417</v>
      </c>
      <c r="D47" s="799">
        <v>-5371828</v>
      </c>
    </row>
    <row r="48" spans="1:5">
      <c r="A48" s="610" t="s">
        <v>5227</v>
      </c>
      <c r="B48" s="620" t="s">
        <v>5248</v>
      </c>
      <c r="C48" s="801"/>
      <c r="D48" s="801"/>
    </row>
    <row r="49" spans="1:5">
      <c r="A49" s="610" t="s">
        <v>5227</v>
      </c>
      <c r="B49" s="620" t="s">
        <v>5249</v>
      </c>
      <c r="C49" s="799">
        <f>-'Schema SP'!K76</f>
        <v>-1480797</v>
      </c>
      <c r="D49" s="799">
        <v>39251</v>
      </c>
    </row>
    <row r="50" spans="1:5">
      <c r="A50" s="610" t="s">
        <v>5227</v>
      </c>
      <c r="B50" s="620" t="s">
        <v>5250</v>
      </c>
      <c r="C50" s="799" t="e">
        <f>-('Schema SP'!K77+'Schema SP'!K75+'Schema SP'!K57+'Schema SP'!K78)-'Rendiconto finanziario'!C48+'Rendiconto finanziario'!#REF!</f>
        <v>#REF!</v>
      </c>
      <c r="D50" s="799">
        <v>-39945140.43</v>
      </c>
    </row>
    <row r="51" spans="1:5">
      <c r="A51" s="607" t="s">
        <v>5227</v>
      </c>
      <c r="B51" s="607" t="s">
        <v>5251</v>
      </c>
      <c r="C51" s="608" t="e">
        <f>SUM(C37:C50)</f>
        <v>#REF!</v>
      </c>
      <c r="D51" s="608">
        <f>SUM(D37:D50)</f>
        <v>-36154638.43</v>
      </c>
      <c r="E51" s="614"/>
    </row>
    <row r="52" spans="1:5">
      <c r="A52" s="615" t="s">
        <v>5227</v>
      </c>
      <c r="B52" s="620" t="s">
        <v>5252</v>
      </c>
      <c r="C52" s="802">
        <f>-('Schema SP'!K41+'Schema SP'!K42)</f>
        <v>-576621</v>
      </c>
      <c r="D52" s="802">
        <v>1785510</v>
      </c>
    </row>
    <row r="53" spans="1:5">
      <c r="A53" s="615" t="s">
        <v>5227</v>
      </c>
      <c r="B53" s="620" t="s">
        <v>5253</v>
      </c>
      <c r="C53" s="802">
        <f>-('Schema SP'!K43+'Schema SP'!K44)</f>
        <v>0</v>
      </c>
      <c r="D53" s="802"/>
    </row>
    <row r="54" spans="1:5">
      <c r="A54" s="607" t="s">
        <v>5227</v>
      </c>
      <c r="B54" s="622" t="s">
        <v>5254</v>
      </c>
      <c r="C54" s="608">
        <f>SUM(C52:C53)</f>
        <v>-576621</v>
      </c>
      <c r="D54" s="608">
        <f>SUM(D52:D53)</f>
        <v>1785510</v>
      </c>
      <c r="E54" s="614"/>
    </row>
    <row r="55" spans="1:5">
      <c r="A55" s="607" t="s">
        <v>5227</v>
      </c>
      <c r="B55" s="607" t="s">
        <v>5255</v>
      </c>
      <c r="C55" s="608">
        <f>-('Schema SP'!K88+'Schema SP'!K89)</f>
        <v>284136</v>
      </c>
      <c r="D55" s="608">
        <v>316571</v>
      </c>
      <c r="E55" s="614"/>
    </row>
    <row r="56" spans="1:5">
      <c r="A56" s="617" t="s">
        <v>5256</v>
      </c>
      <c r="B56" s="617"/>
      <c r="C56" s="803" t="e">
        <f>C35+C36+C51+C54+C55+C25</f>
        <v>#REF!</v>
      </c>
      <c r="D56" s="803">
        <f>D35+D36+D51+D54+D55+D25</f>
        <v>-935869.95000000671</v>
      </c>
    </row>
    <row r="57" spans="1:5" ht="15">
      <c r="A57" s="618"/>
      <c r="B57" s="618"/>
      <c r="C57" s="804"/>
      <c r="D57" s="805"/>
    </row>
    <row r="58" spans="1:5">
      <c r="A58" s="603" t="s">
        <v>5257</v>
      </c>
      <c r="B58" s="604"/>
      <c r="C58" s="806"/>
      <c r="D58" s="806"/>
    </row>
    <row r="59" spans="1:5">
      <c r="A59" s="610" t="s">
        <v>5209</v>
      </c>
      <c r="B59" s="611" t="s">
        <v>5258</v>
      </c>
      <c r="C59" s="801"/>
      <c r="D59" s="801"/>
    </row>
    <row r="60" spans="1:5">
      <c r="A60" s="610" t="s">
        <v>5209</v>
      </c>
      <c r="B60" s="611" t="s">
        <v>5259</v>
      </c>
      <c r="C60" s="801"/>
      <c r="D60" s="801"/>
    </row>
    <row r="61" spans="1:5">
      <c r="A61" s="610" t="s">
        <v>5209</v>
      </c>
      <c r="B61" s="611" t="s">
        <v>5260</v>
      </c>
      <c r="C61" s="801"/>
      <c r="D61" s="801"/>
    </row>
    <row r="62" spans="1:5">
      <c r="A62" s="610" t="s">
        <v>5209</v>
      </c>
      <c r="B62" s="611" t="s">
        <v>5261</v>
      </c>
      <c r="C62" s="801"/>
      <c r="D62" s="801"/>
    </row>
    <row r="63" spans="1:5">
      <c r="A63" s="610" t="s">
        <v>5209</v>
      </c>
      <c r="B63" s="611" t="s">
        <v>5262</v>
      </c>
      <c r="C63" s="801">
        <f>-(194151.77+29694.48)</f>
        <v>-223846.25</v>
      </c>
      <c r="D63" s="801">
        <v>-982449.1099999994</v>
      </c>
    </row>
    <row r="64" spans="1:5">
      <c r="A64" s="607" t="s">
        <v>5209</v>
      </c>
      <c r="B64" s="622" t="s">
        <v>5263</v>
      </c>
      <c r="C64" s="608">
        <f>SUM(C59:C63)</f>
        <v>-223846.25</v>
      </c>
      <c r="D64" s="608">
        <f>SUM(D59:D63)</f>
        <v>-982449.1099999994</v>
      </c>
    </row>
    <row r="65" spans="1:4">
      <c r="A65" s="610" t="s">
        <v>5202</v>
      </c>
      <c r="B65" s="611" t="s">
        <v>5264</v>
      </c>
      <c r="C65" s="801"/>
      <c r="D65" s="801"/>
    </row>
    <row r="66" spans="1:4">
      <c r="A66" s="610" t="s">
        <v>5202</v>
      </c>
      <c r="B66" s="611" t="s">
        <v>5265</v>
      </c>
      <c r="C66" s="801"/>
      <c r="D66" s="801"/>
    </row>
    <row r="67" spans="1:4">
      <c r="A67" s="610" t="s">
        <v>5202</v>
      </c>
      <c r="B67" s="611" t="s">
        <v>5266</v>
      </c>
      <c r="C67" s="801"/>
      <c r="D67" s="801"/>
    </row>
    <row r="68" spans="1:4">
      <c r="A68" s="610" t="s">
        <v>5202</v>
      </c>
      <c r="B68" s="611" t="s">
        <v>5267</v>
      </c>
      <c r="C68" s="801"/>
      <c r="D68" s="801"/>
    </row>
    <row r="69" spans="1:4">
      <c r="A69" s="610" t="s">
        <v>5202</v>
      </c>
      <c r="B69" s="611" t="s">
        <v>5268</v>
      </c>
      <c r="C69" s="801">
        <v>3417.41</v>
      </c>
      <c r="D69" s="801"/>
    </row>
    <row r="70" spans="1:4">
      <c r="A70" s="607" t="s">
        <v>5202</v>
      </c>
      <c r="B70" s="622" t="s">
        <v>5269</v>
      </c>
      <c r="C70" s="608">
        <f>SUM(C65:C69)</f>
        <v>3417.41</v>
      </c>
      <c r="D70" s="608">
        <f>SUM(D65:D69)</f>
        <v>0</v>
      </c>
    </row>
    <row r="71" spans="1:4">
      <c r="A71" s="610" t="s">
        <v>5209</v>
      </c>
      <c r="B71" s="611" t="s">
        <v>5270</v>
      </c>
      <c r="C71" s="801"/>
      <c r="D71" s="801"/>
    </row>
    <row r="72" spans="1:4">
      <c r="A72" s="610" t="s">
        <v>5209</v>
      </c>
      <c r="B72" s="611" t="s">
        <v>5271</v>
      </c>
      <c r="C72" s="801">
        <v>-2417643.36</v>
      </c>
      <c r="D72" s="801">
        <v>-4288930.3600000236</v>
      </c>
    </row>
    <row r="73" spans="1:4">
      <c r="A73" s="610" t="s">
        <v>5209</v>
      </c>
      <c r="B73" s="611" t="s">
        <v>5272</v>
      </c>
      <c r="C73" s="801">
        <v>-278844.44</v>
      </c>
      <c r="D73" s="801">
        <v>-449220.92000000179</v>
      </c>
    </row>
    <row r="74" spans="1:4">
      <c r="A74" s="610" t="s">
        <v>5209</v>
      </c>
      <c r="B74" s="611" t="s">
        <v>5273</v>
      </c>
      <c r="C74" s="801">
        <v>-9250200.4900000002</v>
      </c>
      <c r="D74" s="801">
        <v>-8744386.5399999917</v>
      </c>
    </row>
    <row r="75" spans="1:4">
      <c r="A75" s="610" t="s">
        <v>5209</v>
      </c>
      <c r="B75" s="611" t="s">
        <v>5274</v>
      </c>
      <c r="C75" s="801">
        <v>-1124766.1499999999</v>
      </c>
      <c r="D75" s="801">
        <v>-922269.26000000047</v>
      </c>
    </row>
    <row r="76" spans="1:4">
      <c r="A76" s="610" t="s">
        <v>5209</v>
      </c>
      <c r="B76" s="611" t="s">
        <v>5275</v>
      </c>
      <c r="C76" s="801">
        <v>-777155.51</v>
      </c>
      <c r="D76" s="801">
        <v>-179763.8900000006</v>
      </c>
    </row>
    <row r="77" spans="1:4">
      <c r="A77" s="610" t="s">
        <v>5209</v>
      </c>
      <c r="B77" s="611" t="s">
        <v>5276</v>
      </c>
      <c r="C77" s="801">
        <f>-(245000+1704210.01)</f>
        <v>-1949210.01</v>
      </c>
      <c r="D77" s="801">
        <v>-2004939.7500000044</v>
      </c>
    </row>
    <row r="78" spans="1:4">
      <c r="A78" s="610" t="s">
        <v>5209</v>
      </c>
      <c r="B78" s="611" t="s">
        <v>5277</v>
      </c>
      <c r="C78" s="801">
        <v>-12078189.539999999</v>
      </c>
      <c r="D78" s="801">
        <v>-23847483.709999997</v>
      </c>
    </row>
    <row r="79" spans="1:4">
      <c r="A79" s="607" t="s">
        <v>5209</v>
      </c>
      <c r="B79" s="622" t="s">
        <v>5278</v>
      </c>
      <c r="C79" s="608">
        <f>SUM(C71:C78)</f>
        <v>-27876009.5</v>
      </c>
      <c r="D79" s="608">
        <f>SUM(D71:D78)</f>
        <v>-40436994.430000022</v>
      </c>
    </row>
    <row r="80" spans="1:4">
      <c r="A80" s="610" t="s">
        <v>5202</v>
      </c>
      <c r="B80" s="611" t="s">
        <v>5279</v>
      </c>
      <c r="C80" s="801"/>
      <c r="D80" s="801"/>
    </row>
    <row r="81" spans="1:4">
      <c r="A81" s="610" t="s">
        <v>5202</v>
      </c>
      <c r="B81" s="611" t="s">
        <v>5280</v>
      </c>
      <c r="C81" s="801">
        <v>136298.96</v>
      </c>
      <c r="D81" s="801">
        <v>212736.09000000003</v>
      </c>
    </row>
    <row r="82" spans="1:4">
      <c r="A82" s="610" t="s">
        <v>5202</v>
      </c>
      <c r="B82" s="611" t="s">
        <v>5281</v>
      </c>
      <c r="C82" s="801"/>
      <c r="D82" s="801"/>
    </row>
    <row r="83" spans="1:4">
      <c r="A83" s="610" t="s">
        <v>5202</v>
      </c>
      <c r="B83" s="611" t="s">
        <v>5282</v>
      </c>
      <c r="C83" s="801">
        <v>670235.77</v>
      </c>
      <c r="D83" s="801">
        <v>13554.129999999888</v>
      </c>
    </row>
    <row r="84" spans="1:4">
      <c r="A84" s="610" t="s">
        <v>5202</v>
      </c>
      <c r="B84" s="611" t="s">
        <v>5283</v>
      </c>
      <c r="C84" s="801">
        <v>15809.67</v>
      </c>
      <c r="D84" s="801">
        <v>2584.7099999999919</v>
      </c>
    </row>
    <row r="85" spans="1:4">
      <c r="A85" s="610" t="s">
        <v>5202</v>
      </c>
      <c r="B85" s="611" t="s">
        <v>5284</v>
      </c>
      <c r="C85" s="801">
        <v>19911.04</v>
      </c>
      <c r="D85" s="801">
        <v>0</v>
      </c>
    </row>
    <row r="86" spans="1:4">
      <c r="A86" s="610" t="s">
        <v>5202</v>
      </c>
      <c r="B86" s="611" t="s">
        <v>5285</v>
      </c>
      <c r="C86" s="801">
        <f>48274.19+2088043.15</f>
        <v>2136317.34</v>
      </c>
      <c r="D86" s="801">
        <v>1396.2900000000373</v>
      </c>
    </row>
    <row r="87" spans="1:4">
      <c r="A87" s="607" t="s">
        <v>5202</v>
      </c>
      <c r="B87" s="622" t="s">
        <v>5286</v>
      </c>
      <c r="C87" s="608">
        <f>SUM(C80:C86)</f>
        <v>2978572.78</v>
      </c>
      <c r="D87" s="608">
        <f>SUM(D80:D86)</f>
        <v>230271.21999999994</v>
      </c>
    </row>
    <row r="88" spans="1:4">
      <c r="A88" s="610" t="s">
        <v>5209</v>
      </c>
      <c r="B88" s="611" t="s">
        <v>5287</v>
      </c>
      <c r="C88" s="801"/>
      <c r="D88" s="801"/>
    </row>
    <row r="89" spans="1:4">
      <c r="A89" s="610" t="s">
        <v>5209</v>
      </c>
      <c r="B89" s="611" t="s">
        <v>5288</v>
      </c>
      <c r="C89" s="801">
        <v>1386000</v>
      </c>
      <c r="D89" s="801"/>
    </row>
    <row r="90" spans="1:4">
      <c r="A90" s="607" t="s">
        <v>5209</v>
      </c>
      <c r="B90" s="622" t="s">
        <v>5289</v>
      </c>
      <c r="C90" s="608">
        <f>SUM(C88:C89)</f>
        <v>1386000</v>
      </c>
      <c r="D90" s="608">
        <f>SUM(D88:D89)</f>
        <v>0</v>
      </c>
    </row>
    <row r="91" spans="1:4">
      <c r="A91" s="610" t="s">
        <v>5202</v>
      </c>
      <c r="B91" s="611" t="s">
        <v>5290</v>
      </c>
      <c r="C91" s="801"/>
      <c r="D91" s="801"/>
    </row>
    <row r="92" spans="1:4">
      <c r="A92" s="610" t="s">
        <v>5202</v>
      </c>
      <c r="B92" s="611" t="s">
        <v>5291</v>
      </c>
      <c r="C92" s="801"/>
      <c r="D92" s="801"/>
    </row>
    <row r="93" spans="1:4">
      <c r="A93" s="607" t="s">
        <v>5202</v>
      </c>
      <c r="B93" s="622" t="s">
        <v>5292</v>
      </c>
      <c r="C93" s="608">
        <f>SUM(C91:C92)</f>
        <v>0</v>
      </c>
      <c r="D93" s="608">
        <f>SUM(D91:D92)</f>
        <v>0</v>
      </c>
    </row>
    <row r="94" spans="1:4">
      <c r="A94" s="607" t="s">
        <v>5218</v>
      </c>
      <c r="B94" s="622" t="s">
        <v>5293</v>
      </c>
      <c r="C94" s="807"/>
      <c r="D94" s="807"/>
    </row>
    <row r="95" spans="1:4">
      <c r="A95" s="617" t="s">
        <v>5294</v>
      </c>
      <c r="B95" s="617"/>
      <c r="C95" s="803">
        <f>C64+C70+C79+C87+C90+C93+C94</f>
        <v>-23731865.559999999</v>
      </c>
      <c r="D95" s="803">
        <f>D64+D70+D79+D87+D90+D93+D94</f>
        <v>-41189172.320000023</v>
      </c>
    </row>
    <row r="96" spans="1:4" ht="15">
      <c r="A96" s="618"/>
      <c r="B96" s="618"/>
      <c r="C96" s="804"/>
      <c r="D96" s="805"/>
    </row>
    <row r="97" spans="1:4">
      <c r="A97" s="603" t="s">
        <v>5295</v>
      </c>
      <c r="B97" s="604"/>
      <c r="C97" s="806"/>
      <c r="D97" s="808"/>
    </row>
    <row r="98" spans="1:4">
      <c r="A98" s="610" t="s">
        <v>5227</v>
      </c>
      <c r="B98" s="610" t="s">
        <v>5296</v>
      </c>
      <c r="C98" s="799">
        <f>-('Schema SP'!K51+'Schema SP'!K56)</f>
        <v>2780495</v>
      </c>
      <c r="D98" s="799">
        <v>-46789128</v>
      </c>
    </row>
    <row r="99" spans="1:4">
      <c r="A99" s="610" t="s">
        <v>5227</v>
      </c>
      <c r="B99" s="610" t="s">
        <v>5297</v>
      </c>
      <c r="C99" s="799">
        <f>-'Schema SP'!K67</f>
        <v>-678975</v>
      </c>
      <c r="D99" s="799">
        <v>-61774145</v>
      </c>
    </row>
    <row r="100" spans="1:4">
      <c r="A100" s="610" t="s">
        <v>5227</v>
      </c>
      <c r="B100" s="610" t="s">
        <v>5298</v>
      </c>
      <c r="C100" s="799">
        <f>-'Schema SP'!K68</f>
        <v>0</v>
      </c>
      <c r="D100" s="799"/>
    </row>
    <row r="101" spans="1:4">
      <c r="A101" s="610" t="s">
        <v>5227</v>
      </c>
      <c r="B101" s="610" t="s">
        <v>5299</v>
      </c>
      <c r="C101" s="799">
        <f>-'Schema SP'!K69</f>
        <v>0</v>
      </c>
      <c r="D101" s="799"/>
    </row>
    <row r="102" spans="1:4">
      <c r="A102" s="610" t="s">
        <v>5227</v>
      </c>
      <c r="B102" s="610" t="s">
        <v>5300</v>
      </c>
      <c r="C102" s="799">
        <f>-'Schema SP'!K70</f>
        <v>0</v>
      </c>
      <c r="D102" s="799"/>
    </row>
    <row r="103" spans="1:4">
      <c r="A103" s="607" t="s">
        <v>5202</v>
      </c>
      <c r="B103" s="607" t="s">
        <v>5301</v>
      </c>
      <c r="C103" s="608">
        <v>4249</v>
      </c>
      <c r="D103" s="608">
        <v>275978</v>
      </c>
    </row>
    <row r="104" spans="1:4">
      <c r="A104" s="610" t="s">
        <v>5202</v>
      </c>
      <c r="B104" s="610" t="s">
        <v>5302</v>
      </c>
      <c r="C104" s="799">
        <f>SUM('Alimentazione SP P'!F8:F25)+'Alimentazione SP P'!F39+'Alimentazione SP P'!F41-SUM('Alimentazione SP P'!G8:G25)-'Alimentazione SP P'!G39-'Alimentazione SP P'!G41-'Rendiconto finanziario'!C10</f>
        <v>-36160508.719999917</v>
      </c>
      <c r="D104" s="799">
        <v>132453647.68000001</v>
      </c>
    </row>
    <row r="105" spans="1:4">
      <c r="A105" s="610" t="s">
        <v>5227</v>
      </c>
      <c r="B105" s="610" t="s">
        <v>5303</v>
      </c>
      <c r="C105" s="799">
        <f>'Schema SP'!K123-'Schema SP'!K108-'Rendiconto finanziario'!C104-'Rendiconto finanziario'!C4-'Rendiconto finanziario'!C9</f>
        <v>-922057.25000008196</v>
      </c>
      <c r="D105" s="799">
        <v>-336870.38000000268</v>
      </c>
    </row>
    <row r="106" spans="1:4">
      <c r="A106" s="607" t="s">
        <v>5227</v>
      </c>
      <c r="B106" s="622" t="s">
        <v>5304</v>
      </c>
      <c r="C106" s="608">
        <f>SUM(C104:C105)</f>
        <v>-37082565.969999999</v>
      </c>
      <c r="D106" s="608">
        <f>SUM(D104:D105)</f>
        <v>132116777.30000001</v>
      </c>
    </row>
    <row r="107" spans="1:4">
      <c r="A107" s="607" t="s">
        <v>5227</v>
      </c>
      <c r="B107" s="623" t="s">
        <v>5305</v>
      </c>
      <c r="C107" s="608">
        <f>'Schema SP'!K150</f>
        <v>0</v>
      </c>
      <c r="D107" s="608"/>
    </row>
    <row r="108" spans="1:4">
      <c r="A108" s="610" t="s">
        <v>5202</v>
      </c>
      <c r="B108" s="624" t="s">
        <v>5306</v>
      </c>
      <c r="C108" s="801"/>
      <c r="D108" s="801"/>
    </row>
    <row r="109" spans="1:4">
      <c r="A109" s="610" t="s">
        <v>5209</v>
      </c>
      <c r="B109" s="610" t="s">
        <v>5307</v>
      </c>
      <c r="C109" s="799">
        <f>-C108+'Schema SP'!K137</f>
        <v>0</v>
      </c>
      <c r="D109" s="799"/>
    </row>
    <row r="110" spans="1:4">
      <c r="A110" s="617" t="s">
        <v>5308</v>
      </c>
      <c r="B110" s="617"/>
      <c r="C110" s="803">
        <f>+C103+C106+C107+C108+C109</f>
        <v>-37078316.969999999</v>
      </c>
      <c r="D110" s="803">
        <f>D98+D99+D100+D101+D102+D103+D106+D107+D108+D109</f>
        <v>23829482.300000012</v>
      </c>
    </row>
    <row r="111" spans="1:4">
      <c r="A111" s="624"/>
      <c r="B111" s="624"/>
      <c r="C111" s="809"/>
      <c r="D111" s="802"/>
    </row>
    <row r="112" spans="1:4">
      <c r="A112" s="603" t="s">
        <v>5309</v>
      </c>
      <c r="B112" s="604"/>
      <c r="C112" s="808" t="e">
        <f>+C56+C95+C110</f>
        <v>#REF!</v>
      </c>
      <c r="D112" s="808">
        <f>+D56+D95+D110</f>
        <v>-18295559.970000014</v>
      </c>
    </row>
    <row r="113" spans="1:4">
      <c r="A113" s="622" t="s">
        <v>5310</v>
      </c>
      <c r="B113" s="625"/>
      <c r="C113" s="810">
        <f>'Schema SP'!I81-'Schema SP'!J81</f>
        <v>43589123</v>
      </c>
      <c r="D113" s="810">
        <v>-18295560</v>
      </c>
    </row>
    <row r="114" spans="1:4">
      <c r="A114" s="610"/>
      <c r="B114" s="626"/>
      <c r="C114" s="811"/>
      <c r="D114" s="608"/>
    </row>
    <row r="115" spans="1:4">
      <c r="A115" s="627" t="s">
        <v>5311</v>
      </c>
      <c r="B115" s="628"/>
      <c r="C115" s="812" t="e">
        <f>C112-C113</f>
        <v>#REF!</v>
      </c>
      <c r="D115" s="812">
        <f>D112-D113</f>
        <v>2.9999986290931702E-2</v>
      </c>
    </row>
  </sheetData>
  <mergeCells count="1">
    <mergeCell ref="A1:B1"/>
  </mergeCells>
  <printOptions horizontalCentered="1"/>
  <pageMargins left="0" right="0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12</vt:i4>
      </vt:variant>
    </vt:vector>
  </HeadingPairs>
  <TitlesOfParts>
    <vt:vector size="22" baseType="lpstr">
      <vt:lpstr>Schema CE</vt:lpstr>
      <vt:lpstr>CE Min</vt:lpstr>
      <vt:lpstr>Alimentazione CE Costi</vt:lpstr>
      <vt:lpstr>Alimentazione CE Ricavi</vt:lpstr>
      <vt:lpstr>Schema SP</vt:lpstr>
      <vt:lpstr>SP Min</vt:lpstr>
      <vt:lpstr>SP Attivo Alim</vt:lpstr>
      <vt:lpstr>Alimentazione SP P</vt:lpstr>
      <vt:lpstr>Rendiconto finanziario</vt:lpstr>
      <vt:lpstr>ce art. 44</vt:lpstr>
      <vt:lpstr>'ce art. 44'!Area_stampa</vt:lpstr>
      <vt:lpstr>'CE Min'!Area_stampa</vt:lpstr>
      <vt:lpstr>'Rendiconto finanziario'!Area_stampa</vt:lpstr>
      <vt:lpstr>'SP Attivo Alim'!Area_stampa</vt:lpstr>
      <vt:lpstr>'SP Min'!Area_stampa</vt:lpstr>
      <vt:lpstr>'Alimentazione CE Costi'!Titoli_stampa</vt:lpstr>
      <vt:lpstr>'Alimentazione CE Ricavi'!Titoli_stampa</vt:lpstr>
      <vt:lpstr>'Alimentazione SP P'!Titoli_stampa</vt:lpstr>
      <vt:lpstr>'CE Min'!Titoli_stampa</vt:lpstr>
      <vt:lpstr>'Schema CE'!Titoli_stampa</vt:lpstr>
      <vt:lpstr>'SP Attivo Alim'!Titoli_stampa</vt:lpstr>
      <vt:lpstr>'SP Min'!Titoli_stampa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Lorenzo Irmi</cp:lastModifiedBy>
  <cp:lastPrinted>2024-05-13T16:24:09Z</cp:lastPrinted>
  <dcterms:created xsi:type="dcterms:W3CDTF">2019-07-05T08:06:15Z</dcterms:created>
  <dcterms:modified xsi:type="dcterms:W3CDTF">2024-06-13T08:51:36Z</dcterms:modified>
</cp:coreProperties>
</file>