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i-lorenzo\Documents\Lorenzo\Bilanci Consuntivi\Chiusura 2018\"/>
    </mc:Choice>
  </mc:AlternateContent>
  <bookViews>
    <workbookView xWindow="480" yWindow="180" windowWidth="18195" windowHeight="7995" activeTab="5"/>
  </bookViews>
  <sheets>
    <sheet name="LA 2017-2018" sheetId="1" r:id="rId1"/>
    <sheet name="all 1" sheetId="2" r:id="rId2"/>
    <sheet name="all2 all3 all4 all5 all6" sheetId="3" r:id="rId3"/>
    <sheet name="ALL2" sheetId="4" r:id="rId4"/>
    <sheet name="ALL3" sheetId="5" r:id="rId5"/>
    <sheet name="LA2018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">#REF!</definedName>
    <definedName name="___bo1">'[1]Alim S.P.'!#REF!</definedName>
    <definedName name="___db1">'[2]Alim S.P.'!#REF!</definedName>
    <definedName name="__bo1">'[3]Alim S.P.'!#REF!</definedName>
    <definedName name="__bo2">'[1]Alim S.P.'!#REF!</definedName>
    <definedName name="__bo3">'[1]Alim S.P.'!#REF!</definedName>
    <definedName name="__db1">'[4]Alim S.P.'!#REF!</definedName>
    <definedName name="_bo1">'[5]Alim S.P.'!#REF!</definedName>
    <definedName name="_bo2">'[6]Alim S.P.'!#REF!</definedName>
    <definedName name="_bo3">'[6]Alim S.P.'!#REF!</definedName>
    <definedName name="_db1">'[7]Alim S.P.'!#REF!</definedName>
    <definedName name="_db2">#REF!</definedName>
    <definedName name="a">'[8]Alim C.E.'!$D$29:$D$34</definedName>
    <definedName name="A__Totale_interventi_edili_impiantistici">#REF!</definedName>
    <definedName name="ales">#REF!</definedName>
    <definedName name="alex">#REF!</definedName>
    <definedName name="ALIMCE">#REF!</definedName>
    <definedName name="and.liquidità">'[9]Alim S.P.'!#REF!</definedName>
    <definedName name="_xlnm.Print_Area" localSheetId="0">'LA 2017-2018'!$A$3:$P$70</definedName>
    <definedName name="_xlnm.Print_Area">#REF!</definedName>
    <definedName name="b">'[8]Alim C.E.'!$D$29:$D$34</definedName>
    <definedName name="B__Totale_acquisto_di_beni_mobili_e_tecnologie">#REF!</definedName>
    <definedName name="basedati">#REF!</definedName>
    <definedName name="batab" localSheetId="1">#REF!</definedName>
    <definedName name="batab" localSheetId="2">#REF!</definedName>
    <definedName name="batab">#REF!</definedName>
    <definedName name="batab1" localSheetId="1">'[10]Alimentazione CE01'!$E$30:$E$35</definedName>
    <definedName name="batab1" localSheetId="2">'[11]Alimentazione CE01'!$E$30:$E$35</definedName>
    <definedName name="batab1">#REF!</definedName>
    <definedName name="batab2">'[11]Alimentazione CE01'!$E$30:$E$35</definedName>
    <definedName name="batac">#REF!</definedName>
    <definedName name="bo">'[1]Alim S.P.'!#REF!</definedName>
    <definedName name="boic">'[1]Alim S.P.'!#REF!</definedName>
    <definedName name="ce_tot_regionale">#REF!</definedName>
    <definedName name="ciao" localSheetId="2">[12]Alimentazione!$E$29:$E$34</definedName>
    <definedName name="ciao">[12]Alimentazione!$E$29:$E$34</definedName>
    <definedName name="cons">#REF!</definedName>
    <definedName name="Consolidatorettificato">'[13]BILANCIO DEL SSR'!$A$1:$F$77,'[13]BILANCIO DEL SSR'!$G$77,'[13]BILANCIO DEL SSR'!$G$1:$G$77</definedName>
    <definedName name="cont" localSheetId="2">#REF!</definedName>
    <definedName name="cont">#REF!</definedName>
    <definedName name="cont1" localSheetId="2">[14]Alimentazione!$E$29:$E$34</definedName>
    <definedName name="cont1">[15]Alimentazione!$E$29:$E$34</definedName>
    <definedName name="contrb.2" localSheetId="1">#REF!</definedName>
    <definedName name="contrb.2">#REF!</definedName>
    <definedName name="contributi">#REF!</definedName>
    <definedName name="d">#REF!</definedName>
    <definedName name="data2">'[16]Alim C.E.'!$D$28:$D$33</definedName>
    <definedName name="_xlnm.Database" localSheetId="1">#REF!</definedName>
    <definedName name="_xlnm.Database" localSheetId="2">#REF!</definedName>
    <definedName name="_xlnm.Database">#REF!</definedName>
    <definedName name="DATABASE1" localSheetId="1">'[17]Alim S.P.'!#REF!</definedName>
    <definedName name="DATABASE1" localSheetId="2">#REF!</definedName>
    <definedName name="DATABASE1">'[18]Alim S.P.'!#REF!</definedName>
    <definedName name="database2">'[3]Alim S.P.'!#REF!</definedName>
    <definedName name="database3">'[19]Alim S.P.'!#REF!</definedName>
    <definedName name="DBASS">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exreg">#REF!</definedName>
    <definedName name="FF" localSheetId="1">'[20]Alim C.E.'!$D$29:$D$34</definedName>
    <definedName name="FF" localSheetId="2">'[21]Alim C.E.'!$D$29:$D$34</definedName>
    <definedName name="FF">'[22]Alim C.E.'!$D$29:$D$34</definedName>
    <definedName name="fuga">#REF!</definedName>
    <definedName name="HannoASS">1420</definedName>
    <definedName name="HannoASSE">1720</definedName>
    <definedName name="hgf">#REF!</definedName>
    <definedName name="LIQUIDITA" localSheetId="2">#REF!</definedName>
    <definedName name="LIQUIDITA">#REF!</definedName>
    <definedName name="LK">#REF!</definedName>
    <definedName name="MAO">[23]Alimentazione!$E$29:$E$34</definedName>
    <definedName name="MJ">'[3]Alim S.P.'!#REF!</definedName>
    <definedName name="MN">'[3]Alim S.P.'!#REF!</definedName>
    <definedName name="mod_ass_rip">#REF!</definedName>
    <definedName name="ok" localSheetId="2">'[24]Alim S.P.'!#REF!</definedName>
    <definedName name="ok">'[25]Alim S.P.'!#REF!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'[26]B0-Er.Serv.San.-dettaglio'!#REF!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'[26]B0-Er.Serv.San.-dettaglio'!#REF!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'[27]E0-Sist.Governo-Cond.SISR-2004'!#REF!</definedName>
    <definedName name="perc_man_g0201">#REF!</definedName>
    <definedName name="perc_pass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ippo">'[3]Alim S.P.'!#REF!</definedName>
    <definedName name="precons" localSheetId="1">#REF!</definedName>
    <definedName name="precons">#REF!</definedName>
    <definedName name="re" localSheetId="2">#REF!</definedName>
    <definedName name="re">#REF!</definedName>
    <definedName name="rewe">[28]AOTS!$A:$IV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>[29]AOTS!$A:$IV</definedName>
    <definedName name="Term_agg_ASCOT">#REF!</definedName>
    <definedName name="_xlnm.Print_Titles" localSheetId="5">'LA2018'!$1:$3</definedName>
    <definedName name="Tot_chemio_regione">#REF!</definedName>
    <definedName name="Tot_referti_G2RISregion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'[26]B0-Er.Serv.San.-dettaglio'!#REF!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'[26]D0-Scamb.Inform.-Cond.SISR-2004'!$W$31+'[26]D0-Scamb.Inform.-Cond.SISR-2004'!$W$32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 localSheetId="1">#REF!</definedName>
    <definedName name="verifica">#REF!</definedName>
    <definedName name="zxxx">#REF!</definedName>
  </definedNames>
  <calcPr calcId="152511"/>
</workbook>
</file>

<file path=xl/calcChain.xml><?xml version="1.0" encoding="utf-8"?>
<calcChain xmlns="http://schemas.openxmlformats.org/spreadsheetml/2006/main">
  <c r="N62" i="7" l="1"/>
  <c r="M62" i="7"/>
  <c r="L62" i="7"/>
  <c r="K62" i="7"/>
  <c r="J62" i="7"/>
  <c r="I62" i="7"/>
  <c r="H62" i="7"/>
  <c r="G62" i="7"/>
  <c r="F62" i="7"/>
  <c r="E62" i="7"/>
  <c r="D62" i="7"/>
  <c r="C62" i="7"/>
  <c r="O61" i="7"/>
  <c r="O60" i="7"/>
  <c r="O59" i="7"/>
  <c r="O58" i="7"/>
  <c r="O57" i="7"/>
  <c r="O56" i="7"/>
  <c r="O55" i="7"/>
  <c r="O53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O49" i="7"/>
  <c r="O48" i="7"/>
  <c r="O47" i="7"/>
  <c r="O46" i="7"/>
  <c r="O45" i="7"/>
  <c r="O44" i="7"/>
  <c r="O42" i="7"/>
  <c r="O41" i="7"/>
  <c r="O40" i="7"/>
  <c r="O39" i="7"/>
  <c r="O38" i="7"/>
  <c r="O37" i="7"/>
  <c r="O33" i="7"/>
  <c r="O32" i="7"/>
  <c r="O31" i="7"/>
  <c r="O30" i="7"/>
  <c r="O29" i="7"/>
  <c r="O28" i="7"/>
  <c r="O26" i="7"/>
  <c r="O25" i="7"/>
  <c r="O24" i="7"/>
  <c r="O23" i="7"/>
  <c r="O21" i="7"/>
  <c r="O20" i="7"/>
  <c r="O19" i="7"/>
  <c r="O17" i="7"/>
  <c r="O16" i="7"/>
  <c r="O15" i="7"/>
  <c r="O13" i="7"/>
  <c r="N11" i="7"/>
  <c r="M11" i="7"/>
  <c r="L11" i="7"/>
  <c r="K11" i="7"/>
  <c r="J11" i="7"/>
  <c r="I11" i="7"/>
  <c r="H11" i="7"/>
  <c r="H63" i="7" s="1"/>
  <c r="G11" i="7"/>
  <c r="F11" i="7"/>
  <c r="E11" i="7"/>
  <c r="D11" i="7"/>
  <c r="C11" i="7"/>
  <c r="O10" i="7"/>
  <c r="O9" i="7"/>
  <c r="O8" i="7"/>
  <c r="O7" i="7"/>
  <c r="O6" i="7"/>
  <c r="O5" i="7"/>
  <c r="O11" i="7" l="1"/>
  <c r="O51" i="7"/>
  <c r="O62" i="7"/>
  <c r="C63" i="7"/>
  <c r="E63" i="7"/>
  <c r="G63" i="7"/>
  <c r="I63" i="7"/>
  <c r="K63" i="7"/>
  <c r="M63" i="7"/>
  <c r="D63" i="7"/>
  <c r="F63" i="7"/>
  <c r="J63" i="7"/>
  <c r="L63" i="7"/>
  <c r="N63" i="7"/>
  <c r="O63" i="7"/>
  <c r="U26" i="1" l="1"/>
  <c r="U50" i="1" l="1"/>
  <c r="U43" i="1"/>
  <c r="U16" i="1" l="1"/>
  <c r="U53" i="1"/>
  <c r="U40" i="1"/>
  <c r="U33" i="1"/>
  <c r="U47" i="1"/>
  <c r="U42" i="1"/>
  <c r="U49" i="1"/>
  <c r="U35" i="1"/>
  <c r="U32" i="1"/>
  <c r="U59" i="1"/>
  <c r="U29" i="1"/>
  <c r="U24" i="1"/>
  <c r="U23" i="1"/>
  <c r="U22" i="1"/>
  <c r="U19" i="1"/>
  <c r="U18" i="1"/>
  <c r="AE71" i="1" l="1"/>
  <c r="G18" i="5"/>
  <c r="G19" i="5"/>
  <c r="G17" i="5"/>
  <c r="G16" i="5"/>
  <c r="G15" i="5"/>
  <c r="G14" i="5"/>
  <c r="G13" i="5"/>
  <c r="G9" i="5"/>
  <c r="G6" i="5"/>
  <c r="G5" i="5"/>
  <c r="G4" i="5"/>
  <c r="G3" i="5"/>
  <c r="G19" i="4"/>
  <c r="G18" i="4"/>
  <c r="G16" i="4"/>
  <c r="G15" i="4"/>
  <c r="G14" i="4"/>
  <c r="G9" i="4"/>
  <c r="G6" i="4"/>
  <c r="G5" i="4"/>
  <c r="G4" i="4"/>
  <c r="X69" i="1" l="1"/>
  <c r="AE70" i="1"/>
  <c r="AD69" i="1"/>
  <c r="AC69" i="1"/>
  <c r="AA69" i="1"/>
  <c r="W69" i="1"/>
  <c r="V69" i="1"/>
  <c r="U69" i="1"/>
  <c r="T69" i="1"/>
  <c r="S69" i="1"/>
  <c r="Z69" i="1" l="1"/>
  <c r="Y69" i="1"/>
  <c r="AB69" i="1"/>
  <c r="D19" i="5"/>
  <c r="D18" i="5"/>
  <c r="C37" i="3" s="1"/>
  <c r="D17" i="5"/>
  <c r="C35" i="3" s="1"/>
  <c r="D16" i="5"/>
  <c r="C47" i="3" s="1"/>
  <c r="D15" i="5"/>
  <c r="C33" i="3" s="1"/>
  <c r="G20" i="5"/>
  <c r="D13" i="5"/>
  <c r="C29" i="3" s="1"/>
  <c r="D9" i="5"/>
  <c r="D8" i="5"/>
  <c r="D7" i="5"/>
  <c r="D6" i="5"/>
  <c r="C46" i="3" s="1"/>
  <c r="D5" i="5"/>
  <c r="C32" i="3" s="1"/>
  <c r="D4" i="5"/>
  <c r="C30" i="3" s="1"/>
  <c r="D3" i="5"/>
  <c r="C28" i="3" s="1"/>
  <c r="G20" i="4"/>
  <c r="D18" i="4"/>
  <c r="D17" i="4"/>
  <c r="D16" i="4"/>
  <c r="C23" i="3" s="1"/>
  <c r="D15" i="4"/>
  <c r="C9" i="3" s="1"/>
  <c r="D14" i="4"/>
  <c r="C7" i="3" s="1"/>
  <c r="D13" i="4"/>
  <c r="G10" i="4"/>
  <c r="D8" i="4"/>
  <c r="D7" i="4"/>
  <c r="D6" i="4"/>
  <c r="C22" i="3" s="1"/>
  <c r="D5" i="4"/>
  <c r="C8" i="3" s="1"/>
  <c r="D4" i="4"/>
  <c r="C6" i="3" s="1"/>
  <c r="C66" i="3"/>
  <c r="C71" i="3" s="1"/>
  <c r="C5" i="3"/>
  <c r="C4" i="3"/>
  <c r="N6" i="2"/>
  <c r="M6" i="2"/>
  <c r="L6" i="2"/>
  <c r="K6" i="2"/>
  <c r="J6" i="2"/>
  <c r="I6" i="2"/>
  <c r="H6" i="2"/>
  <c r="F6" i="2"/>
  <c r="E6" i="2"/>
  <c r="D6" i="2"/>
  <c r="C6" i="2"/>
  <c r="O5" i="2"/>
  <c r="O4" i="2"/>
  <c r="G6" i="2"/>
  <c r="N65" i="1"/>
  <c r="N54" i="1"/>
  <c r="N14" i="1"/>
  <c r="M65" i="1"/>
  <c r="M54" i="1"/>
  <c r="M14" i="1"/>
  <c r="L65" i="1"/>
  <c r="L54" i="1"/>
  <c r="L14" i="1"/>
  <c r="K65" i="1"/>
  <c r="K54" i="1"/>
  <c r="K14" i="1"/>
  <c r="J65" i="1"/>
  <c r="J54" i="1"/>
  <c r="J14" i="1"/>
  <c r="I65" i="1"/>
  <c r="I54" i="1"/>
  <c r="I14" i="1"/>
  <c r="H65" i="1"/>
  <c r="G65" i="1"/>
  <c r="G54" i="1"/>
  <c r="G14" i="1"/>
  <c r="F65" i="1"/>
  <c r="F54" i="1"/>
  <c r="F14" i="1"/>
  <c r="E65" i="1"/>
  <c r="E54" i="1"/>
  <c r="E14" i="1"/>
  <c r="D65" i="1"/>
  <c r="D54" i="1"/>
  <c r="D14" i="1"/>
  <c r="C65" i="1"/>
  <c r="C54" i="1"/>
  <c r="C14" i="1"/>
  <c r="O64" i="1"/>
  <c r="O63" i="1"/>
  <c r="O62" i="1"/>
  <c r="O61" i="1"/>
  <c r="O60" i="1"/>
  <c r="O59" i="1"/>
  <c r="O58" i="1"/>
  <c r="O56" i="1"/>
  <c r="H54" i="1"/>
  <c r="O53" i="1"/>
  <c r="O52" i="1"/>
  <c r="O51" i="1"/>
  <c r="O50" i="1"/>
  <c r="O49" i="1"/>
  <c r="O48" i="1"/>
  <c r="O47" i="1"/>
  <c r="O45" i="1"/>
  <c r="O44" i="1"/>
  <c r="O43" i="1"/>
  <c r="O42" i="1"/>
  <c r="O41" i="1"/>
  <c r="O40" i="1"/>
  <c r="O36" i="1"/>
  <c r="O35" i="1"/>
  <c r="O34" i="1"/>
  <c r="O33" i="1"/>
  <c r="O32" i="1"/>
  <c r="O31" i="1"/>
  <c r="O29" i="1"/>
  <c r="O28" i="1"/>
  <c r="O27" i="1"/>
  <c r="O26" i="1"/>
  <c r="O24" i="1"/>
  <c r="O23" i="1"/>
  <c r="O22" i="1"/>
  <c r="O20" i="1"/>
  <c r="O19" i="1"/>
  <c r="O18" i="1"/>
  <c r="O16" i="1"/>
  <c r="H14" i="1"/>
  <c r="O13" i="1"/>
  <c r="O12" i="1"/>
  <c r="O11" i="1"/>
  <c r="O10" i="1"/>
  <c r="O9" i="1"/>
  <c r="O8" i="1"/>
  <c r="D9" i="4"/>
  <c r="D19" i="4"/>
  <c r="D14" i="5"/>
  <c r="C31" i="3" s="1"/>
  <c r="O54" i="1" l="1"/>
  <c r="D66" i="1"/>
  <c r="F66" i="1"/>
  <c r="J66" i="1"/>
  <c r="L66" i="1"/>
  <c r="N66" i="1"/>
  <c r="O14" i="1"/>
  <c r="H66" i="1"/>
  <c r="O65" i="1"/>
  <c r="O66" i="1" s="1"/>
  <c r="C66" i="1"/>
  <c r="E66" i="1"/>
  <c r="G66" i="1"/>
  <c r="I66" i="1"/>
  <c r="K66" i="1"/>
  <c r="M66" i="1"/>
  <c r="D20" i="5"/>
  <c r="D10" i="5"/>
  <c r="D10" i="4"/>
  <c r="D20" i="4"/>
  <c r="AE69" i="1"/>
  <c r="AE73" i="1" s="1"/>
  <c r="O3" i="2"/>
  <c r="O6" i="2" s="1"/>
  <c r="G10" i="5"/>
  <c r="AC56" i="1" l="1"/>
  <c r="AC53" i="1"/>
  <c r="AC51" i="1"/>
  <c r="AC48" i="1"/>
  <c r="AC45" i="1"/>
  <c r="AC58" i="1"/>
  <c r="AC59" i="1"/>
  <c r="AC60" i="1"/>
  <c r="AC61" i="1"/>
  <c r="AC63" i="1"/>
  <c r="AC57" i="1"/>
  <c r="AC50" i="1"/>
  <c r="AC49" i="1"/>
  <c r="AC47" i="1"/>
  <c r="AC44" i="1"/>
  <c r="AC43" i="1"/>
  <c r="AC42" i="1"/>
  <c r="AC36" i="1"/>
  <c r="AC35" i="1"/>
  <c r="AC64" i="1"/>
  <c r="AC46" i="1"/>
  <c r="AC34" i="1"/>
  <c r="AC30" i="1"/>
  <c r="AC22" i="1"/>
  <c r="AC19" i="1"/>
  <c r="AC18" i="1"/>
  <c r="AC11" i="1"/>
  <c r="AC41" i="1"/>
  <c r="AC40" i="1"/>
  <c r="AC38" i="1"/>
  <c r="AC37" i="1"/>
  <c r="AC29" i="1"/>
  <c r="AC28" i="1"/>
  <c r="AC21" i="1"/>
  <c r="AC9" i="1"/>
  <c r="AC33" i="1"/>
  <c r="AC32" i="1"/>
  <c r="AC31" i="1"/>
  <c r="AC27" i="1"/>
  <c r="AC26" i="1"/>
  <c r="AC25" i="1"/>
  <c r="AC24" i="1"/>
  <c r="AC23" i="1"/>
  <c r="AC20" i="1"/>
  <c r="AC17" i="1"/>
  <c r="AC16" i="1"/>
  <c r="AC10" i="1"/>
  <c r="AC12" i="1"/>
  <c r="AC13" i="1"/>
  <c r="AC62" i="1"/>
  <c r="AC8" i="1"/>
  <c r="AC14" i="1" s="1"/>
  <c r="AC52" i="1"/>
  <c r="AC39" i="1"/>
  <c r="AC54" i="1" s="1"/>
  <c r="Y58" i="1"/>
  <c r="Y48" i="1"/>
  <c r="Y46" i="1"/>
  <c r="Y45" i="1"/>
  <c r="Y59" i="1"/>
  <c r="Y60" i="1"/>
  <c r="Y61" i="1"/>
  <c r="Y62" i="1"/>
  <c r="Y63" i="1"/>
  <c r="Y57" i="1"/>
  <c r="Y53" i="1"/>
  <c r="Y52" i="1"/>
  <c r="Y51" i="1"/>
  <c r="Y50" i="1"/>
  <c r="Y49" i="1"/>
  <c r="Y47" i="1"/>
  <c r="Y44" i="1"/>
  <c r="Y43" i="1"/>
  <c r="Y42" i="1"/>
  <c r="Y41" i="1"/>
  <c r="Y39" i="1"/>
  <c r="Y37" i="1"/>
  <c r="Y35" i="1"/>
  <c r="Y56" i="1"/>
  <c r="Y65" i="1" s="1"/>
  <c r="Y34" i="1"/>
  <c r="Y33" i="1"/>
  <c r="Y30" i="1"/>
  <c r="Y29" i="1"/>
  <c r="Y22" i="1"/>
  <c r="Y19" i="1"/>
  <c r="Y18" i="1"/>
  <c r="Y17" i="1"/>
  <c r="Y11" i="1"/>
  <c r="Y13" i="1"/>
  <c r="Y64" i="1"/>
  <c r="Y28" i="1"/>
  <c r="Y21" i="1"/>
  <c r="Y9" i="1"/>
  <c r="Y8" i="1"/>
  <c r="Y40" i="1"/>
  <c r="Y38" i="1"/>
  <c r="Y36" i="1"/>
  <c r="Y32" i="1"/>
  <c r="Y31" i="1"/>
  <c r="Y27" i="1"/>
  <c r="Y26" i="1"/>
  <c r="Y25" i="1"/>
  <c r="Y24" i="1"/>
  <c r="Y23" i="1"/>
  <c r="Y20" i="1"/>
  <c r="Y16" i="1"/>
  <c r="Y10" i="1"/>
  <c r="Y12" i="1"/>
  <c r="U28" i="1"/>
  <c r="U27" i="1"/>
  <c r="U48" i="1"/>
  <c r="U58" i="1"/>
  <c r="U61" i="1"/>
  <c r="U57" i="1"/>
  <c r="U46" i="1"/>
  <c r="U62" i="1"/>
  <c r="U63" i="1"/>
  <c r="U64" i="1"/>
  <c r="U41" i="1"/>
  <c r="U39" i="1"/>
  <c r="U45" i="1"/>
  <c r="U38" i="1"/>
  <c r="U37" i="1"/>
  <c r="U34" i="1"/>
  <c r="U21" i="1"/>
  <c r="U20" i="1"/>
  <c r="U17" i="1"/>
  <c r="U9" i="1"/>
  <c r="U12" i="1"/>
  <c r="U13" i="1"/>
  <c r="U8" i="1"/>
  <c r="U56" i="1"/>
  <c r="U52" i="1"/>
  <c r="U51" i="1"/>
  <c r="U31" i="1"/>
  <c r="U11" i="1"/>
  <c r="U44" i="1"/>
  <c r="U30" i="1"/>
  <c r="U25" i="1"/>
  <c r="U60" i="1"/>
  <c r="U10" i="1"/>
  <c r="U36" i="1"/>
  <c r="AB58" i="1"/>
  <c r="AB59" i="1"/>
  <c r="AB60" i="1"/>
  <c r="AB61" i="1"/>
  <c r="AB63" i="1"/>
  <c r="AB64" i="1"/>
  <c r="AB57" i="1"/>
  <c r="AB52" i="1"/>
  <c r="AB50" i="1"/>
  <c r="AB49" i="1"/>
  <c r="AB47" i="1"/>
  <c r="AB46" i="1"/>
  <c r="AB56" i="1"/>
  <c r="AB45" i="1"/>
  <c r="AB41" i="1"/>
  <c r="AB40" i="1"/>
  <c r="AB38" i="1"/>
  <c r="AB37" i="1"/>
  <c r="AB53" i="1"/>
  <c r="AB51" i="1"/>
  <c r="AB48" i="1"/>
  <c r="AB44" i="1"/>
  <c r="AB36" i="1"/>
  <c r="AB35" i="1"/>
  <c r="AB33" i="1"/>
  <c r="AB32" i="1"/>
  <c r="AB31" i="1"/>
  <c r="AB29" i="1"/>
  <c r="AB28" i="1"/>
  <c r="AB27" i="1"/>
  <c r="AB26" i="1"/>
  <c r="AB25" i="1"/>
  <c r="AB24" i="1"/>
  <c r="AB23" i="1"/>
  <c r="AB21" i="1"/>
  <c r="AB20" i="1"/>
  <c r="AB17" i="1"/>
  <c r="AB16" i="1"/>
  <c r="AB9" i="1"/>
  <c r="AB10" i="1"/>
  <c r="AB12" i="1"/>
  <c r="AB13" i="1"/>
  <c r="AB8" i="1"/>
  <c r="AB62" i="1"/>
  <c r="AB43" i="1"/>
  <c r="AB42" i="1"/>
  <c r="AB39" i="1"/>
  <c r="AB30" i="1"/>
  <c r="AB22" i="1"/>
  <c r="AB19" i="1"/>
  <c r="AB34" i="1"/>
  <c r="AB18" i="1"/>
  <c r="AB11" i="1"/>
  <c r="V62" i="1"/>
  <c r="V63" i="1"/>
  <c r="V56" i="1"/>
  <c r="V47" i="1"/>
  <c r="V45" i="1"/>
  <c r="V46" i="1"/>
  <c r="V44" i="1"/>
  <c r="V37" i="1"/>
  <c r="V40" i="1"/>
  <c r="V36" i="1"/>
  <c r="V33" i="1"/>
  <c r="V31" i="1"/>
  <c r="V30" i="1"/>
  <c r="V29" i="1"/>
  <c r="V28" i="1"/>
  <c r="V23" i="1"/>
  <c r="V22" i="1"/>
  <c r="V18" i="1"/>
  <c r="V11" i="1"/>
  <c r="V57" i="1"/>
  <c r="V53" i="1"/>
  <c r="V32" i="1"/>
  <c r="V27" i="1"/>
  <c r="V24" i="1"/>
  <c r="V20" i="1"/>
  <c r="V10" i="1"/>
  <c r="V34" i="1"/>
  <c r="V21" i="1"/>
  <c r="V19" i="1"/>
  <c r="V9" i="1"/>
  <c r="V8" i="1"/>
  <c r="V14" i="1" s="1"/>
  <c r="V12" i="1"/>
  <c r="V26" i="1"/>
  <c r="V49" i="1"/>
  <c r="V60" i="1"/>
  <c r="V38" i="1"/>
  <c r="V50" i="1"/>
  <c r="V59" i="1"/>
  <c r="V16" i="1"/>
  <c r="V39" i="1"/>
  <c r="V48" i="1"/>
  <c r="V61" i="1"/>
  <c r="V58" i="1"/>
  <c r="V17" i="1"/>
  <c r="V43" i="1"/>
  <c r="V52" i="1"/>
  <c r="V35" i="1"/>
  <c r="V41" i="1"/>
  <c r="V64" i="1"/>
  <c r="V13" i="1"/>
  <c r="V25" i="1"/>
  <c r="V42" i="1"/>
  <c r="V51" i="1"/>
  <c r="AA48" i="1"/>
  <c r="AA45" i="1"/>
  <c r="AA64" i="1"/>
  <c r="AA44" i="1"/>
  <c r="AA43" i="1"/>
  <c r="AA42" i="1"/>
  <c r="AA39" i="1"/>
  <c r="AA35" i="1"/>
  <c r="AA58" i="1"/>
  <c r="AA59" i="1"/>
  <c r="AA60" i="1"/>
  <c r="AA61" i="1"/>
  <c r="AA57" i="1"/>
  <c r="AA52" i="1"/>
  <c r="AA50" i="1"/>
  <c r="AA49" i="1"/>
  <c r="AA47" i="1"/>
  <c r="AA40" i="1"/>
  <c r="AA38" i="1"/>
  <c r="AA34" i="1"/>
  <c r="AA30" i="1"/>
  <c r="AA22" i="1"/>
  <c r="AA19" i="1"/>
  <c r="AA18" i="1"/>
  <c r="AA11" i="1"/>
  <c r="AA63" i="1"/>
  <c r="AA32" i="1"/>
  <c r="AA31" i="1"/>
  <c r="AA27" i="1"/>
  <c r="AA26" i="1"/>
  <c r="AA25" i="1"/>
  <c r="AA24" i="1"/>
  <c r="AA23" i="1"/>
  <c r="AA20" i="1"/>
  <c r="AA16" i="1"/>
  <c r="AA10" i="1"/>
  <c r="AA12" i="1"/>
  <c r="AA28" i="1"/>
  <c r="AA21" i="1"/>
  <c r="AA9" i="1"/>
  <c r="AA8" i="1"/>
  <c r="AA33" i="1"/>
  <c r="AA41" i="1"/>
  <c r="AA29" i="1"/>
  <c r="AA46" i="1"/>
  <c r="AA56" i="1"/>
  <c r="AA65" i="1" s="1"/>
  <c r="AA53" i="1"/>
  <c r="AA17" i="1"/>
  <c r="AA37" i="1"/>
  <c r="AA13" i="1"/>
  <c r="AA14" i="1" s="1"/>
  <c r="AA36" i="1"/>
  <c r="AA51" i="1"/>
  <c r="AA54" i="1" s="1"/>
  <c r="AA62" i="1"/>
  <c r="W59" i="1"/>
  <c r="W60" i="1"/>
  <c r="W64" i="1"/>
  <c r="W57" i="1"/>
  <c r="W53" i="1"/>
  <c r="W52" i="1"/>
  <c r="W51" i="1"/>
  <c r="W50" i="1"/>
  <c r="W46" i="1"/>
  <c r="W58" i="1"/>
  <c r="W56" i="1"/>
  <c r="W45" i="1"/>
  <c r="W42" i="1"/>
  <c r="W40" i="1"/>
  <c r="W38" i="1"/>
  <c r="W36" i="1"/>
  <c r="W35" i="1"/>
  <c r="W62" i="1"/>
  <c r="W63" i="1"/>
  <c r="W44" i="1"/>
  <c r="W32" i="1"/>
  <c r="W27" i="1"/>
  <c r="W26" i="1"/>
  <c r="W25" i="1"/>
  <c r="W24" i="1"/>
  <c r="W21" i="1"/>
  <c r="W20" i="1"/>
  <c r="W19" i="1"/>
  <c r="W16" i="1"/>
  <c r="W9" i="1"/>
  <c r="W10" i="1"/>
  <c r="W8" i="1"/>
  <c r="W49" i="1"/>
  <c r="W47" i="1"/>
  <c r="W30" i="1"/>
  <c r="W29" i="1"/>
  <c r="W23" i="1"/>
  <c r="W22" i="1"/>
  <c r="W12" i="1"/>
  <c r="W48" i="1"/>
  <c r="W43" i="1"/>
  <c r="W41" i="1"/>
  <c r="W39" i="1"/>
  <c r="W37" i="1"/>
  <c r="W33" i="1"/>
  <c r="W28" i="1"/>
  <c r="W18" i="1"/>
  <c r="W17" i="1"/>
  <c r="W11" i="1"/>
  <c r="W13" i="1"/>
  <c r="W61" i="1"/>
  <c r="W31" i="1"/>
  <c r="W34" i="1"/>
  <c r="S26" i="1"/>
  <c r="S27" i="1"/>
  <c r="S56" i="1"/>
  <c r="S64" i="1"/>
  <c r="S12" i="1"/>
  <c r="S60" i="1"/>
  <c r="S62" i="1"/>
  <c r="S10" i="1"/>
  <c r="S58" i="1"/>
  <c r="S21" i="1"/>
  <c r="S29" i="1"/>
  <c r="S39" i="1"/>
  <c r="S47" i="1"/>
  <c r="S17" i="1"/>
  <c r="S33" i="1"/>
  <c r="S41" i="1"/>
  <c r="S49" i="1"/>
  <c r="S8" i="1"/>
  <c r="S11" i="1"/>
  <c r="S57" i="1"/>
  <c r="S61" i="1"/>
  <c r="S16" i="1"/>
  <c r="S24" i="1"/>
  <c r="S32" i="1"/>
  <c r="S40" i="1"/>
  <c r="S44" i="1"/>
  <c r="S50" i="1"/>
  <c r="S18" i="1"/>
  <c r="S30" i="1"/>
  <c r="S38" i="1"/>
  <c r="S19" i="1"/>
  <c r="S25" i="1"/>
  <c r="S35" i="1"/>
  <c r="S43" i="1"/>
  <c r="S51" i="1"/>
  <c r="S23" i="1"/>
  <c r="S31" i="1"/>
  <c r="S37" i="1"/>
  <c r="S45" i="1"/>
  <c r="S53" i="1"/>
  <c r="S13" i="1"/>
  <c r="S9" i="1"/>
  <c r="S63" i="1"/>
  <c r="S59" i="1"/>
  <c r="S22" i="1"/>
  <c r="S28" i="1"/>
  <c r="S36" i="1"/>
  <c r="S42" i="1"/>
  <c r="S48" i="1"/>
  <c r="S52" i="1"/>
  <c r="S20" i="1"/>
  <c r="S34" i="1"/>
  <c r="S46" i="1"/>
  <c r="X59" i="1"/>
  <c r="X62" i="1"/>
  <c r="X63" i="1"/>
  <c r="X56" i="1"/>
  <c r="X49" i="1"/>
  <c r="X47" i="1"/>
  <c r="X35" i="1"/>
  <c r="X28" i="1"/>
  <c r="X23" i="1"/>
  <c r="X12" i="1"/>
  <c r="X19" i="1"/>
  <c r="X46" i="1"/>
  <c r="X42" i="1"/>
  <c r="X57" i="1"/>
  <c r="X61" i="1"/>
  <c r="X18" i="1"/>
  <c r="X43" i="1"/>
  <c r="X20" i="1"/>
  <c r="X40" i="1"/>
  <c r="X17" i="1"/>
  <c r="X30" i="1"/>
  <c r="X53" i="1"/>
  <c r="X37" i="1"/>
  <c r="X44" i="1"/>
  <c r="X13" i="1"/>
  <c r="X34" i="1"/>
  <c r="X51" i="1"/>
  <c r="X22" i="1"/>
  <c r="X31" i="1"/>
  <c r="X45" i="1"/>
  <c r="X26" i="1"/>
  <c r="X33" i="1"/>
  <c r="X64" i="1"/>
  <c r="X11" i="1"/>
  <c r="X58" i="1"/>
  <c r="X21" i="1"/>
  <c r="X8" i="1"/>
  <c r="X24" i="1"/>
  <c r="X9" i="1"/>
  <c r="X25" i="1"/>
  <c r="X36" i="1"/>
  <c r="X32" i="1"/>
  <c r="X38" i="1"/>
  <c r="X50" i="1"/>
  <c r="X16" i="1"/>
  <c r="X39" i="1"/>
  <c r="X10" i="1"/>
  <c r="X27" i="1"/>
  <c r="X41" i="1"/>
  <c r="X52" i="1"/>
  <c r="X29" i="1"/>
  <c r="X48" i="1"/>
  <c r="X60" i="1"/>
  <c r="AE60" i="1" s="1"/>
  <c r="AD58" i="1"/>
  <c r="AD59" i="1"/>
  <c r="AD60" i="1"/>
  <c r="AD61" i="1"/>
  <c r="AD63" i="1"/>
  <c r="AD64" i="1"/>
  <c r="AD57" i="1"/>
  <c r="AD49" i="1"/>
  <c r="AD47" i="1"/>
  <c r="AD46" i="1"/>
  <c r="AD53" i="1"/>
  <c r="AD52" i="1"/>
  <c r="AD51" i="1"/>
  <c r="AD48" i="1"/>
  <c r="AD41" i="1"/>
  <c r="AD40" i="1"/>
  <c r="AD39" i="1"/>
  <c r="AD38" i="1"/>
  <c r="AD34" i="1"/>
  <c r="AD43" i="1"/>
  <c r="AD33" i="1"/>
  <c r="AD32" i="1"/>
  <c r="AD31" i="1"/>
  <c r="AD28" i="1"/>
  <c r="AD27" i="1"/>
  <c r="AD25" i="1"/>
  <c r="AD24" i="1"/>
  <c r="AD23" i="1"/>
  <c r="AD21" i="1"/>
  <c r="AD20" i="1"/>
  <c r="AD17" i="1"/>
  <c r="AD16" i="1"/>
  <c r="AD9" i="1"/>
  <c r="AD10" i="1"/>
  <c r="AD12" i="1"/>
  <c r="AD13" i="1"/>
  <c r="AD56" i="1"/>
  <c r="AD36" i="1"/>
  <c r="AD35" i="1"/>
  <c r="AD18" i="1"/>
  <c r="AD11" i="1"/>
  <c r="AD8" i="1"/>
  <c r="AD14" i="1" s="1"/>
  <c r="AD44" i="1"/>
  <c r="AD30" i="1"/>
  <c r="AD62" i="1"/>
  <c r="AD19" i="1"/>
  <c r="AD26" i="1"/>
  <c r="AD37" i="1"/>
  <c r="AD45" i="1"/>
  <c r="AD22" i="1"/>
  <c r="AD29" i="1"/>
  <c r="AD42" i="1"/>
  <c r="AD50" i="1"/>
  <c r="Z59" i="1"/>
  <c r="Z60" i="1"/>
  <c r="Z61" i="1"/>
  <c r="Z62" i="1"/>
  <c r="Z63" i="1"/>
  <c r="Z64" i="1"/>
  <c r="Z57" i="1"/>
  <c r="Z56" i="1"/>
  <c r="Z53" i="1"/>
  <c r="Z52" i="1"/>
  <c r="Z51" i="1"/>
  <c r="Z50" i="1"/>
  <c r="Z49" i="1"/>
  <c r="Z47" i="1"/>
  <c r="Z48" i="1"/>
  <c r="Z46" i="1"/>
  <c r="Z40" i="1"/>
  <c r="Z38" i="1"/>
  <c r="Z36" i="1"/>
  <c r="Z58" i="1"/>
  <c r="Z43" i="1"/>
  <c r="Z42" i="1"/>
  <c r="Z41" i="1"/>
  <c r="Z39" i="1"/>
  <c r="Z37" i="1"/>
  <c r="Z32" i="1"/>
  <c r="Z31" i="1"/>
  <c r="Z28" i="1"/>
  <c r="Z27" i="1"/>
  <c r="Z26" i="1"/>
  <c r="Z25" i="1"/>
  <c r="Z24" i="1"/>
  <c r="Z23" i="1"/>
  <c r="Z21" i="1"/>
  <c r="Z20" i="1"/>
  <c r="Z16" i="1"/>
  <c r="Z9" i="1"/>
  <c r="Z10" i="1"/>
  <c r="Z12" i="1"/>
  <c r="Z8" i="1"/>
  <c r="Z45" i="1"/>
  <c r="Z44" i="1"/>
  <c r="Z34" i="1"/>
  <c r="Z33" i="1"/>
  <c r="Z18" i="1"/>
  <c r="Z17" i="1"/>
  <c r="Z11" i="1"/>
  <c r="Z13" i="1"/>
  <c r="Z35" i="1"/>
  <c r="Z30" i="1"/>
  <c r="Z29" i="1"/>
  <c r="Z22" i="1"/>
  <c r="Z19" i="1"/>
  <c r="T62" i="1"/>
  <c r="T63" i="1"/>
  <c r="T64" i="1"/>
  <c r="T56" i="1"/>
  <c r="T53" i="1"/>
  <c r="T52" i="1"/>
  <c r="T51" i="1"/>
  <c r="T49" i="1"/>
  <c r="T57" i="1"/>
  <c r="T47" i="1"/>
  <c r="T45" i="1"/>
  <c r="T44" i="1"/>
  <c r="T38" i="1"/>
  <c r="T37" i="1"/>
  <c r="T36" i="1"/>
  <c r="T46" i="1"/>
  <c r="T43" i="1"/>
  <c r="T42" i="1"/>
  <c r="T41" i="1"/>
  <c r="T39" i="1"/>
  <c r="T31" i="1"/>
  <c r="T30" i="1"/>
  <c r="T27" i="1"/>
  <c r="T19" i="1"/>
  <c r="T10" i="1"/>
  <c r="T58" i="1"/>
  <c r="T59" i="1"/>
  <c r="T61" i="1"/>
  <c r="T35" i="1"/>
  <c r="T34" i="1"/>
  <c r="T33" i="1"/>
  <c r="T28" i="1"/>
  <c r="T26" i="1"/>
  <c r="T25" i="1"/>
  <c r="T21" i="1"/>
  <c r="T18" i="1"/>
  <c r="T17" i="1"/>
  <c r="T9" i="1"/>
  <c r="T13" i="1"/>
  <c r="T8" i="1"/>
  <c r="T50" i="1"/>
  <c r="T29" i="1"/>
  <c r="T23" i="1"/>
  <c r="T22" i="1"/>
  <c r="T20" i="1"/>
  <c r="T12" i="1"/>
  <c r="T60" i="1"/>
  <c r="T11" i="1"/>
  <c r="T24" i="1"/>
  <c r="T40" i="1"/>
  <c r="T16" i="1"/>
  <c r="T32" i="1"/>
  <c r="T48" i="1"/>
  <c r="T14" i="1" l="1"/>
  <c r="T65" i="1"/>
  <c r="AD54" i="1"/>
  <c r="X54" i="1"/>
  <c r="AE9" i="1"/>
  <c r="X14" i="1"/>
  <c r="AE58" i="1"/>
  <c r="AE34" i="1"/>
  <c r="AE52" i="1"/>
  <c r="AE42" i="1"/>
  <c r="AE28" i="1"/>
  <c r="AE59" i="1"/>
  <c r="AE53" i="1"/>
  <c r="AE23" i="1"/>
  <c r="AE43" i="1"/>
  <c r="AE18" i="1"/>
  <c r="AE44" i="1"/>
  <c r="AE16" i="1"/>
  <c r="S54" i="1"/>
  <c r="S66" i="1" s="1"/>
  <c r="AE8" i="1"/>
  <c r="AE41" i="1"/>
  <c r="AE10" i="1"/>
  <c r="AE64" i="1"/>
  <c r="AE27" i="1"/>
  <c r="W54" i="1"/>
  <c r="W65" i="1"/>
  <c r="AA66" i="1"/>
  <c r="V54" i="1"/>
  <c r="AB54" i="1"/>
  <c r="U65" i="1"/>
  <c r="AC65" i="1"/>
  <c r="AC66" i="1" s="1"/>
  <c r="T54" i="1"/>
  <c r="Z14" i="1"/>
  <c r="Z54" i="1"/>
  <c r="Z65" i="1"/>
  <c r="AD65" i="1"/>
  <c r="AD66" i="1" s="1"/>
  <c r="AE50" i="1"/>
  <c r="AE32" i="1"/>
  <c r="AE33" i="1"/>
  <c r="X65" i="1"/>
  <c r="X66" i="1" s="1"/>
  <c r="AE20" i="1"/>
  <c r="AE48" i="1"/>
  <c r="AE36" i="1"/>
  <c r="AE22" i="1"/>
  <c r="AE63" i="1"/>
  <c r="AE13" i="1"/>
  <c r="AE45" i="1"/>
  <c r="AE31" i="1"/>
  <c r="AE51" i="1"/>
  <c r="AE35" i="1"/>
  <c r="AE19" i="1"/>
  <c r="AE40" i="1"/>
  <c r="AE24" i="1"/>
  <c r="AE61" i="1"/>
  <c r="AE11" i="1"/>
  <c r="AE47" i="1"/>
  <c r="AE29" i="1"/>
  <c r="AE62" i="1"/>
  <c r="AE12" i="1"/>
  <c r="AE56" i="1"/>
  <c r="AE65" i="1" s="1"/>
  <c r="S65" i="1"/>
  <c r="W14" i="1"/>
  <c r="V65" i="1"/>
  <c r="V66" i="1" s="1"/>
  <c r="AE49" i="1"/>
  <c r="AB14" i="1"/>
  <c r="AB65" i="1"/>
  <c r="AB66" i="1" s="1"/>
  <c r="U14" i="1"/>
  <c r="Y54" i="1"/>
  <c r="Y66" i="1" s="1"/>
  <c r="Y14" i="1"/>
  <c r="S14" i="1"/>
  <c r="AE14" i="1"/>
  <c r="Z66" i="1" l="1"/>
  <c r="W66" i="1"/>
  <c r="T66" i="1"/>
  <c r="U54" i="1"/>
  <c r="U66" i="1" s="1"/>
  <c r="U72" i="1" s="1"/>
  <c r="AE26" i="1"/>
  <c r="AE54" i="1" s="1"/>
  <c r="AE66" i="1" s="1"/>
</calcChain>
</file>

<file path=xl/sharedStrings.xml><?xml version="1.0" encoding="utf-8"?>
<sst xmlns="http://schemas.openxmlformats.org/spreadsheetml/2006/main" count="543" uniqueCount="282">
  <si>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</si>
  <si>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</si>
  <si>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</si>
  <si>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</si>
  <si>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</si>
  <si>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</si>
  <si>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</si>
  <si>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</si>
  <si>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</si>
  <si>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</si>
  <si>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</si>
  <si>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P</t>
  </si>
  <si>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</si>
  <si>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</si>
  <si>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</si>
  <si>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</si>
  <si>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</si>
  <si>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</si>
  <si>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</si>
  <si>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</si>
  <si>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</si>
  <si>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</si>
  <si>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</si>
  <si>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</si>
  <si>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</si>
  <si>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</si>
  <si>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</si>
  <si>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</si>
  <si>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</si>
  <si>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</si>
  <si>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</si>
  <si>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</si>
  <si>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</si>
  <si>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</si>
  <si>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</si>
  <si>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</si>
  <si>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</si>
  <si>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</si>
  <si>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</si>
  <si>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</si>
  <si>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</si>
  <si>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</si>
  <si>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</si>
  <si>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</si>
  <si>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</si>
  <si>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</si>
  <si>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</si>
  <si>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</si>
  <si>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</si>
  <si>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</si>
  <si>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</si>
  <si>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</si>
  <si>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</si>
  <si>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</si>
  <si>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</si>
  <si>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</si>
  <si>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</si>
  <si>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</si>
  <si>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</si>
  <si>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</si>
  <si>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</si>
  <si>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</si>
  <si>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</si>
  <si>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</si>
  <si>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</si>
  <si>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</si>
  <si>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</si>
  <si>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</si>
  <si>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</si>
  <si>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</si>
  <si>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</si>
  <si>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</si>
  <si>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</si>
  <si>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</si>
  <si>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</si>
  <si>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Consumi e manutenzioni
di esercizio</t>
  </si>
  <si>
    <t>Personale r.sanitario</t>
  </si>
  <si>
    <t>Personale
 r.profess.</t>
  </si>
  <si>
    <t>Personale
 r. tecnico</t>
  </si>
  <si>
    <t>Personale
 r.ammin.</t>
  </si>
  <si>
    <t>Ammortam.</t>
  </si>
  <si>
    <t>Sopravv./ Insussist.</t>
  </si>
  <si>
    <t>non san.</t>
  </si>
  <si>
    <t>prestazioni
sanitarie</t>
  </si>
  <si>
    <t>Servizi sanitari
per erogazione
di prestazioni</t>
  </si>
  <si>
    <t>servizi non
sanitari</t>
  </si>
  <si>
    <t>A1101</t>
  </si>
  <si>
    <t>All.1 - Oneri sostenuti per formazione del personale</t>
  </si>
  <si>
    <t>A1102</t>
  </si>
  <si>
    <t>All.1 - Oneri sostenuti per sistemi inforamtivi e statistici</t>
  </si>
  <si>
    <t>A1103</t>
  </si>
  <si>
    <t>All.1 - Oneri sostenuti per altri oneri di gestione</t>
  </si>
  <si>
    <t>A1999</t>
  </si>
  <si>
    <t>TOTALE ALLEGATO 1 - ONERI SOSTENUTI</t>
  </si>
  <si>
    <t>tabella allegato 2</t>
  </si>
  <si>
    <t>totale</t>
  </si>
  <si>
    <t>A2101</t>
  </si>
  <si>
    <t>MOBILITA` INTRAREG. PER ASS. SANIT. COLLETTIVA IN AMBIENTE DI VITA E DI LAVORO - ATTIVA</t>
  </si>
  <si>
    <t>A2102 </t>
  </si>
  <si>
    <t>MOBILITA` INTRAREG. PER ASS. SANIT. COLLETTIVA IN AMBIENTE DI VITA E DI LAVORO - PASSIVA</t>
  </si>
  <si>
    <t>A2201</t>
  </si>
  <si>
    <t>ASSISTENZA SANITARIA DI BASE attiva</t>
  </si>
  <si>
    <t>A2202</t>
  </si>
  <si>
    <t>ASSISTENZA SANITARIA DI BASE passiva</t>
  </si>
  <si>
    <t>A2203</t>
  </si>
  <si>
    <t>ASSISTENZA FARMACEUTICA attiva</t>
  </si>
  <si>
    <t>A2204</t>
  </si>
  <si>
    <t>ASSISTENZA FARMACEUTICA passiva</t>
  </si>
  <si>
    <t>A2205</t>
  </si>
  <si>
    <t>ASSISTENZA SPECIALISTICA attiva</t>
  </si>
  <si>
    <t>A2206</t>
  </si>
  <si>
    <t>ASSISTENZA SPECIALISTICA passiva</t>
  </si>
  <si>
    <t>A2207</t>
  </si>
  <si>
    <t>ASSISTENZA TERMALE attiva</t>
  </si>
  <si>
    <t>A2208</t>
  </si>
  <si>
    <t>ASSISTENZA TERMALE passiva</t>
  </si>
  <si>
    <t>A2209</t>
  </si>
  <si>
    <t>TRASPORTI - AMBULANZE ED ELISOCCORSO attiva</t>
  </si>
  <si>
    <t>A2210</t>
  </si>
  <si>
    <t>TRASPORTI - AMBULANZE ED ELISOCCORSO passiva</t>
  </si>
  <si>
    <t>A2211</t>
  </si>
  <si>
    <t>ASSISTENZA TERR AMB E DOM attiva</t>
  </si>
  <si>
    <t>A2212</t>
  </si>
  <si>
    <t>ASSISTENZA TERR AMB E DOM passiva</t>
  </si>
  <si>
    <t>A2213 </t>
  </si>
  <si>
    <t>MOBILITA` INTRAREG. PER ASS. DISTRETTUALE TERR. SEMIRESIDENZIALE - ATTIVA</t>
  </si>
  <si>
    <t>A2214  </t>
  </si>
  <si>
    <t>MOBILITA` INTRAREG. PER ASS. DISTRETTUALE TERR. SEMIRESIDENZIALE - PASSIVA</t>
  </si>
  <si>
    <t>A2215</t>
  </si>
  <si>
    <t>MOBILITA` INTRAREG. PER ASS. DISTRETTUALE TERR. RESIDENZIALE - ATTIVA</t>
  </si>
  <si>
    <t>A2216</t>
  </si>
  <si>
    <t>MOBILITA` INTRAREG. PER ASS. DISTRETTUALE TERR. RESIDENZIALE - PASSIVA</t>
  </si>
  <si>
    <t>A2217 </t>
  </si>
  <si>
    <t>MOBILITA` INTRAREG. PER ASS. DISTRETTUALE PROTESICA - ATTIVA</t>
  </si>
  <si>
    <t>A2218 </t>
  </si>
  <si>
    <t>MOBILITA` INTRAREG. PER ASS. DISTRETTUALE PROTESICA - PASSIVA</t>
  </si>
  <si>
    <t>A2301</t>
  </si>
  <si>
    <t>ASSISTENZA OSPEDALIERA attiva</t>
  </si>
  <si>
    <t>A2302</t>
  </si>
  <si>
    <t>ASSISTENZA OSPEDALIERA passiva</t>
  </si>
  <si>
    <t>tabella allegato 3</t>
  </si>
  <si>
    <t>A3101   </t>
  </si>
  <si>
    <t>MOBILITA` INTERREG. PER ASS. SANIT. COLLETTIVA IN AMBIENTE DI VITA E DI LAVORO - ATTIVA</t>
  </si>
  <si>
    <t>A3102   </t>
  </si>
  <si>
    <t>MOBILITA` INTERREG. PER ASS. SANIT. COLLETTIVA IN AMBIENTE DI VITA E DI LAVORO - PASSIVA</t>
  </si>
  <si>
    <t>A3201</t>
  </si>
  <si>
    <t>A3202</t>
  </si>
  <si>
    <t>A3203</t>
  </si>
  <si>
    <t>A3204</t>
  </si>
  <si>
    <t>A3205</t>
  </si>
  <si>
    <t>A3206</t>
  </si>
  <si>
    <t>A3207</t>
  </si>
  <si>
    <t>A3208</t>
  </si>
  <si>
    <t>A3209</t>
  </si>
  <si>
    <t>A3210</t>
  </si>
  <si>
    <t>A3211</t>
  </si>
  <si>
    <t>A3212</t>
  </si>
  <si>
    <t>A3213   </t>
  </si>
  <si>
    <t>MOBILITA` INTERREG. PER ASS. DISTRETTUALE TERR. SEMIRESIDENZIALE - ATTIVA</t>
  </si>
  <si>
    <t>A3214   </t>
  </si>
  <si>
    <t>MOBILITA` INTERREG. PER ASS. DISTRETTUALE TERR. SEMIRESIDENZIALE - PASSIVA</t>
  </si>
  <si>
    <t>A3215</t>
  </si>
  <si>
    <t>MOBILITA` INTERREG. PER ASS. DISTRETTUALE TERR. RESIDENZIALE - ATTIVA</t>
  </si>
  <si>
    <t>A3216 </t>
  </si>
  <si>
    <t>MOBILITA` INTERREG. PER ASS. DISTRETTUALE TERR. RESIDENZIALE - PASSIVA</t>
  </si>
  <si>
    <t>A3217 </t>
  </si>
  <si>
    <t>MOBILITA` INTERREG. PER ASS. DISTRETTUALE PROTESICA - ATTIVA</t>
  </si>
  <si>
    <t>A3218</t>
  </si>
  <si>
    <t>MOBILITA` INTERREG. PER ASS. DISTRETTUALE PROTESICA - PASSIVA</t>
  </si>
  <si>
    <t>A3301</t>
  </si>
  <si>
    <t>A3302</t>
  </si>
  <si>
    <t>tabella allegato 4</t>
  </si>
  <si>
    <t>A4201</t>
  </si>
  <si>
    <t>ASS. TERRITORIALE, AMBULATORIALE E DOMICILIARE AI TOSSICODIP. INTERNATI O DETENUTI</t>
  </si>
  <si>
    <t>A4202   </t>
  </si>
  <si>
    <t>ASS. TERRITORIALE SEMIRESIDENZIALE AI TOSSICODIPENDENTI INTERNATI O DETENUTI</t>
  </si>
  <si>
    <t>A4203</t>
  </si>
  <si>
    <t>ASS. TERRITORIALE RESIDENZIALE AI TOSSICODIPENDENTI INTERNATI O DETENUTI</t>
  </si>
  <si>
    <t>tabella allegato 5</t>
  </si>
  <si>
    <t>A5001   </t>
  </si>
  <si>
    <t>ALL.5 - CHIRURGIA ESTETICA</t>
  </si>
  <si>
    <t>A5002   </t>
  </si>
  <si>
    <t>ALL.5 - CIRCONCISIONE RITUALE MASCHILE</t>
  </si>
  <si>
    <t>A5003   </t>
  </si>
  <si>
    <t>ALL.5 - MEDICINE NON CONVENZIONALI</t>
  </si>
  <si>
    <t>A5004   </t>
  </si>
  <si>
    <t>ALL.5 - VACC. NON OBBL. PER SOGGIORNI ESTERO</t>
  </si>
  <si>
    <t>A5005   </t>
  </si>
  <si>
    <t>ALL.5 - CERTIFICAZIONI MEDICHE</t>
  </si>
  <si>
    <t>A5006   </t>
  </si>
  <si>
    <t>ALL.5 - MEDICINA FISICA, RIABILITATIVA AMBULATORIALE</t>
  </si>
  <si>
    <t>A5007   </t>
  </si>
  <si>
    <t>ALL.5 - LASERTERAPIA ANTALGICA, ELETTROTERAPIA ANTALGICA, ULTRASUONOTERAPIA, MESOTERAPIA</t>
  </si>
  <si>
    <t>A5108   </t>
  </si>
  <si>
    <t>ALL.5 - ASSEGNO DI CURA</t>
  </si>
  <si>
    <t>A5109   </t>
  </si>
  <si>
    <t>ALL.5 - CONTRIBUTO PRATICA RIABILITATIVA METODO DOMAN</t>
  </si>
  <si>
    <t>A5110   </t>
  </si>
  <si>
    <t>ALL.5 - AUSILI TECNICI NON IN NOMENCLATORE TARIFFARIO, MATERIALE D`USO E DI MEDICAZIONE</t>
  </si>
  <si>
    <t>A5111   </t>
  </si>
  <si>
    <t>ALL.5 - PRODOTTI APROTEICI</t>
  </si>
  <si>
    <t>A5112   </t>
  </si>
  <si>
    <t>ALL.5 - PRESTAZIONI AGGIUNTIVE MMG E PLS PREVISTE DA ACCORDI REGIONALI/AZIENDALI</t>
  </si>
  <si>
    <t>A5113   </t>
  </si>
  <si>
    <t>ALL.5 - FARMACI DI FASCIA C PER PERSONE AFFETTE DA MALATTIE RARE</t>
  </si>
  <si>
    <t>A5114   </t>
  </si>
  <si>
    <t>ALL.5 - RIMBORSI PER SPESE DI VIAGGIO E SOGGIORNO PER CURE</t>
  </si>
  <si>
    <t>A5115   </t>
  </si>
  <si>
    <t>ALL.5 - PRESTAZIONI EX ONIG A INVALIDI DI GUERRA</t>
  </si>
  <si>
    <t>A5199   </t>
  </si>
  <si>
    <t>ALL.5 - ALTRE PRESTAZIONI ESCLUSE DAI LEA - ALTRO</t>
  </si>
  <si>
    <t>A5999   </t>
  </si>
  <si>
    <t>TOTALE ALLEGATO 5 - PRESTAZIONI EVENTUALMENTE EROGATE NON RICONDUCIBILI AI LEA</t>
  </si>
  <si>
    <t>tabella allegato 6</t>
  </si>
  <si>
    <t>A6001   </t>
  </si>
  <si>
    <t>ALL.6 - STRANIERI IRREGOLARI - ATTIVITA` DI PREVENZIONE</t>
  </si>
  <si>
    <t>A6002   </t>
  </si>
  <si>
    <t>ALL.6 - STRANIERI IRREGOLARI - ASSISTENZA DISTRETTUALE</t>
  </si>
  <si>
    <t>A6003</t>
  </si>
  <si>
    <t>STRANIERI IRREGOLARI - ASSISTENZA OSPEDALIERA</t>
  </si>
  <si>
    <t>Mobilità intraregionale ATTIVA</t>
  </si>
  <si>
    <t>Codice LA</t>
  </si>
  <si>
    <t>Totale LA</t>
  </si>
  <si>
    <t>Voce CE</t>
  </si>
  <si>
    <t>Totale CE</t>
  </si>
  <si>
    <t>ASSISTENZA SANITARIA DI BASE</t>
  </si>
  <si>
    <t>AA0390</t>
  </si>
  <si>
    <t>ASSISTENZA FARMACEUTICA</t>
  </si>
  <si>
    <t>AA0380+AA0400</t>
  </si>
  <si>
    <t>ASSISTENZA SPECIALISTICA</t>
  </si>
  <si>
    <t>AA0360</t>
  </si>
  <si>
    <t>ASSISTENZA OSPEDALIERA</t>
  </si>
  <si>
    <t>AA0350</t>
  </si>
  <si>
    <t>ASSISTENZA TERMALE</t>
  </si>
  <si>
    <t>AA0410</t>
  </si>
  <si>
    <t>TRASPORTI - AMBULANZE ED ELISOCCORSO</t>
  </si>
  <si>
    <t>AA0420</t>
  </si>
  <si>
    <t>ALTRO</t>
  </si>
  <si>
    <t>A2101+A2211+A2213+A2215+A2217</t>
  </si>
  <si>
    <t>AA0430+AA0370+EA0060+EA0160</t>
  </si>
  <si>
    <t>Mobilità intraregionale PASSIVA</t>
  </si>
  <si>
    <t>BA0470</t>
  </si>
  <si>
    <t>BA0510+BA0970</t>
  </si>
  <si>
    <t>BA0540</t>
  </si>
  <si>
    <t>BA0810</t>
  </si>
  <si>
    <t>BA1040</t>
  </si>
  <si>
    <t>BA1100</t>
  </si>
  <si>
    <t>A2102+A2212+A2214+A2216+A2218</t>
  </si>
  <si>
    <t>BA1150+BA0650+BA0710+BA0760+BA0910+BA0080+EA0320+EA0470</t>
  </si>
  <si>
    <t>Mobilità interregionale ATTIVA</t>
  </si>
  <si>
    <t>AA0500</t>
  </si>
  <si>
    <t>AA0510+AA0640+AA0490</t>
  </si>
  <si>
    <t>AA0470+AA0630</t>
  </si>
  <si>
    <t>AA0460+AA0620</t>
  </si>
  <si>
    <t>AA0520</t>
  </si>
  <si>
    <t>AA0530</t>
  </si>
  <si>
    <t>A3101+A3211+A3213+A3215+A3217</t>
  </si>
  <si>
    <r>
      <t>AA0540</t>
    </r>
    <r>
      <rPr>
        <b/>
        <sz val="10"/>
        <rFont val="DecimaWE Rg"/>
      </rPr>
      <t>+AA0550+</t>
    </r>
    <r>
      <rPr>
        <b/>
        <sz val="10"/>
        <color indexed="10"/>
        <rFont val="DecimaWE Rg"/>
      </rPr>
      <t>AA0560+AA0650+EA0080+EA0180</t>
    </r>
  </si>
  <si>
    <t>Mobilità interregionale PASSIVA</t>
  </si>
  <si>
    <t>BA0480</t>
  </si>
  <si>
    <t>BA0520+BA0990</t>
  </si>
  <si>
    <t>BA0560</t>
  </si>
  <si>
    <t>BA0830</t>
  </si>
  <si>
    <t>BA1060</t>
  </si>
  <si>
    <t>BA1120</t>
  </si>
  <si>
    <t>A3102+A3212+A3214+A3216+A3218</t>
  </si>
  <si>
    <t>BA0730+BA0780+BA0090+BA1550+EA0360+EA0490</t>
  </si>
  <si>
    <t>CE 2018</t>
  </si>
  <si>
    <t>LP</t>
  </si>
  <si>
    <t>AA0430</t>
  </si>
  <si>
    <t>AA0370</t>
  </si>
  <si>
    <t>EA0060</t>
  </si>
  <si>
    <t>EA0160</t>
  </si>
  <si>
    <t>BA1150</t>
  </si>
  <si>
    <t>BA0650</t>
  </si>
  <si>
    <t>BA0710</t>
  </si>
  <si>
    <t>BA0760</t>
  </si>
  <si>
    <t>BA0910</t>
  </si>
  <si>
    <t>BA0080</t>
  </si>
  <si>
    <t>EA0320</t>
  </si>
  <si>
    <t>EA0470</t>
  </si>
  <si>
    <t>costi totali da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</si>
</sst>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&quot;L.&quot;\ #,##0;[Red]\-&quot;L.&quot;\ #,##0"/>
    <numFmt numFmtId="167" formatCode="_-[$€-2]\ * #,##0.00_-;\-[$€-2]\ * #,##0.00_-;_-[$€-2]\ * &quot;-&quot;??_-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\-??_);_(@_)"/>
    <numFmt numFmtId="171" formatCode="#,###"/>
    <numFmt numFmtId="172" formatCode="_(&quot;$&quot;* #,##0_);_(&quot;$&quot;* \(#,##0\);_(&quot;$&quot;* &quot;-&quot;_);_(@_)"/>
  </numFmts>
  <fonts count="58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DecimaWE Rg"/>
    </font>
    <font>
      <b/>
      <sz val="10"/>
      <name val="DecimaWE Rg"/>
    </font>
    <font>
      <b/>
      <sz val="10"/>
      <color indexed="8"/>
      <name val="DecimaWE Rg"/>
    </font>
    <font>
      <b/>
      <sz val="10"/>
      <color indexed="10"/>
      <name val="DecimaWE Rg"/>
    </font>
    <font>
      <sz val="10"/>
      <color indexed="8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charset val="1"/>
    </font>
    <font>
      <sz val="11"/>
      <color indexed="10"/>
      <name val="Calibri"/>
      <family val="2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charset val="1"/>
    </font>
    <font>
      <b/>
      <sz val="12"/>
      <name val="New Century Schlbk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26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5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3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3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3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3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3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3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1" applyNumberFormat="0" applyAlignment="0" applyProtection="0"/>
    <xf numFmtId="0" fontId="26" fillId="22" borderId="1" applyNumberFormat="0" applyAlignment="0" applyProtection="0"/>
    <xf numFmtId="0" fontId="27" fillId="3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2" applyNumberFormat="0" applyFill="0" applyAlignment="0" applyProtection="0"/>
    <xf numFmtId="0" fontId="30" fillId="23" borderId="4" applyNumberFormat="0" applyAlignment="0" applyProtection="0"/>
    <xf numFmtId="0" fontId="30" fillId="23" borderId="4" applyNumberFormat="0" applyAlignment="0" applyProtection="0"/>
    <xf numFmtId="0" fontId="31" fillId="24" borderId="4" applyNumberFormat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1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31" borderId="0" applyNumberFormat="0" applyBorder="0" applyAlignment="0" applyProtection="0"/>
    <xf numFmtId="38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15" borderId="1" applyNumberFormat="0" applyAlignment="0" applyProtection="0"/>
    <xf numFmtId="0" fontId="33" fillId="15" borderId="1" applyNumberFormat="0" applyAlignment="0" applyProtection="0"/>
    <xf numFmtId="0" fontId="33" fillId="6" borderId="1" applyNumberFormat="0" applyAlignment="0" applyProtection="0"/>
    <xf numFmtId="169" fontId="3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5" fillId="0" borderId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" fillId="0" borderId="0"/>
    <xf numFmtId="0" fontId="1" fillId="0" borderId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35" fillId="8" borderId="5" applyNumberFormat="0" applyAlignment="0" applyProtection="0"/>
    <xf numFmtId="0" fontId="1" fillId="7" borderId="5" applyNumberFormat="0" applyFont="0" applyAlignment="0" applyProtection="0"/>
    <xf numFmtId="0" fontId="38" fillId="22" borderId="6" applyNumberFormat="0" applyAlignment="0" applyProtection="0"/>
    <xf numFmtId="0" fontId="38" fillId="22" borderId="6" applyNumberFormat="0" applyAlignment="0" applyProtection="0"/>
    <xf numFmtId="0" fontId="38" fillId="13" borderId="6" applyNumberFormat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39" fillId="32" borderId="7">
      <alignment vertical="center"/>
    </xf>
    <xf numFmtId="49" fontId="1" fillId="33" borderId="7">
      <alignment vertical="center"/>
    </xf>
    <xf numFmtId="49" fontId="1" fillId="33" borderId="7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0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9" fillId="0" borderId="0">
      <alignment horizontal="left"/>
    </xf>
    <xf numFmtId="171" fontId="49" fillId="0" borderId="0">
      <alignment horizontal="left"/>
    </xf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4" fillId="34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35" borderId="0" applyNumberFormat="0" applyBorder="0" applyAlignment="0" applyProtection="0"/>
    <xf numFmtId="172" fontId="3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/>
    <xf numFmtId="1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Border="1" applyAlignment="1"/>
    <xf numFmtId="0" fontId="2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top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center" vertical="top" wrapText="1"/>
    </xf>
    <xf numFmtId="41" fontId="7" fillId="0" borderId="21" xfId="0" applyNumberFormat="1" applyFont="1" applyFill="1" applyBorder="1" applyAlignment="1">
      <alignment horizontal="justify" vertical="top" wrapText="1"/>
    </xf>
    <xf numFmtId="41" fontId="3" fillId="0" borderId="34" xfId="0" applyNumberFormat="1" applyFont="1" applyFill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/>
    <xf numFmtId="41" fontId="3" fillId="0" borderId="0" xfId="0" applyNumberFormat="1" applyFont="1" applyFill="1"/>
    <xf numFmtId="41" fontId="5" fillId="0" borderId="21" xfId="0" applyNumberFormat="1" applyFont="1" applyFill="1" applyBorder="1" applyAlignment="1">
      <alignment horizontal="center" vertical="top" wrapText="1"/>
    </xf>
    <xf numFmtId="41" fontId="5" fillId="0" borderId="23" xfId="0" applyNumberFormat="1" applyFont="1" applyFill="1" applyBorder="1" applyAlignment="1">
      <alignment horizontal="justify" vertical="top" wrapText="1"/>
    </xf>
    <xf numFmtId="41" fontId="8" fillId="0" borderId="36" xfId="0" applyNumberFormat="1" applyFont="1" applyFill="1" applyBorder="1" applyAlignment="1">
      <alignment horizontal="center" vertical="center" wrapText="1"/>
    </xf>
    <xf numFmtId="41" fontId="8" fillId="0" borderId="24" xfId="0" applyNumberFormat="1" applyFont="1" applyFill="1" applyBorder="1" applyAlignment="1">
      <alignment horizontal="center" vertical="center" wrapText="1"/>
    </xf>
    <xf numFmtId="41" fontId="8" fillId="0" borderId="37" xfId="0" applyNumberFormat="1" applyFont="1" applyFill="1" applyBorder="1" applyAlignment="1">
      <alignment horizontal="center" vertical="center" wrapText="1"/>
    </xf>
    <xf numFmtId="41" fontId="8" fillId="0" borderId="38" xfId="0" applyNumberFormat="1" applyFont="1" applyFill="1" applyBorder="1" applyAlignment="1">
      <alignment horizontal="center" vertical="center" wrapText="1"/>
    </xf>
    <xf numFmtId="41" fontId="5" fillId="0" borderId="17" xfId="0" applyNumberFormat="1" applyFont="1" applyFill="1" applyBorder="1" applyAlignment="1">
      <alignment horizontal="justify" vertical="top" wrapText="1"/>
    </xf>
    <xf numFmtId="41" fontId="6" fillId="0" borderId="32" xfId="0" applyNumberFormat="1" applyFont="1" applyFill="1" applyBorder="1" applyAlignment="1">
      <alignment horizontal="center" vertical="center" wrapText="1"/>
    </xf>
    <xf numFmtId="41" fontId="6" fillId="0" borderId="33" xfId="0" applyNumberFormat="1" applyFont="1" applyFill="1" applyBorder="1" applyAlignment="1">
      <alignment horizontal="center" vertical="center" wrapText="1"/>
    </xf>
    <xf numFmtId="41" fontId="2" fillId="0" borderId="21" xfId="0" applyNumberFormat="1" applyFont="1" applyFill="1" applyBorder="1" applyAlignment="1">
      <alignment horizontal="center" vertical="top" wrapText="1"/>
    </xf>
    <xf numFmtId="41" fontId="3" fillId="0" borderId="39" xfId="0" applyNumberFormat="1" applyFont="1" applyFill="1" applyBorder="1" applyAlignment="1">
      <alignment horizontal="center" vertical="center" wrapText="1"/>
    </xf>
    <xf numFmtId="41" fontId="3" fillId="0" borderId="25" xfId="0" applyNumberFormat="1" applyFont="1" applyFill="1" applyBorder="1" applyAlignment="1">
      <alignment horizontal="center" vertical="center" wrapText="1"/>
    </xf>
    <xf numFmtId="41" fontId="5" fillId="0" borderId="40" xfId="0" applyNumberFormat="1" applyFont="1" applyFill="1" applyBorder="1" applyAlignment="1">
      <alignment horizontal="justify" vertical="top" wrapText="1"/>
    </xf>
    <xf numFmtId="41" fontId="5" fillId="0" borderId="40" xfId="0" applyNumberFormat="1" applyFont="1" applyFill="1" applyBorder="1" applyAlignment="1">
      <alignment horizontal="center" vertical="top" wrapText="1"/>
    </xf>
    <xf numFmtId="41" fontId="5" fillId="0" borderId="41" xfId="0" applyNumberFormat="1" applyFont="1" applyFill="1" applyBorder="1" applyAlignment="1">
      <alignment horizontal="justify" vertical="top" wrapText="1"/>
    </xf>
    <xf numFmtId="41" fontId="8" fillId="0" borderId="42" xfId="0" applyNumberFormat="1" applyFont="1" applyFill="1" applyBorder="1" applyAlignment="1">
      <alignment horizontal="center" vertical="center" wrapText="1"/>
    </xf>
    <xf numFmtId="41" fontId="8" fillId="0" borderId="43" xfId="0" applyNumberFormat="1" applyFont="1" applyFill="1" applyBorder="1" applyAlignment="1">
      <alignment horizontal="center" vertical="center" wrapText="1"/>
    </xf>
    <xf numFmtId="41" fontId="8" fillId="0" borderId="44" xfId="0" applyNumberFormat="1" applyFont="1" applyFill="1" applyBorder="1" applyAlignment="1">
      <alignment horizontal="center" vertical="center" wrapText="1"/>
    </xf>
    <xf numFmtId="41" fontId="8" fillId="0" borderId="45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/>
    <xf numFmtId="41" fontId="3" fillId="0" borderId="0" xfId="0" applyNumberFormat="1" applyFont="1" applyFill="1" applyAlignment="1">
      <alignment horizontal="center" vertical="center"/>
    </xf>
    <xf numFmtId="0" fontId="2" fillId="0" borderId="0" xfId="0" applyFont="1"/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/>
    <xf numFmtId="1" fontId="3" fillId="0" borderId="0" xfId="0" applyNumberFormat="1" applyFont="1"/>
    <xf numFmtId="0" fontId="3" fillId="0" borderId="0" xfId="0" applyFont="1"/>
    <xf numFmtId="41" fontId="9" fillId="0" borderId="21" xfId="0" applyNumberFormat="1" applyFont="1" applyFill="1" applyBorder="1" applyAlignment="1">
      <alignment horizontal="center" vertical="top" wrapText="1"/>
    </xf>
    <xf numFmtId="41" fontId="10" fillId="0" borderId="21" xfId="0" applyNumberFormat="1" applyFont="1" applyFill="1" applyBorder="1" applyAlignment="1">
      <alignment horizontal="center" vertical="top" wrapText="1"/>
    </xf>
    <xf numFmtId="0" fontId="11" fillId="0" borderId="0" xfId="213" applyFont="1"/>
    <xf numFmtId="41" fontId="11" fillId="0" borderId="25" xfId="213" applyNumberFormat="1" applyFont="1" applyFill="1" applyBorder="1" applyAlignment="1">
      <alignment horizontal="center" vertical="center" wrapText="1"/>
    </xf>
    <xf numFmtId="0" fontId="11" fillId="0" borderId="46" xfId="213" applyFont="1" applyBorder="1" applyAlignment="1">
      <alignment vertical="center" wrapText="1"/>
    </xf>
    <xf numFmtId="0" fontId="11" fillId="0" borderId="47" xfId="213" applyFont="1" applyBorder="1" applyAlignment="1">
      <alignment vertical="center" wrapText="1"/>
    </xf>
    <xf numFmtId="43" fontId="11" fillId="0" borderId="48" xfId="160" applyFont="1" applyBorder="1" applyAlignment="1">
      <alignment vertical="center" wrapText="1"/>
    </xf>
    <xf numFmtId="43" fontId="11" fillId="0" borderId="48" xfId="160" applyFont="1" applyFill="1" applyBorder="1" applyAlignment="1">
      <alignment vertical="center" wrapText="1"/>
    </xf>
    <xf numFmtId="0" fontId="11" fillId="0" borderId="0" xfId="213" applyFont="1" applyAlignment="1">
      <alignment vertical="center" wrapText="1"/>
    </xf>
    <xf numFmtId="0" fontId="11" fillId="0" borderId="49" xfId="213" applyFont="1" applyBorder="1" applyAlignment="1">
      <alignment vertical="center" wrapText="1"/>
    </xf>
    <xf numFmtId="0" fontId="11" fillId="0" borderId="50" xfId="213" applyFont="1" applyBorder="1" applyAlignment="1">
      <alignment vertical="center" wrapText="1"/>
    </xf>
    <xf numFmtId="43" fontId="11" fillId="0" borderId="51" xfId="160" applyFont="1" applyBorder="1" applyAlignment="1">
      <alignment vertical="center" wrapText="1"/>
    </xf>
    <xf numFmtId="0" fontId="11" fillId="0" borderId="25" xfId="213" applyFont="1" applyBorder="1" applyAlignment="1">
      <alignment vertical="center" wrapText="1"/>
    </xf>
    <xf numFmtId="43" fontId="11" fillId="0" borderId="25" xfId="160" applyFont="1" applyBorder="1" applyAlignment="1">
      <alignment vertical="center" wrapText="1"/>
    </xf>
    <xf numFmtId="4" fontId="11" fillId="0" borderId="0" xfId="213" applyNumberFormat="1" applyFont="1"/>
    <xf numFmtId="0" fontId="8" fillId="0" borderId="25" xfId="227" applyFont="1" applyBorder="1"/>
    <xf numFmtId="0" fontId="1" fillId="0" borderId="25" xfId="227" applyBorder="1"/>
    <xf numFmtId="0" fontId="12" fillId="0" borderId="25" xfId="227" applyFont="1" applyFill="1" applyBorder="1" applyAlignment="1">
      <alignment horizontal="center" vertical="top" wrapText="1"/>
    </xf>
    <xf numFmtId="0" fontId="1" fillId="0" borderId="0" xfId="227"/>
    <xf numFmtId="0" fontId="13" fillId="0" borderId="25" xfId="227" applyFont="1" applyFill="1" applyBorder="1" applyAlignment="1">
      <alignment horizontal="center" vertical="top"/>
    </xf>
    <xf numFmtId="0" fontId="14" fillId="0" borderId="25" xfId="227" applyFont="1" applyBorder="1" applyAlignment="1">
      <alignment horizontal="justify" vertical="top"/>
    </xf>
    <xf numFmtId="164" fontId="16" fillId="0" borderId="25" xfId="188" applyNumberFormat="1" applyFont="1" applyFill="1" applyBorder="1" applyAlignment="1">
      <alignment vertical="center"/>
    </xf>
    <xf numFmtId="0" fontId="7" fillId="0" borderId="25" xfId="227" applyFont="1" applyBorder="1" applyAlignment="1">
      <alignment horizontal="justify" vertical="top"/>
    </xf>
    <xf numFmtId="0" fontId="17" fillId="0" borderId="0" xfId="227" applyFont="1"/>
    <xf numFmtId="0" fontId="3" fillId="0" borderId="0" xfId="227" applyFont="1"/>
    <xf numFmtId="164" fontId="16" fillId="0" borderId="0" xfId="188" applyNumberFormat="1" applyFont="1" applyFill="1" applyAlignment="1">
      <alignment vertical="center"/>
    </xf>
    <xf numFmtId="0" fontId="1" fillId="0" borderId="0" xfId="227" applyFill="1"/>
    <xf numFmtId="0" fontId="18" fillId="0" borderId="0" xfId="228" applyFont="1" applyAlignment="1">
      <alignment horizontal="left" vertical="center" wrapText="1"/>
    </xf>
    <xf numFmtId="0" fontId="1" fillId="0" borderId="0" xfId="228"/>
    <xf numFmtId="0" fontId="18" fillId="0" borderId="0" xfId="228" applyFont="1"/>
    <xf numFmtId="0" fontId="18" fillId="0" borderId="0" xfId="228" applyFont="1" applyFill="1" applyBorder="1" applyAlignment="1">
      <alignment horizontal="left" vertical="center" wrapText="1"/>
    </xf>
    <xf numFmtId="0" fontId="18" fillId="0" borderId="0" xfId="228" applyFont="1" applyAlignment="1">
      <alignment horizontal="center"/>
    </xf>
    <xf numFmtId="0" fontId="19" fillId="36" borderId="52" xfId="228" applyFont="1" applyFill="1" applyBorder="1" applyAlignment="1">
      <alignment horizontal="center" vertical="center" wrapText="1"/>
    </xf>
    <xf numFmtId="0" fontId="20" fillId="37" borderId="41" xfId="228" applyFont="1" applyFill="1" applyBorder="1" applyAlignment="1">
      <alignment horizontal="center" vertical="center" wrapText="1"/>
    </xf>
    <xf numFmtId="0" fontId="20" fillId="37" borderId="45" xfId="228" applyFont="1" applyFill="1" applyBorder="1" applyAlignment="1">
      <alignment horizontal="center" vertical="center" wrapText="1"/>
    </xf>
    <xf numFmtId="0" fontId="20" fillId="0" borderId="0" xfId="228" applyFont="1" applyFill="1" applyBorder="1" applyAlignment="1">
      <alignment horizontal="center" vertical="center" wrapText="1"/>
    </xf>
    <xf numFmtId="0" fontId="20" fillId="38" borderId="42" xfId="228" applyFont="1" applyFill="1" applyBorder="1" applyAlignment="1">
      <alignment horizontal="center" vertical="center" wrapText="1"/>
    </xf>
    <xf numFmtId="0" fontId="20" fillId="38" borderId="52" xfId="228" applyFont="1" applyFill="1" applyBorder="1" applyAlignment="1">
      <alignment horizontal="center" vertical="center" wrapText="1"/>
    </xf>
    <xf numFmtId="0" fontId="18" fillId="0" borderId="53" xfId="228" applyFont="1" applyBorder="1" applyAlignment="1">
      <alignment horizontal="left" vertical="center" wrapText="1"/>
    </xf>
    <xf numFmtId="0" fontId="18" fillId="0" borderId="54" xfId="228" applyFont="1" applyBorder="1" applyAlignment="1">
      <alignment horizontal="center" vertical="center" wrapText="1"/>
    </xf>
    <xf numFmtId="164" fontId="18" fillId="0" borderId="55" xfId="188" applyNumberFormat="1" applyFont="1" applyBorder="1" applyAlignment="1">
      <alignment horizontal="left" vertical="center" wrapText="1"/>
    </xf>
    <xf numFmtId="0" fontId="18" fillId="0" borderId="56" xfId="228" applyFont="1" applyBorder="1" applyAlignment="1">
      <alignment horizontal="center" vertical="center" wrapText="1"/>
    </xf>
    <xf numFmtId="0" fontId="18" fillId="0" borderId="57" xfId="228" applyFont="1" applyBorder="1" applyAlignment="1">
      <alignment horizontal="center" vertical="center" wrapText="1"/>
    </xf>
    <xf numFmtId="0" fontId="18" fillId="0" borderId="58" xfId="228" applyFont="1" applyBorder="1" applyAlignment="1">
      <alignment horizontal="left" vertical="center" wrapText="1"/>
    </xf>
    <xf numFmtId="0" fontId="18" fillId="0" borderId="59" xfId="228" applyFont="1" applyBorder="1" applyAlignment="1">
      <alignment horizontal="center" vertical="center" wrapText="1"/>
    </xf>
    <xf numFmtId="164" fontId="18" fillId="0" borderId="60" xfId="188" applyNumberFormat="1" applyFont="1" applyFill="1" applyBorder="1" applyAlignment="1">
      <alignment horizontal="left" vertical="center" wrapText="1"/>
    </xf>
    <xf numFmtId="0" fontId="18" fillId="0" borderId="61" xfId="228" applyFont="1" applyBorder="1" applyAlignment="1">
      <alignment horizontal="center" vertical="center" wrapText="1"/>
    </xf>
    <xf numFmtId="164" fontId="18" fillId="0" borderId="62" xfId="188" applyNumberFormat="1" applyFont="1" applyFill="1" applyBorder="1" applyAlignment="1">
      <alignment horizontal="center" vertical="center" wrapText="1"/>
    </xf>
    <xf numFmtId="0" fontId="18" fillId="0" borderId="63" xfId="228" applyFont="1" applyBorder="1" applyAlignment="1">
      <alignment horizontal="left" vertical="center" wrapText="1"/>
    </xf>
    <xf numFmtId="0" fontId="18" fillId="0" borderId="64" xfId="228" applyFont="1" applyBorder="1" applyAlignment="1">
      <alignment horizontal="center" vertical="center" wrapText="1"/>
    </xf>
    <xf numFmtId="164" fontId="18" fillId="0" borderId="65" xfId="188" applyNumberFormat="1" applyFont="1" applyFill="1" applyBorder="1" applyAlignment="1">
      <alignment horizontal="left" vertical="center" wrapText="1"/>
    </xf>
    <xf numFmtId="0" fontId="21" fillId="0" borderId="61" xfId="228" applyFont="1" applyBorder="1" applyAlignment="1">
      <alignment horizontal="center" vertical="center" wrapText="1"/>
    </xf>
    <xf numFmtId="0" fontId="19" fillId="0" borderId="41" xfId="228" applyFont="1" applyBorder="1" applyAlignment="1">
      <alignment horizontal="right" vertical="center" wrapText="1"/>
    </xf>
    <xf numFmtId="164" fontId="18" fillId="0" borderId="45" xfId="228" applyNumberFormat="1" applyFont="1" applyBorder="1" applyAlignment="1">
      <alignment horizontal="left" vertical="center" wrapText="1"/>
    </xf>
    <xf numFmtId="0" fontId="18" fillId="0" borderId="42" xfId="228" applyFont="1" applyBorder="1" applyAlignment="1">
      <alignment horizontal="center" vertical="center" wrapText="1"/>
    </xf>
    <xf numFmtId="0" fontId="18" fillId="0" borderId="0" xfId="228" applyFont="1" applyAlignment="1">
      <alignment horizontal="center" vertical="center" wrapText="1"/>
    </xf>
    <xf numFmtId="0" fontId="18" fillId="0" borderId="66" xfId="228" applyFont="1" applyBorder="1" applyAlignment="1">
      <alignment horizontal="center" vertical="center" wrapText="1"/>
    </xf>
    <xf numFmtId="0" fontId="20" fillId="37" borderId="52" xfId="228" applyFont="1" applyFill="1" applyBorder="1" applyAlignment="1">
      <alignment horizontal="center" vertical="center" wrapText="1"/>
    </xf>
    <xf numFmtId="0" fontId="19" fillId="0" borderId="0" xfId="228" applyFont="1" applyFill="1" applyBorder="1" applyAlignment="1">
      <alignment horizontal="center" vertical="center" wrapText="1"/>
    </xf>
    <xf numFmtId="0" fontId="18" fillId="0" borderId="67" xfId="228" applyFont="1" applyBorder="1" applyAlignment="1">
      <alignment horizontal="left" vertical="center" wrapText="1"/>
    </xf>
    <xf numFmtId="0" fontId="18" fillId="0" borderId="68" xfId="228" applyFont="1" applyBorder="1" applyAlignment="1">
      <alignment horizontal="center" vertical="center" wrapText="1"/>
    </xf>
    <xf numFmtId="164" fontId="18" fillId="0" borderId="57" xfId="188" applyNumberFormat="1" applyFont="1" applyBorder="1" applyAlignment="1">
      <alignment horizontal="left" vertical="center" wrapText="1"/>
    </xf>
    <xf numFmtId="164" fontId="18" fillId="0" borderId="57" xfId="188" applyNumberFormat="1" applyFont="1" applyBorder="1" applyAlignment="1">
      <alignment horizontal="center" vertical="center" wrapText="1"/>
    </xf>
    <xf numFmtId="0" fontId="18" fillId="0" borderId="69" xfId="228" applyFont="1" applyBorder="1" applyAlignment="1">
      <alignment horizontal="center" vertical="center" wrapText="1"/>
    </xf>
    <xf numFmtId="164" fontId="18" fillId="0" borderId="62" xfId="188" applyNumberFormat="1" applyFont="1" applyBorder="1" applyAlignment="1">
      <alignment horizontal="left" vertical="center" wrapText="1"/>
    </xf>
    <xf numFmtId="164" fontId="18" fillId="0" borderId="62" xfId="188" applyNumberFormat="1" applyFont="1" applyBorder="1" applyAlignment="1">
      <alignment horizontal="center" vertical="center" wrapText="1"/>
    </xf>
    <xf numFmtId="0" fontId="18" fillId="0" borderId="70" xfId="228" applyFont="1" applyBorder="1" applyAlignment="1">
      <alignment horizontal="center" vertical="center" wrapText="1"/>
    </xf>
    <xf numFmtId="164" fontId="18" fillId="0" borderId="71" xfId="188" applyNumberFormat="1" applyFont="1" applyBorder="1" applyAlignment="1">
      <alignment horizontal="left" vertical="center" wrapText="1"/>
    </xf>
    <xf numFmtId="0" fontId="18" fillId="0" borderId="72" xfId="228" applyFont="1" applyBorder="1" applyAlignment="1">
      <alignment horizontal="center" vertical="center" wrapText="1"/>
    </xf>
    <xf numFmtId="164" fontId="18" fillId="0" borderId="71" xfId="188" applyNumberFormat="1" applyFont="1" applyBorder="1" applyAlignment="1">
      <alignment horizontal="center" vertical="center" wrapText="1"/>
    </xf>
    <xf numFmtId="0" fontId="19" fillId="0" borderId="52" xfId="228" applyFont="1" applyBorder="1" applyAlignment="1">
      <alignment horizontal="right" vertical="center" wrapText="1"/>
    </xf>
    <xf numFmtId="164" fontId="18" fillId="0" borderId="52" xfId="228" applyNumberFormat="1" applyFont="1" applyBorder="1" applyAlignment="1">
      <alignment horizontal="left" vertical="center" wrapText="1"/>
    </xf>
    <xf numFmtId="0" fontId="18" fillId="0" borderId="0" xfId="228" applyFont="1" applyFill="1" applyBorder="1"/>
    <xf numFmtId="0" fontId="22" fillId="0" borderId="0" xfId="226" applyFont="1" applyAlignment="1">
      <alignment horizontal="left" vertical="center" wrapText="1"/>
    </xf>
    <xf numFmtId="0" fontId="22" fillId="0" borderId="0" xfId="226" applyFont="1" applyFill="1" applyBorder="1" applyAlignment="1">
      <alignment horizontal="left" vertical="center" wrapText="1"/>
    </xf>
    <xf numFmtId="0" fontId="22" fillId="0" borderId="0" xfId="226" applyFont="1"/>
    <xf numFmtId="0" fontId="22" fillId="0" borderId="0" xfId="226" applyFont="1" applyFill="1" applyBorder="1"/>
    <xf numFmtId="0" fontId="22" fillId="0" borderId="0" xfId="226" applyFont="1" applyAlignment="1">
      <alignment wrapText="1"/>
    </xf>
    <xf numFmtId="0" fontId="22" fillId="36" borderId="52" xfId="226" applyFont="1" applyFill="1" applyBorder="1" applyAlignment="1">
      <alignment horizontal="center" vertical="center" wrapText="1"/>
    </xf>
    <xf numFmtId="0" fontId="22" fillId="0" borderId="0" xfId="226" applyFont="1" applyFill="1" applyBorder="1" applyAlignment="1">
      <alignment horizontal="center" vertical="center" wrapText="1"/>
    </xf>
    <xf numFmtId="0" fontId="20" fillId="37" borderId="41" xfId="226" applyFont="1" applyFill="1" applyBorder="1" applyAlignment="1">
      <alignment horizontal="center" vertical="center" wrapText="1"/>
    </xf>
    <xf numFmtId="0" fontId="20" fillId="0" borderId="0" xfId="226" applyFont="1" applyFill="1" applyBorder="1" applyAlignment="1">
      <alignment horizontal="center" vertical="center" wrapText="1"/>
    </xf>
    <xf numFmtId="0" fontId="22" fillId="0" borderId="53" xfId="226" applyFont="1" applyBorder="1" applyAlignment="1">
      <alignment horizontal="left" vertical="center" wrapText="1"/>
    </xf>
    <xf numFmtId="0" fontId="22" fillId="0" borderId="54" xfId="226" applyFont="1" applyBorder="1" applyAlignment="1">
      <alignment horizontal="center" vertical="center" wrapText="1"/>
    </xf>
    <xf numFmtId="0" fontId="22" fillId="0" borderId="56" xfId="226" applyFont="1" applyBorder="1" applyAlignment="1">
      <alignment horizontal="center" vertical="center" wrapText="1"/>
    </xf>
    <xf numFmtId="0" fontId="22" fillId="0" borderId="58" xfId="226" applyFont="1" applyBorder="1" applyAlignment="1">
      <alignment horizontal="left" vertical="center" wrapText="1"/>
    </xf>
    <xf numFmtId="0" fontId="22" fillId="0" borderId="59" xfId="226" applyFont="1" applyBorder="1" applyAlignment="1">
      <alignment horizontal="center" vertical="center" wrapText="1"/>
    </xf>
    <xf numFmtId="164" fontId="18" fillId="0" borderId="60" xfId="188" applyNumberFormat="1" applyFont="1" applyBorder="1" applyAlignment="1">
      <alignment horizontal="left" vertical="center" wrapText="1"/>
    </xf>
    <xf numFmtId="0" fontId="18" fillId="0" borderId="61" xfId="226" applyFont="1" applyBorder="1" applyAlignment="1">
      <alignment horizontal="center" vertical="center" wrapText="1"/>
    </xf>
    <xf numFmtId="164" fontId="22" fillId="0" borderId="62" xfId="188" applyNumberFormat="1" applyFont="1" applyBorder="1"/>
    <xf numFmtId="0" fontId="22" fillId="0" borderId="61" xfId="226" applyFont="1" applyBorder="1" applyAlignment="1">
      <alignment horizontal="center" vertical="center" wrapText="1"/>
    </xf>
    <xf numFmtId="0" fontId="22" fillId="0" borderId="62" xfId="226" applyFont="1" applyBorder="1"/>
    <xf numFmtId="0" fontId="22" fillId="0" borderId="63" xfId="226" applyFont="1" applyBorder="1" applyAlignment="1">
      <alignment horizontal="left" vertical="center" wrapText="1"/>
    </xf>
    <xf numFmtId="0" fontId="22" fillId="0" borderId="64" xfId="226" applyFont="1" applyBorder="1" applyAlignment="1">
      <alignment horizontal="center" vertical="center" wrapText="1"/>
    </xf>
    <xf numFmtId="164" fontId="18" fillId="0" borderId="65" xfId="188" applyNumberFormat="1" applyFont="1" applyBorder="1" applyAlignment="1">
      <alignment horizontal="left" vertical="center" wrapText="1"/>
    </xf>
    <xf numFmtId="0" fontId="21" fillId="0" borderId="72" xfId="226" applyFont="1" applyBorder="1" applyAlignment="1">
      <alignment horizontal="center" vertical="center" wrapText="1"/>
    </xf>
    <xf numFmtId="164" fontId="22" fillId="0" borderId="33" xfId="188" applyNumberFormat="1" applyFont="1" applyBorder="1"/>
    <xf numFmtId="0" fontId="22" fillId="0" borderId="42" xfId="226" applyFont="1" applyBorder="1" applyAlignment="1">
      <alignment horizontal="center" vertical="center" wrapText="1"/>
    </xf>
    <xf numFmtId="0" fontId="22" fillId="0" borderId="0" xfId="226" applyFont="1" applyAlignment="1">
      <alignment horizontal="center" vertical="center" wrapText="1"/>
    </xf>
    <xf numFmtId="0" fontId="22" fillId="0" borderId="66" xfId="226" applyFont="1" applyBorder="1" applyAlignment="1">
      <alignment horizontal="center" vertical="center" wrapText="1"/>
    </xf>
    <xf numFmtId="0" fontId="20" fillId="37" borderId="52" xfId="226" applyFont="1" applyFill="1" applyBorder="1" applyAlignment="1">
      <alignment horizontal="center" vertical="center" wrapText="1"/>
    </xf>
    <xf numFmtId="0" fontId="22" fillId="0" borderId="67" xfId="226" applyFont="1" applyBorder="1" applyAlignment="1">
      <alignment horizontal="left" vertical="center" wrapText="1"/>
    </xf>
    <xf numFmtId="0" fontId="22" fillId="0" borderId="68" xfId="226" applyFont="1" applyBorder="1" applyAlignment="1">
      <alignment horizontal="center" vertical="center" wrapText="1"/>
    </xf>
    <xf numFmtId="0" fontId="22" fillId="0" borderId="69" xfId="226" applyFont="1" applyBorder="1" applyAlignment="1">
      <alignment horizontal="center" vertical="center" wrapText="1"/>
    </xf>
    <xf numFmtId="0" fontId="22" fillId="0" borderId="70" xfId="226" applyFont="1" applyBorder="1" applyAlignment="1">
      <alignment horizontal="center" vertical="center" wrapText="1"/>
    </xf>
    <xf numFmtId="0" fontId="22" fillId="0" borderId="72" xfId="226" applyFont="1" applyBorder="1" applyAlignment="1">
      <alignment horizontal="center" vertical="center" wrapText="1"/>
    </xf>
    <xf numFmtId="43" fontId="11" fillId="0" borderId="80" xfId="160" applyFont="1" applyFill="1" applyBorder="1" applyAlignment="1">
      <alignment vertical="center" wrapText="1"/>
    </xf>
    <xf numFmtId="43" fontId="11" fillId="0" borderId="25" xfId="160" applyFont="1" applyFill="1" applyBorder="1" applyAlignment="1">
      <alignment vertical="center" wrapText="1"/>
    </xf>
    <xf numFmtId="43" fontId="11" fillId="0" borderId="0" xfId="213" applyNumberFormat="1" applyFont="1" applyFill="1"/>
    <xf numFmtId="0" fontId="11" fillId="0" borderId="0" xfId="213" applyFont="1" applyFill="1"/>
    <xf numFmtId="41" fontId="5" fillId="0" borderId="22" xfId="0" applyNumberFormat="1" applyFont="1" applyFill="1" applyBorder="1" applyAlignment="1">
      <alignment horizontal="justify" vertical="top" wrapText="1"/>
    </xf>
    <xf numFmtId="41" fontId="5" fillId="0" borderId="30" xfId="0" applyNumberFormat="1" applyFont="1" applyFill="1" applyBorder="1" applyAlignment="1">
      <alignment horizontal="justify" vertical="top" wrapText="1"/>
    </xf>
    <xf numFmtId="41" fontId="9" fillId="0" borderId="21" xfId="0" applyNumberFormat="1" applyFont="1" applyFill="1" applyBorder="1" applyAlignment="1">
      <alignment horizontal="left" vertical="top" wrapText="1"/>
    </xf>
    <xf numFmtId="41" fontId="9" fillId="0" borderId="21" xfId="0" applyNumberFormat="1" applyFont="1" applyFill="1" applyBorder="1" applyAlignment="1">
      <alignment horizontal="justify" vertical="top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26" xfId="0" applyNumberFormat="1" applyFont="1" applyFill="1" applyBorder="1" applyAlignment="1">
      <alignment horizontal="center" vertical="center" wrapText="1"/>
    </xf>
    <xf numFmtId="41" fontId="8" fillId="0" borderId="81" xfId="0" applyNumberFormat="1" applyFont="1" applyFill="1" applyBorder="1" applyAlignment="1">
      <alignment horizontal="center" vertical="center" wrapText="1"/>
    </xf>
    <xf numFmtId="41" fontId="8" fillId="0" borderId="27" xfId="0" applyNumberFormat="1" applyFont="1" applyFill="1" applyBorder="1" applyAlignment="1">
      <alignment horizontal="center" vertical="center" wrapText="1"/>
    </xf>
    <xf numFmtId="41" fontId="3" fillId="0" borderId="74" xfId="0" applyNumberFormat="1" applyFont="1" applyFill="1" applyBorder="1" applyAlignment="1">
      <alignment horizontal="center" vertical="center" wrapText="1"/>
    </xf>
    <xf numFmtId="41" fontId="3" fillId="0" borderId="82" xfId="0" applyNumberFormat="1" applyFont="1" applyFill="1" applyBorder="1" applyAlignment="1">
      <alignment horizontal="center" vertical="center" wrapText="1"/>
    </xf>
    <xf numFmtId="41" fontId="3" fillId="0" borderId="83" xfId="0" applyNumberFormat="1" applyFont="1" applyFill="1" applyBorder="1" applyAlignment="1">
      <alignment horizontal="center" vertical="center" wrapText="1"/>
    </xf>
    <xf numFmtId="41" fontId="3" fillId="0" borderId="84" xfId="0" applyNumberFormat="1" applyFont="1" applyFill="1" applyBorder="1" applyAlignment="1">
      <alignment horizontal="center" vertical="center" wrapText="1"/>
    </xf>
    <xf numFmtId="41" fontId="3" fillId="0" borderId="31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justify" vertical="top" wrapText="1"/>
    </xf>
    <xf numFmtId="41" fontId="3" fillId="0" borderId="78" xfId="0" applyNumberFormat="1" applyFont="1" applyFill="1" applyBorder="1" applyAlignment="1">
      <alignment horizontal="center" vertical="center" wrapText="1"/>
    </xf>
    <xf numFmtId="41" fontId="7" fillId="0" borderId="86" xfId="0" applyNumberFormat="1" applyFont="1" applyFill="1" applyBorder="1" applyAlignment="1">
      <alignment horizontal="justify" vertical="top" wrapText="1"/>
    </xf>
    <xf numFmtId="41" fontId="6" fillId="0" borderId="87" xfId="0" applyNumberFormat="1" applyFont="1" applyFill="1" applyBorder="1" applyAlignment="1">
      <alignment horizontal="center" vertical="center" wrapText="1"/>
    </xf>
    <xf numFmtId="41" fontId="6" fillId="0" borderId="88" xfId="0" applyNumberFormat="1" applyFont="1" applyFill="1" applyBorder="1" applyAlignment="1">
      <alignment horizontal="center" vertical="center" wrapText="1"/>
    </xf>
    <xf numFmtId="41" fontId="8" fillId="0" borderId="35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30" xfId="0" applyNumberFormat="1" applyFont="1" applyFill="1" applyBorder="1" applyAlignment="1">
      <alignment horizontal="center" vertical="center" wrapText="1"/>
    </xf>
    <xf numFmtId="41" fontId="3" fillId="0" borderId="89" xfId="0" applyNumberFormat="1" applyFont="1" applyFill="1" applyBorder="1" applyAlignment="1">
      <alignment horizontal="center" vertical="center" wrapText="1"/>
    </xf>
    <xf numFmtId="164" fontId="3" fillId="0" borderId="0" xfId="284" applyNumberFormat="1" applyFont="1" applyFill="1"/>
    <xf numFmtId="164" fontId="3" fillId="0" borderId="0" xfId="0" applyNumberFormat="1" applyFont="1" applyFill="1"/>
    <xf numFmtId="43" fontId="18" fillId="0" borderId="0" xfId="284" applyFont="1" applyAlignment="1">
      <alignment horizontal="left" wrapText="1"/>
    </xf>
    <xf numFmtId="43" fontId="18" fillId="0" borderId="0" xfId="284" applyFont="1"/>
    <xf numFmtId="43" fontId="22" fillId="0" borderId="57" xfId="284" applyFont="1" applyBorder="1"/>
    <xf numFmtId="43" fontId="22" fillId="0" borderId="0" xfId="284" applyFont="1"/>
    <xf numFmtId="164" fontId="22" fillId="0" borderId="73" xfId="284" applyNumberFormat="1" applyFont="1" applyBorder="1"/>
    <xf numFmtId="164" fontId="22" fillId="0" borderId="62" xfId="284" applyNumberFormat="1" applyFont="1" applyBorder="1"/>
    <xf numFmtId="164" fontId="16" fillId="39" borderId="25" xfId="188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justify" vertical="top" wrapText="1"/>
    </xf>
    <xf numFmtId="41" fontId="3" fillId="0" borderId="90" xfId="0" applyNumberFormat="1" applyFont="1" applyFill="1" applyBorder="1" applyAlignment="1">
      <alignment horizontal="center" vertical="center" wrapText="1"/>
    </xf>
    <xf numFmtId="41" fontId="3" fillId="0" borderId="77" xfId="0" applyNumberFormat="1" applyFont="1" applyFill="1" applyBorder="1" applyAlignment="1">
      <alignment horizontal="center" vertical="center" wrapText="1"/>
    </xf>
    <xf numFmtId="41" fontId="3" fillId="0" borderId="79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74" xfId="0" applyNumberFormat="1" applyFont="1" applyFill="1" applyBorder="1" applyAlignment="1">
      <alignment horizontal="center" vertical="center" wrapText="1"/>
    </xf>
    <xf numFmtId="4" fontId="6" fillId="0" borderId="75" xfId="0" applyNumberFormat="1" applyFont="1" applyFill="1" applyBorder="1" applyAlignment="1">
      <alignment horizontal="center" vertical="center" wrapText="1"/>
    </xf>
    <xf numFmtId="4" fontId="6" fillId="0" borderId="76" xfId="0" applyNumberFormat="1" applyFont="1" applyFill="1" applyBorder="1" applyAlignment="1">
      <alignment horizontal="center" vertical="center" wrapText="1"/>
    </xf>
    <xf numFmtId="0" fontId="11" fillId="0" borderId="25" xfId="213" applyFont="1" applyFill="1" applyBorder="1" applyAlignment="1">
      <alignment horizontal="center" vertical="center" wrapText="1"/>
    </xf>
    <xf numFmtId="41" fontId="11" fillId="0" borderId="77" xfId="213" applyNumberFormat="1" applyFont="1" applyFill="1" applyBorder="1" applyAlignment="1">
      <alignment horizontal="center" vertical="center" wrapText="1"/>
    </xf>
    <xf numFmtId="41" fontId="11" fillId="0" borderId="78" xfId="213" applyNumberFormat="1" applyFont="1" applyBorder="1" applyAlignment="1">
      <alignment horizontal="center" vertical="center" wrapText="1"/>
    </xf>
    <xf numFmtId="41" fontId="11" fillId="0" borderId="79" xfId="213" applyNumberFormat="1" applyFont="1" applyFill="1" applyBorder="1" applyAlignment="1">
      <alignment horizontal="center" vertical="center" wrapText="1"/>
    </xf>
    <xf numFmtId="41" fontId="11" fillId="0" borderId="78" xfId="213" applyNumberFormat="1" applyFont="1" applyFill="1" applyBorder="1" applyAlignment="1">
      <alignment horizontal="center" vertical="center" wrapText="1"/>
    </xf>
    <xf numFmtId="41" fontId="11" fillId="0" borderId="37" xfId="213" applyNumberFormat="1" applyFont="1" applyFill="1" applyBorder="1" applyAlignment="1">
      <alignment horizontal="center" vertical="center" wrapText="1"/>
    </xf>
    <xf numFmtId="41" fontId="11" fillId="0" borderId="39" xfId="213" applyNumberFormat="1" applyFont="1" applyFill="1" applyBorder="1" applyAlignment="1">
      <alignment horizontal="center" vertical="center" wrapText="1"/>
    </xf>
    <xf numFmtId="41" fontId="11" fillId="0" borderId="25" xfId="213" applyNumberFormat="1" applyFont="1" applyFill="1" applyBorder="1" applyAlignment="1">
      <alignment horizontal="center" vertical="center" wrapText="1"/>
    </xf>
  </cellXfs>
  <cellStyles count="285">
    <cellStyle name="20% - Colore 1 2" xfId="1"/>
    <cellStyle name="20% - Colore 1 2 2" xfId="2"/>
    <cellStyle name="20% - Colore 1 2 3" xfId="3"/>
    <cellStyle name="20% - Colore 2 2" xfId="4"/>
    <cellStyle name="20% - Colore 2 2 2" xfId="5"/>
    <cellStyle name="20% - Colore 2 2 3" xfId="6"/>
    <cellStyle name="20% - Colore 3 2" xfId="7"/>
    <cellStyle name="20% - Colore 3 2 2" xfId="8"/>
    <cellStyle name="20% - Colore 3 2 3" xfId="9"/>
    <cellStyle name="20% - Colore 4 2" xfId="10"/>
    <cellStyle name="20% - Colore 4 2 2" xfId="11"/>
    <cellStyle name="20% - Colore 4 2 3" xfId="12"/>
    <cellStyle name="20% - Colore 5 2" xfId="13"/>
    <cellStyle name="20% - Colore 5 2 2" xfId="14"/>
    <cellStyle name="20% - Colore 5 2 3" xfId="15"/>
    <cellStyle name="20% - Colore 6 2" xfId="16"/>
    <cellStyle name="20% - Colore 6 2 2" xfId="17"/>
    <cellStyle name="20% - Colore 6 2 3" xfId="18"/>
    <cellStyle name="40% - Colore 1 2" xfId="19"/>
    <cellStyle name="40% - Colore 1 2 2" xfId="20"/>
    <cellStyle name="40% - Colore 1 2 3" xfId="21"/>
    <cellStyle name="40% - Colore 2 2" xfId="22"/>
    <cellStyle name="40% - Colore 2 2 2" xfId="23"/>
    <cellStyle name="40% - Colore 2 2 3" xfId="24"/>
    <cellStyle name="40% - Colore 3 2" xfId="25"/>
    <cellStyle name="40% - Colore 3 2 2" xfId="26"/>
    <cellStyle name="40% - Colore 3 2 3" xfId="27"/>
    <cellStyle name="40% - Colore 4 2" xfId="28"/>
    <cellStyle name="40% - Colore 4 2 2" xfId="29"/>
    <cellStyle name="40% - Colore 4 2 3" xfId="30"/>
    <cellStyle name="40% - Colore 5 2" xfId="31"/>
    <cellStyle name="40% - Colore 5 2 2" xfId="32"/>
    <cellStyle name="40% - Colore 5 2 3" xfId="33"/>
    <cellStyle name="40% - Colore 6 2" xfId="34"/>
    <cellStyle name="40% - Colore 6 2 2" xfId="35"/>
    <cellStyle name="40% - Colore 6 2 3" xfId="36"/>
    <cellStyle name="60% - Colore 1 2" xfId="37"/>
    <cellStyle name="60% - Colore 1 2 2" xfId="38"/>
    <cellStyle name="60% - Colore 1 2 3" xfId="39"/>
    <cellStyle name="60% - Colore 2 2" xfId="40"/>
    <cellStyle name="60% - Colore 2 2 2" xfId="41"/>
    <cellStyle name="60% - Colore 2 2 3" xfId="42"/>
    <cellStyle name="60% - Colore 3 2" xfId="43"/>
    <cellStyle name="60% - Colore 3 2 2" xfId="44"/>
    <cellStyle name="60% - Colore 3 2 3" xfId="45"/>
    <cellStyle name="60% - Colore 4 2" xfId="46"/>
    <cellStyle name="60% - Colore 4 2 2" xfId="47"/>
    <cellStyle name="60% - Colore 4 2 3" xfId="48"/>
    <cellStyle name="60% - Colore 5 2" xfId="49"/>
    <cellStyle name="60% - Colore 5 2 2" xfId="50"/>
    <cellStyle name="60% - Colore 5 2 3" xfId="51"/>
    <cellStyle name="60% - Colore 6 2" xfId="52"/>
    <cellStyle name="60% - Colore 6 2 2" xfId="53"/>
    <cellStyle name="60% - Colore 6 2 3" xfId="54"/>
    <cellStyle name="Calcolo 2" xfId="55"/>
    <cellStyle name="Calcolo 2 2" xfId="56"/>
    <cellStyle name="Calcolo 2 3" xfId="57"/>
    <cellStyle name="Cella collegata 2" xfId="58"/>
    <cellStyle name="Cella collegata 2 2" xfId="59"/>
    <cellStyle name="Cella collegata 2 3" xfId="60"/>
    <cellStyle name="Cella da controllare 2" xfId="61"/>
    <cellStyle name="Cella da controllare 2 2" xfId="62"/>
    <cellStyle name="Cella da controllare 2 3" xfId="63"/>
    <cellStyle name="Colore 1 2" xfId="64"/>
    <cellStyle name="Colore 1 2 2" xfId="65"/>
    <cellStyle name="Colore 1 2 3" xfId="66"/>
    <cellStyle name="Colore 2 2" xfId="67"/>
    <cellStyle name="Colore 2 2 2" xfId="68"/>
    <cellStyle name="Colore 2 2 3" xfId="69"/>
    <cellStyle name="Colore 3 2" xfId="70"/>
    <cellStyle name="Colore 3 2 2" xfId="71"/>
    <cellStyle name="Colore 3 2 3" xfId="72"/>
    <cellStyle name="Colore 4 2" xfId="73"/>
    <cellStyle name="Colore 4 2 2" xfId="74"/>
    <cellStyle name="Colore 4 2 3" xfId="75"/>
    <cellStyle name="Colore 5 2" xfId="76"/>
    <cellStyle name="Colore 5 2 2" xfId="77"/>
    <cellStyle name="Colore 5 2 3" xfId="78"/>
    <cellStyle name="Colore 6 2" xfId="79"/>
    <cellStyle name="Colore 6 2 2" xfId="80"/>
    <cellStyle name="Colore 6 2 3" xfId="81"/>
    <cellStyle name="Comma [0]_all7_pdc" xfId="82"/>
    <cellStyle name="Comma 2" xfId="83"/>
    <cellStyle name="Comma 2 2" xfId="84"/>
    <cellStyle name="Comma_all7_pdc" xfId="85"/>
    <cellStyle name="Currency [0]_all7_pdc" xfId="86"/>
    <cellStyle name="Currency_all7_pdc" xfId="87"/>
    <cellStyle name="Euro" xfId="88"/>
    <cellStyle name="Euro 10" xfId="89"/>
    <cellStyle name="Euro 11" xfId="90"/>
    <cellStyle name="Euro 12" xfId="91"/>
    <cellStyle name="Euro 13" xfId="92"/>
    <cellStyle name="Euro 14" xfId="93"/>
    <cellStyle name="Euro 15" xfId="94"/>
    <cellStyle name="Euro 16" xfId="95"/>
    <cellStyle name="Euro 17" xfId="96"/>
    <cellStyle name="Euro 18" xfId="97"/>
    <cellStyle name="Euro 19" xfId="98"/>
    <cellStyle name="Euro 2" xfId="99"/>
    <cellStyle name="Euro 20" xfId="100"/>
    <cellStyle name="Euro 3" xfId="101"/>
    <cellStyle name="Euro 4" xfId="102"/>
    <cellStyle name="Euro 5" xfId="103"/>
    <cellStyle name="Euro 6" xfId="104"/>
    <cellStyle name="Euro 7" xfId="105"/>
    <cellStyle name="Euro 8" xfId="106"/>
    <cellStyle name="Euro 9" xfId="107"/>
    <cellStyle name="Euro_Alimentazione PdC" xfId="108"/>
    <cellStyle name="Input 2" xfId="109"/>
    <cellStyle name="Input 2 2" xfId="110"/>
    <cellStyle name="Input 2 3" xfId="111"/>
    <cellStyle name="Migliaia" xfId="284" builtinId="3"/>
    <cellStyle name="Migliaia (0)_% Attrezzature ed Edilizia" xfId="112"/>
    <cellStyle name="Migliaia [0] 10" xfId="113"/>
    <cellStyle name="Migliaia [0] 11" xfId="114"/>
    <cellStyle name="Migliaia [0] 12" xfId="115"/>
    <cellStyle name="Migliaia [0] 13" xfId="116"/>
    <cellStyle name="Migliaia [0] 14" xfId="117"/>
    <cellStyle name="Migliaia [0] 15" xfId="118"/>
    <cellStyle name="Migliaia [0] 16" xfId="119"/>
    <cellStyle name="Migliaia [0] 17" xfId="120"/>
    <cellStyle name="Migliaia [0] 18" xfId="121"/>
    <cellStyle name="Migliaia [0] 19" xfId="122"/>
    <cellStyle name="Migliaia [0] 19 2" xfId="123"/>
    <cellStyle name="Migliaia [0] 2" xfId="124"/>
    <cellStyle name="Migliaia [0] 2 2" xfId="125"/>
    <cellStyle name="Migliaia [0] 20" xfId="126"/>
    <cellStyle name="Migliaia [0] 20 2" xfId="127"/>
    <cellStyle name="Migliaia [0] 21" xfId="128"/>
    <cellStyle name="Migliaia [0] 22" xfId="129"/>
    <cellStyle name="Migliaia [0] 3" xfId="130"/>
    <cellStyle name="Migliaia [0] 3 2" xfId="131"/>
    <cellStyle name="Migliaia [0] 4" xfId="132"/>
    <cellStyle name="Migliaia [0] 4 10" xfId="133"/>
    <cellStyle name="Migliaia [0] 4 11" xfId="134"/>
    <cellStyle name="Migliaia [0] 4 12" xfId="135"/>
    <cellStyle name="Migliaia [0] 4 13" xfId="136"/>
    <cellStyle name="Migliaia [0] 4 14" xfId="137"/>
    <cellStyle name="Migliaia [0] 4 15" xfId="138"/>
    <cellStyle name="Migliaia [0] 4 16" xfId="139"/>
    <cellStyle name="Migliaia [0] 4 17" xfId="140"/>
    <cellStyle name="Migliaia [0] 4 18" xfId="141"/>
    <cellStyle name="Migliaia [0] 4 19" xfId="142"/>
    <cellStyle name="Migliaia [0] 4 2" xfId="143"/>
    <cellStyle name="Migliaia [0] 4 20" xfId="144"/>
    <cellStyle name="Migliaia [0] 4 3" xfId="145"/>
    <cellStyle name="Migliaia [0] 4 4" xfId="146"/>
    <cellStyle name="Migliaia [0] 4 5" xfId="147"/>
    <cellStyle name="Migliaia [0] 4 6" xfId="148"/>
    <cellStyle name="Migliaia [0] 4 7" xfId="149"/>
    <cellStyle name="Migliaia [0] 4 8" xfId="150"/>
    <cellStyle name="Migliaia [0] 4 9" xfId="151"/>
    <cellStyle name="Migliaia [0] 5" xfId="152"/>
    <cellStyle name="Migliaia [0] 5 2" xfId="153"/>
    <cellStyle name="Migliaia [0] 5 3" xfId="154"/>
    <cellStyle name="Migliaia [0] 6" xfId="155"/>
    <cellStyle name="Migliaia [0] 7" xfId="156"/>
    <cellStyle name="Migliaia [0] 8" xfId="157"/>
    <cellStyle name="Migliaia [0] 8 2" xfId="158"/>
    <cellStyle name="Migliaia [0] 9" xfId="159"/>
    <cellStyle name="Migliaia 10" xfId="160"/>
    <cellStyle name="Migliaia 11" xfId="161"/>
    <cellStyle name="Migliaia 11 2" xfId="162"/>
    <cellStyle name="Migliaia 12" xfId="163"/>
    <cellStyle name="Migliaia 12 2" xfId="164"/>
    <cellStyle name="Migliaia 13" xfId="165"/>
    <cellStyle name="Migliaia 13 2" xfId="166"/>
    <cellStyle name="Migliaia 14" xfId="167"/>
    <cellStyle name="Migliaia 14 2" xfId="168"/>
    <cellStyle name="Migliaia 15" xfId="169"/>
    <cellStyle name="Migliaia 16" xfId="170"/>
    <cellStyle name="Migliaia 17" xfId="171"/>
    <cellStyle name="Migliaia 18" xfId="172"/>
    <cellStyle name="Migliaia 19" xfId="173"/>
    <cellStyle name="Migliaia 2" xfId="174"/>
    <cellStyle name="Migliaia 2 2" xfId="175"/>
    <cellStyle name="Migliaia 2 3" xfId="176"/>
    <cellStyle name="Migliaia 2 4" xfId="177"/>
    <cellStyle name="Migliaia 20" xfId="178"/>
    <cellStyle name="Migliaia 21" xfId="179"/>
    <cellStyle name="Migliaia 22" xfId="180"/>
    <cellStyle name="Migliaia 23" xfId="181"/>
    <cellStyle name="Migliaia 24" xfId="182"/>
    <cellStyle name="Migliaia 25" xfId="183"/>
    <cellStyle name="Migliaia 26" xfId="184"/>
    <cellStyle name="Migliaia 27" xfId="185"/>
    <cellStyle name="Migliaia 28" xfId="186"/>
    <cellStyle name="Migliaia 29" xfId="187"/>
    <cellStyle name="Migliaia 3" xfId="188"/>
    <cellStyle name="Migliaia 3 2" xfId="189"/>
    <cellStyle name="Migliaia 4" xfId="190"/>
    <cellStyle name="Migliaia 4 2" xfId="191"/>
    <cellStyle name="Migliaia 4 3" xfId="192"/>
    <cellStyle name="Migliaia 5" xfId="193"/>
    <cellStyle name="Migliaia 5 2" xfId="194"/>
    <cellStyle name="Migliaia 5 3" xfId="195"/>
    <cellStyle name="Migliaia 6" xfId="196"/>
    <cellStyle name="Migliaia 7" xfId="197"/>
    <cellStyle name="Migliaia 7 2" xfId="198"/>
    <cellStyle name="Migliaia 7 3" xfId="199"/>
    <cellStyle name="Migliaia 8" xfId="200"/>
    <cellStyle name="Migliaia 8 2" xfId="201"/>
    <cellStyle name="Migliaia 9" xfId="202"/>
    <cellStyle name="Migliaia 9 2" xfId="203"/>
    <cellStyle name="Migliaia 9 3" xfId="204"/>
    <cellStyle name="Neutrale 2" xfId="205"/>
    <cellStyle name="Neutrale 2 2" xfId="206"/>
    <cellStyle name="Neutrale 2 3" xfId="207"/>
    <cellStyle name="Normal 2" xfId="208"/>
    <cellStyle name="Normal_all7_pdc" xfId="209"/>
    <cellStyle name="Normale" xfId="0" builtinId="0"/>
    <cellStyle name="Normale 10" xfId="210"/>
    <cellStyle name="Normale 2" xfId="211"/>
    <cellStyle name="Normale 2 2" xfId="212"/>
    <cellStyle name="Normale 2 2 2" xfId="213"/>
    <cellStyle name="Normale 2_Alimentazione PdC" xfId="214"/>
    <cellStyle name="Normale 3" xfId="215"/>
    <cellStyle name="Normale 3 2" xfId="216"/>
    <cellStyle name="Normale 3 3" xfId="217"/>
    <cellStyle name="Normale 4" xfId="218"/>
    <cellStyle name="Normale 5" xfId="219"/>
    <cellStyle name="Normale 6" xfId="220"/>
    <cellStyle name="Normale 6 2" xfId="221"/>
    <cellStyle name="Normale 7" xfId="222"/>
    <cellStyle name="Normale 7 2" xfId="223"/>
    <cellStyle name="Normale 8" xfId="224"/>
    <cellStyle name="Normale 9" xfId="225"/>
    <cellStyle name="Normale_2012 raccordo CE_LA" xfId="226"/>
    <cellStyle name="Normale_Copia di DatiCOANCompleto_1" xfId="227"/>
    <cellStyle name="Normale_Raccordo%20LA_nuovo%20CE%202012(1)" xfId="228"/>
    <cellStyle name="Nota 2" xfId="229"/>
    <cellStyle name="Nota 2 2" xfId="230"/>
    <cellStyle name="Nota 2 3" xfId="231"/>
    <cellStyle name="Nota 3" xfId="232"/>
    <cellStyle name="Output 2" xfId="233"/>
    <cellStyle name="Output 2 2" xfId="234"/>
    <cellStyle name="Output 2 3" xfId="235"/>
    <cellStyle name="Percent 2" xfId="236"/>
    <cellStyle name="Percent 3" xfId="237"/>
    <cellStyle name="Percentuale 2" xfId="238"/>
    <cellStyle name="Percentuale 2 2" xfId="239"/>
    <cellStyle name="Percentuale 2 3" xfId="240"/>
    <cellStyle name="Percentuale 3" xfId="241"/>
    <cellStyle name="Percentuale 4" xfId="242"/>
    <cellStyle name="Percentuale 4 2" xfId="243"/>
    <cellStyle name="Percentuale 5" xfId="244"/>
    <cellStyle name="Percentuale 6" xfId="245"/>
    <cellStyle name="Percentuale 7" xfId="246"/>
    <cellStyle name="Percentuale 8" xfId="247"/>
    <cellStyle name="SAS FM Row drillable header" xfId="248"/>
    <cellStyle name="SAS FM Row header" xfId="249"/>
    <cellStyle name="SAS FM Row header 2" xfId="250"/>
    <cellStyle name="Testo avviso 2" xfId="251"/>
    <cellStyle name="Testo avviso 2 2" xfId="252"/>
    <cellStyle name="Testo avviso 2 3" xfId="253"/>
    <cellStyle name="Testo descrittivo 2" xfId="254"/>
    <cellStyle name="Testo descrittivo 2 2" xfId="255"/>
    <cellStyle name="Testo descrittivo 2 3" xfId="256"/>
    <cellStyle name="Titolo 1 2" xfId="257"/>
    <cellStyle name="Titolo 1 2 2" xfId="258"/>
    <cellStyle name="Titolo 1 2 3" xfId="259"/>
    <cellStyle name="Titolo 2 2" xfId="260"/>
    <cellStyle name="Titolo 2 2 2" xfId="261"/>
    <cellStyle name="Titolo 2 2 3" xfId="262"/>
    <cellStyle name="Titolo 3 2" xfId="263"/>
    <cellStyle name="Titolo 3 2 2" xfId="264"/>
    <cellStyle name="Titolo 3 2 3" xfId="265"/>
    <cellStyle name="Titolo 4 2" xfId="266"/>
    <cellStyle name="Titolo 4 2 2" xfId="267"/>
    <cellStyle name="Titolo 4 2 3" xfId="268"/>
    <cellStyle name="Titolo 5" xfId="269"/>
    <cellStyle name="Titolo 5 2" xfId="270"/>
    <cellStyle name="Titolo 5 3" xfId="271"/>
    <cellStyle name="Totale 2" xfId="272"/>
    <cellStyle name="Totale 2 2" xfId="273"/>
    <cellStyle name="Totale 2 3" xfId="274"/>
    <cellStyle name="Valore non valido 2" xfId="275"/>
    <cellStyle name="Valore non valido 2 2" xfId="276"/>
    <cellStyle name="Valore non valido 2 3" xfId="277"/>
    <cellStyle name="Valore valido 2" xfId="278"/>
    <cellStyle name="Valore valido 2 2" xfId="279"/>
    <cellStyle name="Valore valido 2 3" xfId="280"/>
    <cellStyle name="Valuta (0)_% Attrezzature ed Edilizia" xfId="281"/>
    <cellStyle name="Valuta 2" xfId="282"/>
    <cellStyle name="Valuta 2 2" xfId="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GIONER/BIL01/COSRI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99consolidato/agenzia-preventivo%20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2\Preventivo%202002\Bilanci%20aziende\burlo\MAST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2/Preventivo%202002/Bilanci%20aziende/burlo/MASTE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ilancio\2005\consuntivo%202005\Bil%20CSC%202005_collegi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zienda\MONICA\2001\CONSUNTIVO%202001\CHIUSUR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masin.marzia/Impostazioni%20locali/Temporary%20Internet%20Files/OLK3/COMUNE/BILANCI/2000/AlimentazioneBil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Area%20dell'Economia%20Sanitaria/2.Documenti%20condivisi/BILANCI/2009/Chiusura/Bilanci%20aziende/CSC/CSC%20Bilancio%20esercizio%202009%20per%20adozio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Bilanci/Consuntivi/Anno%202001/SCHEMI%20X%20CONSUNTIVO%202001%204.4.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zienda\MONICA\2002\CONSUNTIVO%202002\SCHEMI%20X%20CONSUNTIVO%202001%204.4.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Bilanci\Consuntivi\Anno%202001\SCHEMI%20X%20CONSUNTIVO%202001%204.4.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1\Preventivo%202001\Bilanci%20aziende\ass%202\BILANCIO%2019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1/Preventivo%202001/Bilanci%20aziende/ass%202/BILANCIO%2019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zSISR/Anno%202004-Convenzione%20SISR/Conduzione%20Applicativa_2004/Applicativo_5_2_2004_vers_presentata/piano_2004_v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903825/Impostazioni%20locali/Temporary%20Internet%20Files/OLK3A/CONDUZIONE/CONDUZIONE%20APPLICATIVA/piano_2004_SaS_Calcolo_Variazione_Aziend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1999/Preventivo%201999/Consolidato%20prev99/Conto%20economico/Consol%20CE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CE"/>
      <sheetName val="Alim S.P."/>
      <sheetName val="MOD SP "/>
      <sheetName val="Schema C.E."/>
      <sheetName val="Schema S.P."/>
      <sheetName val="FABB_COPERT "/>
      <sheetName val="App_CE"/>
      <sheetName val="App_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0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</sheetNames>
    <sheetDataSet>
      <sheetData sheetId="0" refreshError="1"/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2"/>
  <sheetViews>
    <sheetView topLeftCell="I21" zoomScaleNormal="65" workbookViewId="0">
      <selection activeCell="U26" sqref="U26"/>
    </sheetView>
  </sheetViews>
  <sheetFormatPr defaultRowHeight="14.25"/>
  <cols>
    <col min="1" max="1" width="8.140625" style="1" customWidth="1"/>
    <col min="2" max="2" width="18.28515625" style="55" customWidth="1"/>
    <col min="3" max="4" width="8.7109375" style="56" customWidth="1"/>
    <col min="5" max="5" width="10.5703125" style="56" customWidth="1"/>
    <col min="6" max="7" width="8.7109375" style="56" customWidth="1"/>
    <col min="8" max="8" width="9.42578125" style="56" customWidth="1"/>
    <col min="9" max="14" width="8.7109375" style="56" customWidth="1"/>
    <col min="15" max="15" width="10" style="56" customWidth="1"/>
    <col min="16" max="16" width="11.140625" style="57" bestFit="1" customWidth="1"/>
    <col min="17" max="17" width="9.28515625" style="58" bestFit="1" customWidth="1"/>
    <col min="18" max="18" width="12" style="59" customWidth="1"/>
    <col min="19" max="20" width="10.28515625" style="59" customWidth="1"/>
    <col min="21" max="21" width="12.42578125" style="59" customWidth="1"/>
    <col min="22" max="22" width="11.7109375" style="59" customWidth="1"/>
    <col min="23" max="31" width="10.28515625" style="59" customWidth="1"/>
    <col min="32" max="16384" width="9.140625" style="59"/>
  </cols>
  <sheetData>
    <row r="1" spans="1:31" s="5" customForma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31" s="5" customForma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</row>
    <row r="3" spans="1:31" s="4" customFormat="1" ht="15" thickBot="1">
      <c r="A3" s="6">
        <v>2017</v>
      </c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/>
      <c r="P3" s="3"/>
      <c r="Q3" s="4">
        <v>2018</v>
      </c>
      <c r="R3" s="5"/>
      <c r="S3" s="2" t="s">
        <v>0</v>
      </c>
      <c r="T3" s="2" t="s">
        <v>1</v>
      </c>
      <c r="U3" s="2" t="s">
        <v>2</v>
      </c>
      <c r="V3" s="2" t="s">
        <v>3</v>
      </c>
      <c r="W3" s="2" t="s">
        <v>4</v>
      </c>
      <c r="X3" s="2" t="s">
        <v>5</v>
      </c>
      <c r="Y3" s="2" t="s">
        <v>6</v>
      </c>
      <c r="Z3" s="2" t="s">
        <v>7</v>
      </c>
      <c r="AA3" s="2" t="s">
        <v>8</v>
      </c>
      <c r="AB3" s="2" t="s">
        <v>9</v>
      </c>
      <c r="AC3" s="2" t="s">
        <v>10</v>
      </c>
      <c r="AD3" s="2" t="s">
        <v>11</v>
      </c>
    </row>
    <row r="4" spans="1:31" s="4" customFormat="1" ht="71.25">
      <c r="A4" s="7"/>
      <c r="B4" s="8" t="s">
        <v>12</v>
      </c>
      <c r="C4" s="205" t="s">
        <v>13</v>
      </c>
      <c r="D4" s="206"/>
      <c r="E4" s="207" t="s">
        <v>14</v>
      </c>
      <c r="F4" s="206"/>
      <c r="G4" s="208"/>
      <c r="H4" s="9" t="s">
        <v>15</v>
      </c>
      <c r="I4" s="9" t="s">
        <v>16</v>
      </c>
      <c r="J4" s="9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1" t="s">
        <v>22</v>
      </c>
      <c r="P4" s="3"/>
      <c r="Q4" s="7"/>
      <c r="R4" s="8" t="s">
        <v>12</v>
      </c>
      <c r="S4" s="205" t="s">
        <v>13</v>
      </c>
      <c r="T4" s="206"/>
      <c r="U4" s="207" t="s">
        <v>14</v>
      </c>
      <c r="V4" s="206"/>
      <c r="W4" s="208"/>
      <c r="X4" s="9" t="s">
        <v>15</v>
      </c>
      <c r="Y4" s="9" t="s">
        <v>16</v>
      </c>
      <c r="Z4" s="9" t="s">
        <v>17</v>
      </c>
      <c r="AA4" s="10" t="s">
        <v>18</v>
      </c>
      <c r="AB4" s="10" t="s">
        <v>19</v>
      </c>
      <c r="AC4" s="10" t="s">
        <v>20</v>
      </c>
      <c r="AD4" s="10" t="s">
        <v>21</v>
      </c>
      <c r="AE4" s="11" t="s">
        <v>22</v>
      </c>
    </row>
    <row r="5" spans="1:31" s="4" customFormat="1" ht="99.75">
      <c r="A5" s="12"/>
      <c r="B5" s="13"/>
      <c r="C5" s="14" t="s">
        <v>23</v>
      </c>
      <c r="D5" s="15" t="s">
        <v>24</v>
      </c>
      <c r="E5" s="16" t="s">
        <v>25</v>
      </c>
      <c r="F5" s="16" t="s">
        <v>26</v>
      </c>
      <c r="G5" s="16" t="s">
        <v>27</v>
      </c>
      <c r="H5" s="17"/>
      <c r="I5" s="17"/>
      <c r="J5" s="17"/>
      <c r="K5" s="16"/>
      <c r="L5" s="18"/>
      <c r="M5" s="18"/>
      <c r="N5" s="18"/>
      <c r="O5" s="19"/>
      <c r="P5" s="3"/>
      <c r="Q5" s="12"/>
      <c r="R5" s="13"/>
      <c r="S5" s="14" t="s">
        <v>23</v>
      </c>
      <c r="T5" s="15" t="s">
        <v>24</v>
      </c>
      <c r="U5" s="16" t="s">
        <v>25</v>
      </c>
      <c r="V5" s="16" t="s">
        <v>26</v>
      </c>
      <c r="W5" s="16" t="s">
        <v>27</v>
      </c>
      <c r="X5" s="17"/>
      <c r="Y5" s="17"/>
      <c r="Z5" s="17"/>
      <c r="AA5" s="16"/>
      <c r="AB5" s="18"/>
      <c r="AC5" s="18"/>
      <c r="AD5" s="18"/>
      <c r="AE5" s="19"/>
    </row>
    <row r="6" spans="1:31" s="4" customFormat="1" ht="15" thickBot="1">
      <c r="A6" s="12"/>
      <c r="B6" s="20"/>
      <c r="C6" s="21"/>
      <c r="D6" s="22"/>
      <c r="E6" s="23"/>
      <c r="F6" s="23"/>
      <c r="G6" s="23"/>
      <c r="H6" s="22"/>
      <c r="I6" s="22"/>
      <c r="J6" s="22"/>
      <c r="K6" s="23"/>
      <c r="L6" s="24"/>
      <c r="M6" s="24"/>
      <c r="N6" s="24"/>
      <c r="O6" s="25"/>
      <c r="P6" s="3"/>
      <c r="Q6" s="12"/>
      <c r="R6" s="20"/>
      <c r="S6" s="21"/>
      <c r="T6" s="22"/>
      <c r="U6" s="23"/>
      <c r="V6" s="23"/>
      <c r="W6" s="23"/>
      <c r="X6" s="22"/>
      <c r="Y6" s="22"/>
      <c r="Z6" s="22"/>
      <c r="AA6" s="23"/>
      <c r="AB6" s="24"/>
      <c r="AC6" s="24"/>
      <c r="AD6" s="24"/>
      <c r="AE6" s="25"/>
    </row>
    <row r="7" spans="1:31" s="4" customFormat="1" ht="60.75" thickBot="1">
      <c r="A7" s="12"/>
      <c r="B7" s="183" t="s">
        <v>28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3"/>
      <c r="Q7" s="12"/>
      <c r="R7" s="183" t="s">
        <v>28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/>
    </row>
    <row r="8" spans="1:31" s="33" customFormat="1" ht="24.75" thickBot="1">
      <c r="A8" s="28">
        <v>10100</v>
      </c>
      <c r="B8" s="185" t="s">
        <v>29</v>
      </c>
      <c r="C8" s="178">
        <v>20.357081671112851</v>
      </c>
      <c r="D8" s="178">
        <v>24.671480144404331</v>
      </c>
      <c r="E8" s="178"/>
      <c r="F8" s="178">
        <v>1.7197962154294033</v>
      </c>
      <c r="G8" s="178">
        <v>502.39019933554812</v>
      </c>
      <c r="H8" s="178">
        <v>2125.3407303767153</v>
      </c>
      <c r="I8" s="178"/>
      <c r="J8" s="178">
        <v>265.66128652147694</v>
      </c>
      <c r="K8" s="178">
        <v>412.05204021419848</v>
      </c>
      <c r="L8" s="178">
        <v>96.637615702018508</v>
      </c>
      <c r="M8" s="178">
        <v>23.399162677092104</v>
      </c>
      <c r="N8" s="178">
        <v>51.62142249929159</v>
      </c>
      <c r="O8" s="179">
        <f t="shared" ref="O8:O13" si="0">SUM(C8:N8)</f>
        <v>3523.8508153572875</v>
      </c>
      <c r="P8" s="32"/>
      <c r="Q8" s="28">
        <v>10100</v>
      </c>
      <c r="R8" s="185" t="s">
        <v>29</v>
      </c>
      <c r="S8" s="178">
        <f>C8/$C$66*$S$69</f>
        <v>21.242639022002496</v>
      </c>
      <c r="T8" s="178">
        <f>D8/$D$66*$T$69</f>
        <v>23.093169963898916</v>
      </c>
      <c r="U8" s="178">
        <f>E8/$E$66*$U$69</f>
        <v>0</v>
      </c>
      <c r="V8" s="178">
        <f>F8/$F$66*$V$69</f>
        <v>1.9245480583947445</v>
      </c>
      <c r="W8" s="178">
        <f>G8/$G$66*$W$69</f>
        <v>505.19848509634545</v>
      </c>
      <c r="X8" s="178">
        <f>H8/$H$66*$X$69</f>
        <v>2172.5446625333866</v>
      </c>
      <c r="Y8" s="178">
        <f>I8/$I$66*$Y$69</f>
        <v>0</v>
      </c>
      <c r="Z8" s="178">
        <f>J8/$J$66*$Z$69</f>
        <v>273.80671171620207</v>
      </c>
      <c r="AA8" s="178">
        <f>K8/$K$66*$AA$69</f>
        <v>404.8416695308282</v>
      </c>
      <c r="AB8" s="178">
        <f>L8/$L$66*$AB$69</f>
        <v>89.89331490409279</v>
      </c>
      <c r="AC8" s="178">
        <f>M8/$M$66*$AC$69</f>
        <v>4.957650834719769</v>
      </c>
      <c r="AD8" s="178">
        <f>N8/$N$66*$AD$69</f>
        <v>44.913260909606116</v>
      </c>
      <c r="AE8" s="180">
        <f t="shared" ref="AE8:AE13" si="1">SUM(S8:AD8)</f>
        <v>3542.4161125694773</v>
      </c>
    </row>
    <row r="9" spans="1:31" s="33" customFormat="1" ht="36.75" thickBot="1">
      <c r="A9" s="28">
        <v>10200</v>
      </c>
      <c r="B9" s="185" t="s">
        <v>30</v>
      </c>
      <c r="C9" s="184"/>
      <c r="D9" s="45">
        <v>1.6447653429602886</v>
      </c>
      <c r="E9" s="45"/>
      <c r="F9" s="45"/>
      <c r="G9" s="45">
        <v>4.8775747508305649</v>
      </c>
      <c r="H9" s="45">
        <v>1027.9292186341229</v>
      </c>
      <c r="I9" s="45"/>
      <c r="J9" s="45">
        <v>0</v>
      </c>
      <c r="K9" s="45">
        <v>631.29113049443708</v>
      </c>
      <c r="L9" s="45">
        <v>55.79078844652615</v>
      </c>
      <c r="M9" s="45">
        <v>15.599441784728068</v>
      </c>
      <c r="N9" s="45">
        <v>29.886086710116178</v>
      </c>
      <c r="O9" s="180">
        <f t="shared" si="0"/>
        <v>1767.0190061637213</v>
      </c>
      <c r="P9" s="32"/>
      <c r="Q9" s="28">
        <v>10200</v>
      </c>
      <c r="R9" s="185" t="s">
        <v>30</v>
      </c>
      <c r="S9" s="178">
        <f t="shared" ref="S9:S13" si="2">C9/$C$66*$S$69</f>
        <v>0</v>
      </c>
      <c r="T9" s="178">
        <f t="shared" ref="T9:T13" si="3">D9/$D$66*$T$69</f>
        <v>1.5395446642599278</v>
      </c>
      <c r="U9" s="178">
        <f t="shared" ref="U9:U13" si="4">E9/$E$66*$U$69</f>
        <v>0</v>
      </c>
      <c r="V9" s="178">
        <f t="shared" ref="V9:V13" si="5">F9/$F$66*$V$69</f>
        <v>0</v>
      </c>
      <c r="W9" s="178">
        <f t="shared" ref="W9:W13" si="6">G9/$G$66*$W$69</f>
        <v>4.9048396611295688</v>
      </c>
      <c r="X9" s="178">
        <f t="shared" ref="X9:X13" si="7">H9/$H$66*$X$69</f>
        <v>1050.7595819752821</v>
      </c>
      <c r="Y9" s="178">
        <f t="shared" ref="Y9:Y13" si="8">I9/$I$66*$Y$69</f>
        <v>0</v>
      </c>
      <c r="Z9" s="178">
        <f t="shared" ref="Z9:Z13" si="9">J9/$J$66*$Z$69</f>
        <v>0</v>
      </c>
      <c r="AA9" s="178">
        <f t="shared" ref="AA9:AA13" si="10">K9/$K$66*$AA$69</f>
        <v>620.24436305791971</v>
      </c>
      <c r="AB9" s="178">
        <f t="shared" ref="AB9:AB13" si="11">L9/$L$66*$AB$69</f>
        <v>51.89717149102264</v>
      </c>
      <c r="AC9" s="178">
        <f t="shared" ref="AC9:AC13" si="12">M9/$M$66*$AC$69</f>
        <v>3.3051005564798457</v>
      </c>
      <c r="AD9" s="178">
        <f t="shared" ref="AD9:AD13" si="13">N9/$N$66*$AD$69</f>
        <v>26.002414210824586</v>
      </c>
      <c r="AE9" s="180">
        <f t="shared" si="1"/>
        <v>1758.6530156169183</v>
      </c>
    </row>
    <row r="10" spans="1:31" s="33" customFormat="1" ht="48.75" thickBot="1">
      <c r="A10" s="28">
        <v>10300</v>
      </c>
      <c r="B10" s="185" t="s">
        <v>31</v>
      </c>
      <c r="C10" s="184">
        <v>1.0178540835556427</v>
      </c>
      <c r="D10" s="45">
        <v>16.447653429602887</v>
      </c>
      <c r="E10" s="45"/>
      <c r="F10" s="45"/>
      <c r="G10" s="45">
        <v>126.81694352159469</v>
      </c>
      <c r="H10" s="45">
        <v>1616.4851131999826</v>
      </c>
      <c r="I10" s="45">
        <v>1132.2835517889057</v>
      </c>
      <c r="J10" s="45">
        <v>184.94112638610505</v>
      </c>
      <c r="K10" s="45">
        <v>432.60570492797081</v>
      </c>
      <c r="L10" s="45">
        <v>108.59278465484554</v>
      </c>
      <c r="M10" s="45">
        <v>25.901595179491647</v>
      </c>
      <c r="N10" s="45">
        <v>58.866534429016717</v>
      </c>
      <c r="O10" s="180">
        <f t="shared" si="0"/>
        <v>3703.9588616010715</v>
      </c>
      <c r="P10" s="32"/>
      <c r="Q10" s="28">
        <v>10300</v>
      </c>
      <c r="R10" s="185" t="s">
        <v>31</v>
      </c>
      <c r="S10" s="178">
        <f t="shared" si="2"/>
        <v>1.0621319511001248</v>
      </c>
      <c r="T10" s="178">
        <f t="shared" si="3"/>
        <v>15.395446642599278</v>
      </c>
      <c r="U10" s="178">
        <f t="shared" si="4"/>
        <v>0</v>
      </c>
      <c r="V10" s="178">
        <f t="shared" si="5"/>
        <v>0</v>
      </c>
      <c r="W10" s="178">
        <f t="shared" si="6"/>
        <v>127.52583118936877</v>
      </c>
      <c r="X10" s="178">
        <f t="shared" si="7"/>
        <v>1652.3873346768355</v>
      </c>
      <c r="Y10" s="178">
        <f t="shared" si="8"/>
        <v>1365.58503</v>
      </c>
      <c r="Z10" s="178">
        <f t="shared" si="9"/>
        <v>190.61159546397144</v>
      </c>
      <c r="AA10" s="178">
        <f t="shared" si="10"/>
        <v>425.03567204899298</v>
      </c>
      <c r="AB10" s="178">
        <f t="shared" si="11"/>
        <v>101.0141373664548</v>
      </c>
      <c r="AC10" s="178">
        <f t="shared" si="12"/>
        <v>5.4878487206679134</v>
      </c>
      <c r="AD10" s="178">
        <f t="shared" si="13"/>
        <v>51.21687647586662</v>
      </c>
      <c r="AE10" s="180">
        <f t="shared" si="1"/>
        <v>3935.3219045358569</v>
      </c>
    </row>
    <row r="11" spans="1:31" s="33" customFormat="1" ht="24.75" thickBot="1">
      <c r="A11" s="28">
        <v>10400</v>
      </c>
      <c r="B11" s="185" t="s">
        <v>32</v>
      </c>
      <c r="C11" s="184">
        <v>10.178540835556426</v>
      </c>
      <c r="D11" s="45">
        <v>59.2115523465704</v>
      </c>
      <c r="E11" s="45"/>
      <c r="F11" s="45">
        <v>35</v>
      </c>
      <c r="G11" s="45">
        <v>560.92109634551502</v>
      </c>
      <c r="H11" s="45">
        <v>1730.9265371433441</v>
      </c>
      <c r="I11" s="45">
        <v>0</v>
      </c>
      <c r="J11" s="45">
        <v>315.72822128898605</v>
      </c>
      <c r="K11" s="45">
        <v>391.49837550042611</v>
      </c>
      <c r="L11" s="45">
        <v>90.66003122560501</v>
      </c>
      <c r="M11" s="45">
        <v>23.399162677092104</v>
      </c>
      <c r="N11" s="45">
        <v>47.99886653442902</v>
      </c>
      <c r="O11" s="180">
        <f t="shared" si="0"/>
        <v>3265.5223838975239</v>
      </c>
      <c r="P11" s="32"/>
      <c r="Q11" s="28">
        <v>10400</v>
      </c>
      <c r="R11" s="185" t="s">
        <v>32</v>
      </c>
      <c r="S11" s="178">
        <f t="shared" si="2"/>
        <v>10.621319511001248</v>
      </c>
      <c r="T11" s="178">
        <f t="shared" si="3"/>
        <v>55.423607913357408</v>
      </c>
      <c r="U11" s="178">
        <f t="shared" si="4"/>
        <v>0</v>
      </c>
      <c r="V11" s="178">
        <f t="shared" si="5"/>
        <v>39.166955619214242</v>
      </c>
      <c r="W11" s="178">
        <f t="shared" si="6"/>
        <v>564.05656102990042</v>
      </c>
      <c r="X11" s="178">
        <f t="shared" si="7"/>
        <v>1769.3705088132488</v>
      </c>
      <c r="Y11" s="178">
        <f t="shared" si="8"/>
        <v>0</v>
      </c>
      <c r="Z11" s="178">
        <f t="shared" si="9"/>
        <v>325.40874584733245</v>
      </c>
      <c r="AA11" s="178">
        <f t="shared" si="10"/>
        <v>384.64766701266336</v>
      </c>
      <c r="AB11" s="178">
        <f t="shared" si="11"/>
        <v>84.332903672911812</v>
      </c>
      <c r="AC11" s="178">
        <f t="shared" si="12"/>
        <v>4.957650834719769</v>
      </c>
      <c r="AD11" s="178">
        <f t="shared" si="13"/>
        <v>41.761453126475857</v>
      </c>
      <c r="AE11" s="180">
        <f t="shared" si="1"/>
        <v>3279.7473733808256</v>
      </c>
    </row>
    <row r="12" spans="1:31" s="33" customFormat="1" ht="48.75" thickBot="1">
      <c r="A12" s="28">
        <v>10500</v>
      </c>
      <c r="B12" s="185" t="s">
        <v>33</v>
      </c>
      <c r="C12" s="184">
        <v>1794.4767493085978</v>
      </c>
      <c r="D12" s="45">
        <v>74.014440433212997</v>
      </c>
      <c r="E12" s="45">
        <v>3</v>
      </c>
      <c r="F12" s="45">
        <v>99.748180494905384</v>
      </c>
      <c r="G12" s="45">
        <v>2711.931561461794</v>
      </c>
      <c r="H12" s="45">
        <v>501.70302818027267</v>
      </c>
      <c r="I12" s="45">
        <v>0</v>
      </c>
      <c r="J12" s="45">
        <v>0</v>
      </c>
      <c r="K12" s="45">
        <v>0</v>
      </c>
      <c r="L12" s="45">
        <v>95.641351622616256</v>
      </c>
      <c r="M12" s="45">
        <v>23.399162677092104</v>
      </c>
      <c r="N12" s="45">
        <v>51.62142249929159</v>
      </c>
      <c r="O12" s="180">
        <f t="shared" si="0"/>
        <v>5355.535896677784</v>
      </c>
      <c r="P12" s="32"/>
      <c r="Q12" s="28">
        <v>10500</v>
      </c>
      <c r="R12" s="185" t="s">
        <v>33</v>
      </c>
      <c r="S12" s="178">
        <f t="shared" si="2"/>
        <v>1872.5386297895202</v>
      </c>
      <c r="T12" s="178">
        <f t="shared" si="3"/>
        <v>69.279509891696748</v>
      </c>
      <c r="U12" s="178">
        <f t="shared" si="4"/>
        <v>3.0116369189949523</v>
      </c>
      <c r="V12" s="178">
        <f t="shared" si="5"/>
        <v>111.62378738689517</v>
      </c>
      <c r="W12" s="178">
        <f t="shared" si="6"/>
        <v>2727.0908515880401</v>
      </c>
      <c r="X12" s="178">
        <f t="shared" si="7"/>
        <v>512.84587947302532</v>
      </c>
      <c r="Y12" s="178">
        <f t="shared" si="8"/>
        <v>0</v>
      </c>
      <c r="Z12" s="178">
        <f t="shared" si="9"/>
        <v>0</v>
      </c>
      <c r="AA12" s="178">
        <f t="shared" si="10"/>
        <v>0</v>
      </c>
      <c r="AB12" s="178">
        <f t="shared" si="11"/>
        <v>88.966579698895956</v>
      </c>
      <c r="AC12" s="178">
        <f t="shared" si="12"/>
        <v>4.957650834719769</v>
      </c>
      <c r="AD12" s="178">
        <f t="shared" si="13"/>
        <v>44.913260909606116</v>
      </c>
      <c r="AE12" s="180">
        <f t="shared" si="1"/>
        <v>5435.227786491394</v>
      </c>
    </row>
    <row r="13" spans="1:31" s="33" customFormat="1" ht="24.75" thickBot="1">
      <c r="A13" s="28">
        <v>10600</v>
      </c>
      <c r="B13" s="185" t="s">
        <v>34</v>
      </c>
      <c r="C13" s="181">
        <v>48.856996010670841</v>
      </c>
      <c r="D13" s="181">
        <v>9.8685920577617328</v>
      </c>
      <c r="E13" s="181">
        <v>0</v>
      </c>
      <c r="F13" s="181">
        <v>3.4395924308588066</v>
      </c>
      <c r="G13" s="181">
        <v>1336.4554817275748</v>
      </c>
      <c r="H13" s="181">
        <v>1056.5395746199633</v>
      </c>
      <c r="I13" s="181">
        <v>0</v>
      </c>
      <c r="J13" s="181">
        <v>0</v>
      </c>
      <c r="K13" s="181">
        <v>651.84479520820946</v>
      </c>
      <c r="L13" s="181">
        <v>83.686182669789233</v>
      </c>
      <c r="M13" s="181">
        <v>23.399162677092104</v>
      </c>
      <c r="N13" s="181">
        <v>44.376310569566449</v>
      </c>
      <c r="O13" s="182">
        <f t="shared" si="0"/>
        <v>3258.4666879714869</v>
      </c>
      <c r="P13" s="32"/>
      <c r="Q13" s="28">
        <v>10600</v>
      </c>
      <c r="R13" s="185" t="s">
        <v>34</v>
      </c>
      <c r="S13" s="178">
        <f t="shared" si="2"/>
        <v>50.982333652805984</v>
      </c>
      <c r="T13" s="178">
        <f t="shared" si="3"/>
        <v>9.2372679855595674</v>
      </c>
      <c r="U13" s="178">
        <f t="shared" si="4"/>
        <v>0</v>
      </c>
      <c r="V13" s="178">
        <f t="shared" si="5"/>
        <v>3.849096116789489</v>
      </c>
      <c r="W13" s="178">
        <f t="shared" si="6"/>
        <v>1343.9260671495019</v>
      </c>
      <c r="X13" s="178">
        <f t="shared" si="7"/>
        <v>1080.0053755093854</v>
      </c>
      <c r="Y13" s="178">
        <f t="shared" si="8"/>
        <v>0</v>
      </c>
      <c r="Z13" s="178">
        <f t="shared" si="9"/>
        <v>0</v>
      </c>
      <c r="AA13" s="178">
        <f t="shared" si="10"/>
        <v>640.43836557608449</v>
      </c>
      <c r="AB13" s="178">
        <f t="shared" si="11"/>
        <v>77.84575723653397</v>
      </c>
      <c r="AC13" s="178">
        <f t="shared" si="12"/>
        <v>4.957650834719769</v>
      </c>
      <c r="AD13" s="178">
        <f t="shared" si="13"/>
        <v>38.609645343345605</v>
      </c>
      <c r="AE13" s="182">
        <f t="shared" si="1"/>
        <v>3249.8515594047262</v>
      </c>
    </row>
    <row r="14" spans="1:31" s="33" customFormat="1" ht="15.75" thickBot="1">
      <c r="A14" s="34">
        <v>19999</v>
      </c>
      <c r="B14" s="171" t="s">
        <v>22</v>
      </c>
      <c r="C14" s="174">
        <f t="shared" ref="C14:O14" si="14">SUM(C8:C13)</f>
        <v>1874.8872219094935</v>
      </c>
      <c r="D14" s="175">
        <f t="shared" si="14"/>
        <v>185.85848375451263</v>
      </c>
      <c r="E14" s="176">
        <f t="shared" si="14"/>
        <v>3</v>
      </c>
      <c r="F14" s="176">
        <f t="shared" si="14"/>
        <v>139.90756914119359</v>
      </c>
      <c r="G14" s="176">
        <f t="shared" si="14"/>
        <v>5243.3928571428569</v>
      </c>
      <c r="H14" s="175">
        <f t="shared" si="14"/>
        <v>8058.9242021544014</v>
      </c>
      <c r="I14" s="175">
        <f t="shared" si="14"/>
        <v>1132.2835517889057</v>
      </c>
      <c r="J14" s="175">
        <f t="shared" si="14"/>
        <v>766.3306341965681</v>
      </c>
      <c r="K14" s="176">
        <f t="shared" si="14"/>
        <v>2519.2920463452419</v>
      </c>
      <c r="L14" s="176">
        <f t="shared" si="14"/>
        <v>531.00875432140072</v>
      </c>
      <c r="M14" s="176">
        <f t="shared" si="14"/>
        <v>135.09768767258814</v>
      </c>
      <c r="N14" s="176">
        <f t="shared" si="14"/>
        <v>284.37064324171155</v>
      </c>
      <c r="O14" s="177">
        <f t="shared" si="14"/>
        <v>20874.353651668873</v>
      </c>
      <c r="P14" s="32"/>
      <c r="Q14" s="34">
        <v>19999</v>
      </c>
      <c r="R14" s="171" t="s">
        <v>22</v>
      </c>
      <c r="S14" s="174">
        <f t="shared" ref="S14:AE14" si="15">SUM(S8:S13)</f>
        <v>1956.44705392643</v>
      </c>
      <c r="T14" s="175">
        <f t="shared" si="15"/>
        <v>173.96854706137182</v>
      </c>
      <c r="U14" s="176">
        <f t="shared" si="15"/>
        <v>3.0116369189949523</v>
      </c>
      <c r="V14" s="176">
        <f t="shared" si="15"/>
        <v>156.56438718129365</v>
      </c>
      <c r="W14" s="176">
        <f t="shared" si="15"/>
        <v>5272.7026357142868</v>
      </c>
      <c r="X14" s="175">
        <f t="shared" si="15"/>
        <v>8237.9133429811627</v>
      </c>
      <c r="Y14" s="175">
        <f t="shared" si="15"/>
        <v>1365.58503</v>
      </c>
      <c r="Z14" s="175">
        <f t="shared" si="15"/>
        <v>789.82705302750605</v>
      </c>
      <c r="AA14" s="176">
        <f t="shared" si="15"/>
        <v>2475.2077372264889</v>
      </c>
      <c r="AB14" s="176">
        <f t="shared" si="15"/>
        <v>493.94986436991201</v>
      </c>
      <c r="AC14" s="176">
        <f t="shared" si="15"/>
        <v>28.623552616026831</v>
      </c>
      <c r="AD14" s="176">
        <f t="shared" si="15"/>
        <v>247.41691097572493</v>
      </c>
      <c r="AE14" s="177">
        <f t="shared" si="15"/>
        <v>21201.2177519992</v>
      </c>
    </row>
    <row r="15" spans="1:31" s="33" customFormat="1" ht="24.75" thickBot="1">
      <c r="A15" s="34"/>
      <c r="B15" s="170" t="s">
        <v>35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2"/>
      <c r="Q15" s="34"/>
      <c r="R15" s="170" t="s">
        <v>35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</row>
    <row r="16" spans="1:31" s="33" customFormat="1" ht="15" thickBot="1">
      <c r="A16" s="28">
        <v>20100</v>
      </c>
      <c r="B16" s="29" t="s">
        <v>36</v>
      </c>
      <c r="C16" s="30">
        <v>1.0178540835556427</v>
      </c>
      <c r="D16" s="30">
        <v>0</v>
      </c>
      <c r="E16" s="30">
        <v>1439</v>
      </c>
      <c r="F16" s="30">
        <v>0</v>
      </c>
      <c r="G16" s="30">
        <v>82.9187707641196</v>
      </c>
      <c r="H16" s="30">
        <v>0</v>
      </c>
      <c r="I16" s="30">
        <v>0</v>
      </c>
      <c r="J16" s="30">
        <v>0</v>
      </c>
      <c r="K16" s="30">
        <v>0</v>
      </c>
      <c r="L16" s="30">
        <v>47.820675811308128</v>
      </c>
      <c r="M16" s="30">
        <v>7.799720892364034</v>
      </c>
      <c r="N16" s="30">
        <v>26.263530745253611</v>
      </c>
      <c r="O16" s="31">
        <f>SUM(C16:N16)</f>
        <v>1604.8205522966011</v>
      </c>
      <c r="P16" s="32"/>
      <c r="Q16" s="28">
        <v>20100</v>
      </c>
      <c r="R16" s="29" t="s">
        <v>36</v>
      </c>
      <c r="S16" s="178">
        <f t="shared" ref="S16" si="16">C16/$C$66*$S$69</f>
        <v>1.0621319511001248</v>
      </c>
      <c r="T16" s="178">
        <f t="shared" ref="T16" si="17">D16/$D$66*$T$69</f>
        <v>0</v>
      </c>
      <c r="U16" s="178">
        <f>1287466/1000</f>
        <v>1287.4659999999999</v>
      </c>
      <c r="V16" s="178">
        <f t="shared" ref="V16" si="18">F16/$F$66*$V$69</f>
        <v>0</v>
      </c>
      <c r="W16" s="178">
        <f t="shared" ref="W16" si="19">G16/$G$66*$W$69</f>
        <v>83.382274239202658</v>
      </c>
      <c r="X16" s="178">
        <f t="shared" ref="X16" si="20">H16/$H$66*$X$69</f>
        <v>0</v>
      </c>
      <c r="Y16" s="178">
        <f t="shared" ref="Y16" si="21">I16/$I$66*$Y$69</f>
        <v>0</v>
      </c>
      <c r="Z16" s="178">
        <f t="shared" ref="Z16" si="22">J16/$J$66*$Z$69</f>
        <v>0</v>
      </c>
      <c r="AA16" s="178">
        <f t="shared" ref="AA16" si="23">K16/$K$66*$AA$69</f>
        <v>0</v>
      </c>
      <c r="AB16" s="178">
        <f t="shared" ref="AB16" si="24">L16/$L$66*$AB$69</f>
        <v>44.483289849447978</v>
      </c>
      <c r="AC16" s="178">
        <f t="shared" ref="AC16" si="25">M16/$M$66*$AC$69</f>
        <v>1.6525502782399228</v>
      </c>
      <c r="AD16" s="178">
        <f t="shared" ref="AD16" si="26">N16/$N$66*$AD$69</f>
        <v>22.850606427694334</v>
      </c>
      <c r="AE16" s="31">
        <f>SUM(S16:AD16)</f>
        <v>1440.896852745685</v>
      </c>
    </row>
    <row r="17" spans="1:31" s="33" customFormat="1" ht="24.75" thickBot="1">
      <c r="A17" s="43">
        <v>20200</v>
      </c>
      <c r="B17" s="29" t="s">
        <v>37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2"/>
      <c r="Q17" s="43">
        <v>20200</v>
      </c>
      <c r="R17" s="29" t="s">
        <v>37</v>
      </c>
      <c r="S17" s="178">
        <f t="shared" ref="S17:S53" si="27">C17/$C$66*$S$69</f>
        <v>0</v>
      </c>
      <c r="T17" s="178">
        <f t="shared" ref="T17:T53" si="28">D17/$D$66*$T$69</f>
        <v>0</v>
      </c>
      <c r="U17" s="178">
        <f t="shared" ref="U17:U52" si="29">E17/$E$66*$U$69</f>
        <v>0</v>
      </c>
      <c r="V17" s="178">
        <f t="shared" ref="V17:V53" si="30">F17/$F$66*$V$69</f>
        <v>0</v>
      </c>
      <c r="W17" s="178">
        <f t="shared" ref="W17:W53" si="31">G17/$G$66*$W$69</f>
        <v>0</v>
      </c>
      <c r="X17" s="178">
        <f t="shared" ref="X17:X53" si="32">H17/$H$66*$X$69</f>
        <v>0</v>
      </c>
      <c r="Y17" s="178">
        <f t="shared" ref="Y17:Y53" si="33">I17/$I$66*$Y$69</f>
        <v>0</v>
      </c>
      <c r="Z17" s="178">
        <f t="shared" ref="Z17:Z53" si="34">J17/$J$66*$Z$69</f>
        <v>0</v>
      </c>
      <c r="AA17" s="178">
        <f t="shared" ref="AA17:AA53" si="35">K17/$K$66*$AA$69</f>
        <v>0</v>
      </c>
      <c r="AB17" s="178">
        <f t="shared" ref="AB17:AB53" si="36">L17/$L$66*$AB$69</f>
        <v>0</v>
      </c>
      <c r="AC17" s="178">
        <f t="shared" ref="AC17:AC53" si="37">M17/$M$66*$AC$69</f>
        <v>0</v>
      </c>
      <c r="AD17" s="178">
        <f t="shared" ref="AD17:AD53" si="38">N17/$N$66*$AD$69</f>
        <v>0</v>
      </c>
      <c r="AE17" s="45"/>
    </row>
    <row r="18" spans="1:31" s="33" customFormat="1" ht="24.75" thickBot="1">
      <c r="A18" s="28">
        <v>20201</v>
      </c>
      <c r="B18" s="29" t="s">
        <v>38</v>
      </c>
      <c r="C18" s="45">
        <v>0</v>
      </c>
      <c r="D18" s="45">
        <v>0</v>
      </c>
      <c r="E18" s="45">
        <v>18068</v>
      </c>
      <c r="F18" s="45">
        <v>0</v>
      </c>
      <c r="G18" s="45">
        <v>14.632724252491693</v>
      </c>
      <c r="H18" s="45">
        <v>0</v>
      </c>
      <c r="I18" s="45">
        <v>0</v>
      </c>
      <c r="J18" s="45">
        <v>0</v>
      </c>
      <c r="K18" s="45">
        <v>0</v>
      </c>
      <c r="L18" s="45">
        <v>598.7547117207539</v>
      </c>
      <c r="M18" s="45">
        <v>140.39497606255262</v>
      </c>
      <c r="N18" s="45">
        <v>321.50184188155288</v>
      </c>
      <c r="O18" s="45">
        <f>SUM(C18:N18)</f>
        <v>19143.284253917351</v>
      </c>
      <c r="P18" s="32"/>
      <c r="Q18" s="28">
        <v>20201</v>
      </c>
      <c r="R18" s="29" t="s">
        <v>38</v>
      </c>
      <c r="S18" s="178">
        <f t="shared" si="27"/>
        <v>0</v>
      </c>
      <c r="T18" s="178">
        <f t="shared" si="28"/>
        <v>0</v>
      </c>
      <c r="U18" s="178">
        <f>17807033/1000</f>
        <v>17807.032999999999</v>
      </c>
      <c r="V18" s="178">
        <f t="shared" si="30"/>
        <v>0</v>
      </c>
      <c r="W18" s="178">
        <f t="shared" si="31"/>
        <v>14.714518983388704</v>
      </c>
      <c r="X18" s="178">
        <f t="shared" si="32"/>
        <v>0</v>
      </c>
      <c r="Y18" s="178">
        <f t="shared" si="33"/>
        <v>0</v>
      </c>
      <c r="Z18" s="178">
        <f t="shared" si="34"/>
        <v>0</v>
      </c>
      <c r="AA18" s="178">
        <f t="shared" si="35"/>
        <v>0</v>
      </c>
      <c r="AB18" s="178">
        <f t="shared" si="36"/>
        <v>556.9678583232967</v>
      </c>
      <c r="AC18" s="178">
        <f t="shared" si="37"/>
        <v>29.745905008318612</v>
      </c>
      <c r="AD18" s="178">
        <f t="shared" si="38"/>
        <v>279.72294075281002</v>
      </c>
      <c r="AE18" s="45">
        <f>SUM(S18:AD18)</f>
        <v>18688.184223067816</v>
      </c>
    </row>
    <row r="19" spans="1:31" s="33" customFormat="1" ht="24.75" thickBot="1">
      <c r="A19" s="28">
        <v>20202</v>
      </c>
      <c r="B19" s="29" t="s">
        <v>39</v>
      </c>
      <c r="C19" s="45">
        <v>0</v>
      </c>
      <c r="D19" s="45">
        <v>0</v>
      </c>
      <c r="E19" s="45">
        <v>3128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105.60399241663877</v>
      </c>
      <c r="M19" s="45">
        <v>23.399162677092104</v>
      </c>
      <c r="N19" s="45">
        <v>57.055256446585432</v>
      </c>
      <c r="O19" s="45">
        <f>SUM(C19:N19)</f>
        <v>3314.0584115403167</v>
      </c>
      <c r="P19" s="32"/>
      <c r="Q19" s="28">
        <v>20202</v>
      </c>
      <c r="R19" s="29" t="s">
        <v>39</v>
      </c>
      <c r="S19" s="178">
        <f t="shared" si="27"/>
        <v>0</v>
      </c>
      <c r="T19" s="178">
        <f t="shared" si="28"/>
        <v>0</v>
      </c>
      <c r="U19" s="178">
        <f>3054261.23/1000</f>
        <v>3054.2612300000001</v>
      </c>
      <c r="V19" s="178">
        <f t="shared" si="30"/>
        <v>0</v>
      </c>
      <c r="W19" s="178">
        <f t="shared" si="31"/>
        <v>0</v>
      </c>
      <c r="X19" s="178">
        <f t="shared" si="32"/>
        <v>0</v>
      </c>
      <c r="Y19" s="178">
        <f t="shared" si="33"/>
        <v>0</v>
      </c>
      <c r="Z19" s="178">
        <f t="shared" si="34"/>
        <v>0</v>
      </c>
      <c r="AA19" s="178">
        <f t="shared" si="35"/>
        <v>0</v>
      </c>
      <c r="AB19" s="178">
        <f t="shared" si="36"/>
        <v>98.233931750864286</v>
      </c>
      <c r="AC19" s="178">
        <f t="shared" si="37"/>
        <v>4.957650834719769</v>
      </c>
      <c r="AD19" s="178">
        <f t="shared" si="38"/>
        <v>49.640972584301487</v>
      </c>
      <c r="AE19" s="45">
        <f>SUM(S19:AD19)</f>
        <v>3207.0937851698859</v>
      </c>
    </row>
    <row r="20" spans="1:31" s="33" customFormat="1" ht="36.75" thickBot="1">
      <c r="A20" s="28">
        <v>20300</v>
      </c>
      <c r="B20" s="29" t="s">
        <v>40</v>
      </c>
      <c r="C20" s="45">
        <v>103.82111652267554</v>
      </c>
      <c r="D20" s="45">
        <v>210.52996389891695</v>
      </c>
      <c r="E20" s="45">
        <v>1986</v>
      </c>
      <c r="F20" s="45">
        <v>0</v>
      </c>
      <c r="G20" s="45">
        <v>6043.31511627907</v>
      </c>
      <c r="H20" s="45">
        <v>3306.5397132206976</v>
      </c>
      <c r="I20" s="45">
        <v>0</v>
      </c>
      <c r="J20" s="45">
        <v>3542.4910783460018</v>
      </c>
      <c r="K20" s="45">
        <v>227.06905779024711</v>
      </c>
      <c r="L20" s="45">
        <v>318.80450540872084</v>
      </c>
      <c r="M20" s="45">
        <v>70.197488031276308</v>
      </c>
      <c r="N20" s="45">
        <v>171.16576933975631</v>
      </c>
      <c r="O20" s="45">
        <f>SUM(C20:N20)</f>
        <v>15979.933808837362</v>
      </c>
      <c r="P20" s="32"/>
      <c r="Q20" s="28">
        <v>20300</v>
      </c>
      <c r="R20" s="29" t="s">
        <v>40</v>
      </c>
      <c r="S20" s="178">
        <f t="shared" si="27"/>
        <v>108.33745901221273</v>
      </c>
      <c r="T20" s="178">
        <f t="shared" si="28"/>
        <v>197.06171702527075</v>
      </c>
      <c r="U20" s="178">
        <f t="shared" si="29"/>
        <v>1993.7036403746588</v>
      </c>
      <c r="V20" s="178">
        <f t="shared" si="30"/>
        <v>0</v>
      </c>
      <c r="W20" s="178">
        <f t="shared" si="31"/>
        <v>6077.0963401395356</v>
      </c>
      <c r="X20" s="178">
        <f t="shared" si="32"/>
        <v>3379.9781384413654</v>
      </c>
      <c r="Y20" s="178">
        <f t="shared" si="33"/>
        <v>0</v>
      </c>
      <c r="Z20" s="178">
        <f t="shared" si="34"/>
        <v>3651.1071904618179</v>
      </c>
      <c r="AA20" s="178">
        <f t="shared" si="35"/>
        <v>223.09564686734475</v>
      </c>
      <c r="AB20" s="178">
        <f t="shared" si="36"/>
        <v>296.55526566298653</v>
      </c>
      <c r="AC20" s="178">
        <f t="shared" si="37"/>
        <v>14.872952504159306</v>
      </c>
      <c r="AD20" s="178">
        <f t="shared" si="38"/>
        <v>148.92291775290445</v>
      </c>
      <c r="AE20" s="45">
        <f>SUM(S20:AD20)</f>
        <v>16090.731268242258</v>
      </c>
    </row>
    <row r="21" spans="1:31" s="33" customFormat="1" ht="24.75" thickBot="1">
      <c r="A21" s="28">
        <v>20400</v>
      </c>
      <c r="B21" s="29" t="s">
        <v>41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2"/>
      <c r="Q21" s="28">
        <v>20400</v>
      </c>
      <c r="R21" s="29" t="s">
        <v>41</v>
      </c>
      <c r="S21" s="178">
        <f t="shared" si="27"/>
        <v>0</v>
      </c>
      <c r="T21" s="178">
        <f t="shared" si="28"/>
        <v>0</v>
      </c>
      <c r="U21" s="178">
        <f t="shared" si="29"/>
        <v>0</v>
      </c>
      <c r="V21" s="178">
        <f t="shared" si="30"/>
        <v>0</v>
      </c>
      <c r="W21" s="178">
        <f t="shared" si="31"/>
        <v>0</v>
      </c>
      <c r="X21" s="178">
        <f t="shared" si="32"/>
        <v>0</v>
      </c>
      <c r="Y21" s="178">
        <f t="shared" si="33"/>
        <v>0</v>
      </c>
      <c r="Z21" s="178">
        <f t="shared" si="34"/>
        <v>0</v>
      </c>
      <c r="AA21" s="178">
        <f t="shared" si="35"/>
        <v>0</v>
      </c>
      <c r="AB21" s="178">
        <f t="shared" si="36"/>
        <v>0</v>
      </c>
      <c r="AC21" s="178">
        <f t="shared" si="37"/>
        <v>0</v>
      </c>
      <c r="AD21" s="178">
        <f t="shared" si="38"/>
        <v>0</v>
      </c>
      <c r="AE21" s="45"/>
    </row>
    <row r="22" spans="1:31" s="33" customFormat="1" ht="60.75" thickBot="1">
      <c r="A22" s="43">
        <v>20401</v>
      </c>
      <c r="B22" s="29" t="s">
        <v>42</v>
      </c>
      <c r="C22" s="45">
        <v>6677.1227881250152</v>
      </c>
      <c r="D22" s="45">
        <v>29.6057761732852</v>
      </c>
      <c r="E22" s="45">
        <v>37429</v>
      </c>
      <c r="F22" s="45">
        <v>0</v>
      </c>
      <c r="G22" s="45">
        <v>902.35132890365446</v>
      </c>
      <c r="H22" s="45">
        <v>473.09267219443228</v>
      </c>
      <c r="I22" s="45">
        <v>0</v>
      </c>
      <c r="J22" s="45">
        <v>182.89757802824758</v>
      </c>
      <c r="K22" s="45">
        <v>689.03714088074992</v>
      </c>
      <c r="L22" s="45">
        <v>1312.0797925727668</v>
      </c>
      <c r="M22" s="45">
        <v>311.98883569456137</v>
      </c>
      <c r="N22" s="45">
        <v>704.58713516576938</v>
      </c>
      <c r="O22" s="45">
        <f>SUM(C22:N22)</f>
        <v>48711.763047738488</v>
      </c>
      <c r="P22" s="32"/>
      <c r="Q22" s="43">
        <v>20401</v>
      </c>
      <c r="R22" s="29" t="s">
        <v>42</v>
      </c>
      <c r="S22" s="178">
        <f t="shared" si="27"/>
        <v>6967.5855992168181</v>
      </c>
      <c r="T22" s="178">
        <f t="shared" si="28"/>
        <v>27.711803956678704</v>
      </c>
      <c r="U22" s="178">
        <f>34278512.23/1000</f>
        <v>34278.51223</v>
      </c>
      <c r="V22" s="178">
        <f t="shared" si="30"/>
        <v>0</v>
      </c>
      <c r="W22" s="178">
        <f t="shared" si="31"/>
        <v>907.39533730897017</v>
      </c>
      <c r="X22" s="178">
        <f t="shared" si="32"/>
        <v>483.60008593892212</v>
      </c>
      <c r="Y22" s="178">
        <f t="shared" si="33"/>
        <v>0</v>
      </c>
      <c r="Z22" s="178">
        <f t="shared" si="34"/>
        <v>188.50538998923145</v>
      </c>
      <c r="AA22" s="178">
        <f t="shared" si="35"/>
        <v>676.9798939422875</v>
      </c>
      <c r="AB22" s="178">
        <f t="shared" si="36"/>
        <v>1220.510265244229</v>
      </c>
      <c r="AC22" s="178">
        <f t="shared" si="37"/>
        <v>66.102011129596917</v>
      </c>
      <c r="AD22" s="178">
        <f t="shared" si="38"/>
        <v>613.02661381883433</v>
      </c>
      <c r="AE22" s="45">
        <f>SUM(S22:AD22)</f>
        <v>45429.929230545567</v>
      </c>
    </row>
    <row r="23" spans="1:31" s="33" customFormat="1" ht="60.75" thickBot="1">
      <c r="A23" s="43">
        <v>20402</v>
      </c>
      <c r="B23" s="29" t="s">
        <v>43</v>
      </c>
      <c r="C23" s="45">
        <v>0</v>
      </c>
      <c r="D23" s="45">
        <v>4.9342960288808664</v>
      </c>
      <c r="E23" s="45">
        <v>2329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597.75844764135172</v>
      </c>
      <c r="M23" s="45">
        <v>148.19469695491665</v>
      </c>
      <c r="N23" s="45">
        <v>321.50184188155288</v>
      </c>
      <c r="O23" s="45">
        <f>SUM(C23:N23)</f>
        <v>3401.3892825067023</v>
      </c>
      <c r="P23" s="32"/>
      <c r="Q23" s="43">
        <v>20402</v>
      </c>
      <c r="R23" s="29" t="s">
        <v>43</v>
      </c>
      <c r="S23" s="178">
        <f t="shared" si="27"/>
        <v>0</v>
      </c>
      <c r="T23" s="178">
        <f t="shared" si="28"/>
        <v>4.6186339927797837</v>
      </c>
      <c r="U23" s="178">
        <f>3188551.45/1000</f>
        <v>3188.5514500000004</v>
      </c>
      <c r="V23" s="178">
        <f t="shared" si="30"/>
        <v>0</v>
      </c>
      <c r="W23" s="178">
        <f t="shared" si="31"/>
        <v>0</v>
      </c>
      <c r="X23" s="178">
        <f t="shared" si="32"/>
        <v>0</v>
      </c>
      <c r="Y23" s="178">
        <f t="shared" si="33"/>
        <v>0</v>
      </c>
      <c r="Z23" s="178">
        <f t="shared" si="34"/>
        <v>0</v>
      </c>
      <c r="AA23" s="178">
        <f t="shared" si="35"/>
        <v>0</v>
      </c>
      <c r="AB23" s="178">
        <f t="shared" si="36"/>
        <v>556.04112311809979</v>
      </c>
      <c r="AC23" s="178">
        <f t="shared" si="37"/>
        <v>31.398455286558537</v>
      </c>
      <c r="AD23" s="178">
        <f t="shared" si="38"/>
        <v>279.72294075281002</v>
      </c>
      <c r="AE23" s="45">
        <f>SUM(S23:AD23)</f>
        <v>4060.3326031502484</v>
      </c>
    </row>
    <row r="24" spans="1:31" s="33" customFormat="1" ht="24.75" thickBot="1">
      <c r="A24" s="28">
        <v>20500</v>
      </c>
      <c r="B24" s="29" t="s">
        <v>44</v>
      </c>
      <c r="C24" s="45">
        <v>0</v>
      </c>
      <c r="D24" s="45">
        <v>0</v>
      </c>
      <c r="E24" s="45">
        <v>6511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214.19677707148432</v>
      </c>
      <c r="M24" s="45">
        <v>46.798325354184207</v>
      </c>
      <c r="N24" s="45">
        <v>115.0161518843865</v>
      </c>
      <c r="O24" s="45">
        <f>SUM(C24:N24)</f>
        <v>6887.0112543100549</v>
      </c>
      <c r="P24" s="32"/>
      <c r="Q24" s="28">
        <v>20500</v>
      </c>
      <c r="R24" s="29" t="s">
        <v>44</v>
      </c>
      <c r="S24" s="178">
        <f t="shared" si="27"/>
        <v>0</v>
      </c>
      <c r="T24" s="178">
        <f t="shared" si="28"/>
        <v>0</v>
      </c>
      <c r="U24" s="178">
        <f>6449716.96/1000</f>
        <v>6449.7169599999997</v>
      </c>
      <c r="V24" s="178">
        <f t="shared" si="30"/>
        <v>0</v>
      </c>
      <c r="W24" s="178">
        <f t="shared" si="31"/>
        <v>0</v>
      </c>
      <c r="X24" s="178">
        <f t="shared" si="32"/>
        <v>0</v>
      </c>
      <c r="Y24" s="178">
        <f t="shared" si="33"/>
        <v>0</v>
      </c>
      <c r="Z24" s="178">
        <f t="shared" si="34"/>
        <v>0</v>
      </c>
      <c r="AA24" s="178">
        <f t="shared" si="35"/>
        <v>0</v>
      </c>
      <c r="AB24" s="178">
        <f t="shared" si="36"/>
        <v>199.24806911731906</v>
      </c>
      <c r="AC24" s="178">
        <f t="shared" si="37"/>
        <v>9.9153016694395379</v>
      </c>
      <c r="AD24" s="178">
        <f t="shared" si="38"/>
        <v>100.06989711438553</v>
      </c>
      <c r="AE24" s="45">
        <f>SUM(S24:AD24)</f>
        <v>6758.950227901144</v>
      </c>
    </row>
    <row r="25" spans="1:31" s="33" customFormat="1" ht="24.75" thickBot="1">
      <c r="A25" s="43">
        <v>20600</v>
      </c>
      <c r="B25" s="29" t="s">
        <v>45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2"/>
      <c r="Q25" s="43">
        <v>20600</v>
      </c>
      <c r="R25" s="29" t="s">
        <v>45</v>
      </c>
      <c r="S25" s="178">
        <f t="shared" si="27"/>
        <v>0</v>
      </c>
      <c r="T25" s="178">
        <f t="shared" si="28"/>
        <v>0</v>
      </c>
      <c r="U25" s="178">
        <f t="shared" si="29"/>
        <v>0</v>
      </c>
      <c r="V25" s="178">
        <f t="shared" si="30"/>
        <v>0</v>
      </c>
      <c r="W25" s="178">
        <f t="shared" si="31"/>
        <v>0</v>
      </c>
      <c r="X25" s="178">
        <f t="shared" si="32"/>
        <v>0</v>
      </c>
      <c r="Y25" s="178">
        <f t="shared" si="33"/>
        <v>0</v>
      </c>
      <c r="Z25" s="178">
        <f t="shared" si="34"/>
        <v>0</v>
      </c>
      <c r="AA25" s="178">
        <f t="shared" si="35"/>
        <v>0</v>
      </c>
      <c r="AB25" s="178">
        <f t="shared" si="36"/>
        <v>0</v>
      </c>
      <c r="AC25" s="178">
        <f t="shared" si="37"/>
        <v>0</v>
      </c>
      <c r="AD25" s="178">
        <f t="shared" si="38"/>
        <v>0</v>
      </c>
      <c r="AE25" s="45"/>
    </row>
    <row r="26" spans="1:31" s="33" customFormat="1" ht="24.75" thickBot="1">
      <c r="A26" s="28">
        <v>20601</v>
      </c>
      <c r="B26" s="29" t="s">
        <v>46</v>
      </c>
      <c r="C26" s="45">
        <v>16084.130228346265</v>
      </c>
      <c r="D26" s="45">
        <v>365.13790613718413</v>
      </c>
      <c r="E26" s="45">
        <v>23376</v>
      </c>
      <c r="F26" s="45">
        <v>1161.9752983988355</v>
      </c>
      <c r="G26" s="45">
        <v>11301.340697674419</v>
      </c>
      <c r="H26" s="45">
        <v>17564.714978449876</v>
      </c>
      <c r="I26" s="45">
        <v>0</v>
      </c>
      <c r="J26" s="45">
        <v>2180.466097833968</v>
      </c>
      <c r="K26" s="45">
        <v>1192.1125533987974</v>
      </c>
      <c r="L26" s="45">
        <v>2258.5306680049071</v>
      </c>
      <c r="M26" s="45">
        <v>530.38102068075432</v>
      </c>
      <c r="N26" s="45">
        <v>1211.744970246529</v>
      </c>
      <c r="O26" s="45">
        <f>SUM(C26:N26)</f>
        <v>77226.534419171527</v>
      </c>
      <c r="P26" s="32"/>
      <c r="Q26" s="28">
        <v>20601</v>
      </c>
      <c r="R26" s="29" t="s">
        <v>46</v>
      </c>
      <c r="S26" s="178">
        <f>C26/$C$66*$S$69-100</f>
        <v>16683.809091284173</v>
      </c>
      <c r="T26" s="178">
        <f t="shared" si="28"/>
        <v>341.77891546570402</v>
      </c>
      <c r="U26" s="178">
        <f>E26/$E$66*$U$69+2020-1058</f>
        <v>24428.674872808668</v>
      </c>
      <c r="V26" s="178">
        <f t="shared" si="30"/>
        <v>1300.3152840860121</v>
      </c>
      <c r="W26" s="178">
        <f t="shared" si="31"/>
        <v>11364.513494837211</v>
      </c>
      <c r="X26" s="178">
        <f t="shared" si="32"/>
        <v>17954.828244686982</v>
      </c>
      <c r="Y26" s="178">
        <f t="shared" si="33"/>
        <v>0</v>
      </c>
      <c r="Z26" s="178">
        <f t="shared" si="34"/>
        <v>2247.3212415475969</v>
      </c>
      <c r="AA26" s="178">
        <f t="shared" si="35"/>
        <v>1171.25214605356</v>
      </c>
      <c r="AB26" s="178">
        <f t="shared" si="36"/>
        <v>2100.9087101812202</v>
      </c>
      <c r="AC26" s="178">
        <f t="shared" si="37"/>
        <v>112.37341892031476</v>
      </c>
      <c r="AD26" s="178">
        <f t="shared" si="38"/>
        <v>1054.2797034570699</v>
      </c>
      <c r="AE26" s="45">
        <f>SUM(S26:AD26)</f>
        <v>78760.055123328522</v>
      </c>
    </row>
    <row r="27" spans="1:31" s="33" customFormat="1" ht="24.75" thickBot="1">
      <c r="A27" s="28">
        <v>20602</v>
      </c>
      <c r="B27" s="29" t="s">
        <v>47</v>
      </c>
      <c r="C27" s="45">
        <v>4855.1639785604148</v>
      </c>
      <c r="D27" s="45">
        <v>42.763898916967506</v>
      </c>
      <c r="E27" s="45">
        <v>288</v>
      </c>
      <c r="F27" s="45">
        <v>951.04730713245999</v>
      </c>
      <c r="G27" s="45">
        <v>4311.7760797342198</v>
      </c>
      <c r="H27" s="45">
        <v>3632.4934117736652</v>
      </c>
      <c r="I27" s="45">
        <v>0</v>
      </c>
      <c r="J27" s="45">
        <v>542.56208901117009</v>
      </c>
      <c r="K27" s="45">
        <v>363.11474327664519</v>
      </c>
      <c r="L27" s="45">
        <v>367.62144529943123</v>
      </c>
      <c r="M27" s="45">
        <v>85.796929816004365</v>
      </c>
      <c r="N27" s="45">
        <v>197.42930008500994</v>
      </c>
      <c r="O27" s="45">
        <f>SUM(C27:N27)</f>
        <v>15637.769183605988</v>
      </c>
      <c r="P27" s="32"/>
      <c r="Q27" s="28">
        <v>20602</v>
      </c>
      <c r="R27" s="29" t="s">
        <v>47</v>
      </c>
      <c r="S27" s="178">
        <f>C27/$C$66*$S$69+100</f>
        <v>5166.3694067475953</v>
      </c>
      <c r="T27" s="178">
        <f t="shared" si="28"/>
        <v>40.028161270758126</v>
      </c>
      <c r="U27" s="178">
        <f>E27/$E$66*$U$69+200</f>
        <v>489.11714422351548</v>
      </c>
      <c r="V27" s="178">
        <f t="shared" si="30"/>
        <v>1064.2750762922935</v>
      </c>
      <c r="W27" s="178">
        <f t="shared" si="31"/>
        <v>4335.8782604385387</v>
      </c>
      <c r="X27" s="178">
        <f t="shared" si="32"/>
        <v>3713.1712862048989</v>
      </c>
      <c r="Y27" s="178">
        <f t="shared" si="33"/>
        <v>0</v>
      </c>
      <c r="Z27" s="178">
        <f t="shared" si="34"/>
        <v>559.19755354347421</v>
      </c>
      <c r="AA27" s="178">
        <f t="shared" si="35"/>
        <v>356.76071115424526</v>
      </c>
      <c r="AB27" s="178">
        <f t="shared" si="36"/>
        <v>341.96529071763132</v>
      </c>
      <c r="AC27" s="178">
        <f t="shared" si="37"/>
        <v>18.178053060639151</v>
      </c>
      <c r="AD27" s="178">
        <f t="shared" si="38"/>
        <v>171.77352418059883</v>
      </c>
      <c r="AE27" s="45">
        <f>SUM(S27:AD27)</f>
        <v>16256.714467834188</v>
      </c>
    </row>
    <row r="28" spans="1:31" s="33" customFormat="1" ht="48.75" thickBot="1">
      <c r="A28" s="28">
        <v>20603</v>
      </c>
      <c r="B28" s="29" t="s">
        <v>48</v>
      </c>
      <c r="C28" s="45">
        <v>1744.6018992143713</v>
      </c>
      <c r="D28" s="45">
        <v>106.90974729241877</v>
      </c>
      <c r="E28" s="45">
        <v>899</v>
      </c>
      <c r="F28" s="45">
        <v>96.308588064046575</v>
      </c>
      <c r="G28" s="45">
        <v>3853.284053156146</v>
      </c>
      <c r="H28" s="45">
        <v>7700.2729539033298</v>
      </c>
      <c r="I28" s="45">
        <v>0</v>
      </c>
      <c r="J28" s="45">
        <v>484.32096081223096</v>
      </c>
      <c r="K28" s="45">
        <v>568.65139041436896</v>
      </c>
      <c r="L28" s="45">
        <v>538.97886695661873</v>
      </c>
      <c r="M28" s="45">
        <v>124.79553427782454</v>
      </c>
      <c r="N28" s="45">
        <v>288.8988381977897</v>
      </c>
      <c r="O28" s="45">
        <f>SUM(C28:N28)</f>
        <v>16406.022832289145</v>
      </c>
      <c r="P28" s="32"/>
      <c r="Q28" s="28">
        <v>20603</v>
      </c>
      <c r="R28" s="29" t="s">
        <v>48</v>
      </c>
      <c r="S28" s="178">
        <f t="shared" si="27"/>
        <v>1820.494164185614</v>
      </c>
      <c r="T28" s="178">
        <f t="shared" si="28"/>
        <v>100.07040317689531</v>
      </c>
      <c r="U28" s="178">
        <f>E28/$E$66*$U$69+409</f>
        <v>1311.4871967254876</v>
      </c>
      <c r="V28" s="178">
        <f t="shared" si="30"/>
        <v>107.77469127010568</v>
      </c>
      <c r="W28" s="178">
        <f t="shared" si="31"/>
        <v>3874.8233322923588</v>
      </c>
      <c r="X28" s="178">
        <f t="shared" si="32"/>
        <v>7871.2964311786545</v>
      </c>
      <c r="Y28" s="178">
        <f t="shared" si="33"/>
        <v>0</v>
      </c>
      <c r="Z28" s="178">
        <f t="shared" si="34"/>
        <v>499.1706975133838</v>
      </c>
      <c r="AA28" s="178">
        <f t="shared" si="35"/>
        <v>558.70073633589368</v>
      </c>
      <c r="AB28" s="178">
        <f t="shared" si="36"/>
        <v>501.36374601148663</v>
      </c>
      <c r="AC28" s="178">
        <f t="shared" si="37"/>
        <v>26.440804451838765</v>
      </c>
      <c r="AD28" s="178">
        <f t="shared" si="38"/>
        <v>251.35667070463768</v>
      </c>
      <c r="AE28" s="45">
        <f>SUM(S28:AD28)</f>
        <v>16922.978873846358</v>
      </c>
    </row>
    <row r="29" spans="1:31" s="33" customFormat="1" ht="24.75" thickBot="1">
      <c r="A29" s="28">
        <v>20700</v>
      </c>
      <c r="B29" s="29" t="s">
        <v>49</v>
      </c>
      <c r="C29" s="45">
        <v>0</v>
      </c>
      <c r="D29" s="45">
        <v>8.2238267148014437</v>
      </c>
      <c r="E29" s="45">
        <v>3621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112.57784097245455</v>
      </c>
      <c r="M29" s="45">
        <v>23.399162677092104</v>
      </c>
      <c r="N29" s="45">
        <v>59.772173420232356</v>
      </c>
      <c r="O29" s="45">
        <f>SUM(C29:N29)</f>
        <v>3824.9730037845802</v>
      </c>
      <c r="P29" s="32"/>
      <c r="Q29" s="28">
        <v>20700</v>
      </c>
      <c r="R29" s="29" t="s">
        <v>49</v>
      </c>
      <c r="S29" s="178">
        <f t="shared" si="27"/>
        <v>0</v>
      </c>
      <c r="T29" s="178">
        <f t="shared" si="28"/>
        <v>7.6977233212996392</v>
      </c>
      <c r="U29" s="178">
        <f>3592670.92/1000</f>
        <v>3592.67092</v>
      </c>
      <c r="V29" s="178">
        <f t="shared" si="30"/>
        <v>0</v>
      </c>
      <c r="W29" s="178">
        <f t="shared" si="31"/>
        <v>0</v>
      </c>
      <c r="X29" s="178">
        <f t="shared" si="32"/>
        <v>0</v>
      </c>
      <c r="Y29" s="178">
        <f t="shared" si="33"/>
        <v>0</v>
      </c>
      <c r="Z29" s="178">
        <f t="shared" si="34"/>
        <v>0</v>
      </c>
      <c r="AA29" s="178">
        <f t="shared" si="35"/>
        <v>0</v>
      </c>
      <c r="AB29" s="178">
        <f t="shared" si="36"/>
        <v>104.72107818724211</v>
      </c>
      <c r="AC29" s="178">
        <f t="shared" si="37"/>
        <v>4.957650834719769</v>
      </c>
      <c r="AD29" s="178">
        <f t="shared" si="38"/>
        <v>52.004828421649172</v>
      </c>
      <c r="AE29" s="45">
        <f>SUM(S29:AD29)</f>
        <v>3762.052200764911</v>
      </c>
    </row>
    <row r="30" spans="1:31" s="33" customFormat="1" ht="48.75" thickBot="1">
      <c r="A30" s="60">
        <v>20800</v>
      </c>
      <c r="B30" s="172" t="s">
        <v>50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32"/>
      <c r="Q30" s="60">
        <v>20800</v>
      </c>
      <c r="R30" s="172" t="s">
        <v>50</v>
      </c>
      <c r="S30" s="178">
        <f t="shared" si="27"/>
        <v>0</v>
      </c>
      <c r="T30" s="178">
        <f t="shared" si="28"/>
        <v>0</v>
      </c>
      <c r="U30" s="178">
        <f t="shared" si="29"/>
        <v>0</v>
      </c>
      <c r="V30" s="178">
        <f t="shared" si="30"/>
        <v>0</v>
      </c>
      <c r="W30" s="178">
        <f t="shared" si="31"/>
        <v>0</v>
      </c>
      <c r="X30" s="178">
        <f t="shared" si="32"/>
        <v>0</v>
      </c>
      <c r="Y30" s="178">
        <f t="shared" si="33"/>
        <v>0</v>
      </c>
      <c r="Z30" s="178">
        <f t="shared" si="34"/>
        <v>0</v>
      </c>
      <c r="AA30" s="178">
        <f t="shared" si="35"/>
        <v>0</v>
      </c>
      <c r="AB30" s="178">
        <f t="shared" si="36"/>
        <v>0</v>
      </c>
      <c r="AC30" s="178">
        <f t="shared" si="37"/>
        <v>0</v>
      </c>
      <c r="AD30" s="178">
        <f t="shared" si="38"/>
        <v>0</v>
      </c>
      <c r="AE30" s="45"/>
    </row>
    <row r="31" spans="1:31" s="33" customFormat="1" ht="48.75" thickBot="1">
      <c r="A31" s="28">
        <v>20801</v>
      </c>
      <c r="B31" s="29" t="s">
        <v>51</v>
      </c>
      <c r="C31" s="45">
        <v>1586.8345162632468</v>
      </c>
      <c r="D31" s="45">
        <v>54.277256317689535</v>
      </c>
      <c r="E31" s="45">
        <v>1919</v>
      </c>
      <c r="F31" s="45">
        <v>1289.8471615720523</v>
      </c>
      <c r="G31" s="45">
        <v>1297.4348837209302</v>
      </c>
      <c r="H31" s="45">
        <v>5134.5371010302852</v>
      </c>
      <c r="I31" s="45">
        <v>0</v>
      </c>
      <c r="J31" s="45">
        <v>396.44838142435788</v>
      </c>
      <c r="K31" s="45">
        <v>4391.6330271760298</v>
      </c>
      <c r="L31" s="45">
        <v>570.85931749749079</v>
      </c>
      <c r="M31" s="45">
        <v>132.59525517018858</v>
      </c>
      <c r="N31" s="45">
        <v>306.10597903088689</v>
      </c>
      <c r="O31" s="45">
        <f t="shared" ref="O31:O36" si="39">SUM(C31:N31)</f>
        <v>17079.572879203159</v>
      </c>
      <c r="P31" s="32"/>
      <c r="Q31" s="28">
        <v>20801</v>
      </c>
      <c r="R31" s="29" t="s">
        <v>51</v>
      </c>
      <c r="S31" s="178">
        <f t="shared" si="27"/>
        <v>1655.8637117650946</v>
      </c>
      <c r="T31" s="178">
        <f t="shared" si="28"/>
        <v>50.804973920577623</v>
      </c>
      <c r="U31" s="178">
        <f t="shared" si="29"/>
        <v>1926.4437491837714</v>
      </c>
      <c r="V31" s="178">
        <f t="shared" si="30"/>
        <v>1443.4110437960583</v>
      </c>
      <c r="W31" s="178">
        <f t="shared" si="31"/>
        <v>1304.6873498604652</v>
      </c>
      <c r="X31" s="178">
        <f t="shared" si="32"/>
        <v>5248.5754467453207</v>
      </c>
      <c r="Y31" s="178">
        <f t="shared" si="33"/>
        <v>0</v>
      </c>
      <c r="Z31" s="178">
        <f t="shared" si="34"/>
        <v>408.60386209956312</v>
      </c>
      <c r="AA31" s="178">
        <f t="shared" si="35"/>
        <v>4314.7852047145516</v>
      </c>
      <c r="AB31" s="178">
        <f t="shared" si="36"/>
        <v>531.01927257778527</v>
      </c>
      <c r="AC31" s="178">
        <f t="shared" si="37"/>
        <v>28.093354730078691</v>
      </c>
      <c r="AD31" s="178">
        <f t="shared" si="38"/>
        <v>266.32775767450636</v>
      </c>
      <c r="AE31" s="45">
        <f t="shared" ref="AE31:AE36" si="40">SUM(S31:AD31)</f>
        <v>17178.615727067772</v>
      </c>
    </row>
    <row r="32" spans="1:31" s="33" customFormat="1" ht="60.75" thickBot="1">
      <c r="A32" s="28">
        <v>20802</v>
      </c>
      <c r="B32" s="29" t="s">
        <v>52</v>
      </c>
      <c r="C32" s="45">
        <v>338.94540982402896</v>
      </c>
      <c r="D32" s="45">
        <v>44.408664259927797</v>
      </c>
      <c r="E32" s="45">
        <v>8</v>
      </c>
      <c r="F32" s="45">
        <v>18.917758369723437</v>
      </c>
      <c r="G32" s="45">
        <v>365.81810631229234</v>
      </c>
      <c r="H32" s="45">
        <v>6886.9214051630106</v>
      </c>
      <c r="I32" s="45">
        <v>0</v>
      </c>
      <c r="J32" s="45">
        <v>953.3153089405306</v>
      </c>
      <c r="K32" s="45">
        <v>132.1307017313938</v>
      </c>
      <c r="L32" s="45">
        <v>293.89790342366456</v>
      </c>
      <c r="M32" s="45">
        <v>70.197488031276308</v>
      </c>
      <c r="N32" s="45">
        <v>157.58118447152168</v>
      </c>
      <c r="O32" s="45">
        <f t="shared" si="39"/>
        <v>9270.1339305273705</v>
      </c>
      <c r="P32" s="32"/>
      <c r="Q32" s="28">
        <v>20802</v>
      </c>
      <c r="R32" s="29" t="s">
        <v>52</v>
      </c>
      <c r="S32" s="178">
        <f t="shared" si="27"/>
        <v>353.68993971634148</v>
      </c>
      <c r="T32" s="178">
        <f t="shared" si="28"/>
        <v>41.567705935018054</v>
      </c>
      <c r="U32" s="178">
        <f>9333/1000</f>
        <v>9.3330000000000002</v>
      </c>
      <c r="V32" s="178">
        <f t="shared" si="30"/>
        <v>21.170028642342189</v>
      </c>
      <c r="W32" s="178">
        <f t="shared" si="31"/>
        <v>367.86297458471762</v>
      </c>
      <c r="X32" s="178">
        <f t="shared" si="32"/>
        <v>7039.8803007091483</v>
      </c>
      <c r="Y32" s="178">
        <f t="shared" si="33"/>
        <v>0</v>
      </c>
      <c r="Z32" s="178">
        <f t="shared" si="34"/>
        <v>982.54485396621749</v>
      </c>
      <c r="AA32" s="178">
        <f t="shared" si="35"/>
        <v>129.81858761677387</v>
      </c>
      <c r="AB32" s="178">
        <f t="shared" si="36"/>
        <v>273.38688553306577</v>
      </c>
      <c r="AC32" s="178">
        <f t="shared" si="37"/>
        <v>14.872952504159306</v>
      </c>
      <c r="AD32" s="178">
        <f t="shared" si="38"/>
        <v>137.10363856616601</v>
      </c>
      <c r="AE32" s="45">
        <f t="shared" si="40"/>
        <v>9371.2308677739511</v>
      </c>
    </row>
    <row r="33" spans="1:31" s="33" customFormat="1" ht="36.75" thickBot="1">
      <c r="A33" s="28">
        <v>20803</v>
      </c>
      <c r="B33" s="29" t="s">
        <v>53</v>
      </c>
      <c r="C33" s="45">
        <v>0</v>
      </c>
      <c r="D33" s="45">
        <v>49.342960288808662</v>
      </c>
      <c r="E33" s="45">
        <v>321</v>
      </c>
      <c r="F33" s="45">
        <v>971.68486171761276</v>
      </c>
      <c r="G33" s="45">
        <v>848.69800664451827</v>
      </c>
      <c r="H33" s="45">
        <v>874.65945442426369</v>
      </c>
      <c r="I33" s="45">
        <v>0</v>
      </c>
      <c r="J33" s="45">
        <v>479.21208991758721</v>
      </c>
      <c r="K33" s="45">
        <v>782.99675100085221</v>
      </c>
      <c r="L33" s="45">
        <v>115.56663321066132</v>
      </c>
      <c r="M33" s="45">
        <v>23.399162677092104</v>
      </c>
      <c r="N33" s="45">
        <v>61.583451402663641</v>
      </c>
      <c r="O33" s="45">
        <f t="shared" si="39"/>
        <v>4528.143371284059</v>
      </c>
      <c r="P33" s="32"/>
      <c r="Q33" s="28">
        <v>20803</v>
      </c>
      <c r="R33" s="29" t="s">
        <v>53</v>
      </c>
      <c r="S33" s="178">
        <f t="shared" si="27"/>
        <v>0</v>
      </c>
      <c r="T33" s="178">
        <f t="shared" si="28"/>
        <v>46.186339927797832</v>
      </c>
      <c r="U33" s="178">
        <f>321/3866*3598</f>
        <v>298.74754267977238</v>
      </c>
      <c r="V33" s="178">
        <f t="shared" si="30"/>
        <v>1087.3696529930305</v>
      </c>
      <c r="W33" s="178">
        <f t="shared" si="31"/>
        <v>853.44210103654484</v>
      </c>
      <c r="X33" s="178">
        <f t="shared" si="32"/>
        <v>894.08568804258607</v>
      </c>
      <c r="Y33" s="178">
        <f t="shared" si="33"/>
        <v>0</v>
      </c>
      <c r="Z33" s="178">
        <f t="shared" si="34"/>
        <v>493.90518382653374</v>
      </c>
      <c r="AA33" s="178">
        <f t="shared" si="35"/>
        <v>769.29533402532672</v>
      </c>
      <c r="AB33" s="178">
        <f t="shared" si="36"/>
        <v>107.50128380283263</v>
      </c>
      <c r="AC33" s="178">
        <f t="shared" si="37"/>
        <v>4.957650834719769</v>
      </c>
      <c r="AD33" s="178">
        <f t="shared" si="38"/>
        <v>53.580732313214298</v>
      </c>
      <c r="AE33" s="45">
        <f t="shared" si="40"/>
        <v>4609.0715094823581</v>
      </c>
    </row>
    <row r="34" spans="1:31" s="33" customFormat="1" ht="48.75" thickBot="1">
      <c r="A34" s="28">
        <v>20804</v>
      </c>
      <c r="B34" s="29" t="s">
        <v>54</v>
      </c>
      <c r="C34" s="45">
        <v>2.0357081671112853</v>
      </c>
      <c r="D34" s="45">
        <v>9.8685920577617328</v>
      </c>
      <c r="E34" s="45">
        <v>265</v>
      </c>
      <c r="F34" s="45">
        <v>0</v>
      </c>
      <c r="G34" s="45">
        <v>112.184219269103</v>
      </c>
      <c r="H34" s="45">
        <v>145.09537678533346</v>
      </c>
      <c r="I34" s="45">
        <v>0</v>
      </c>
      <c r="J34" s="45">
        <v>0</v>
      </c>
      <c r="K34" s="45">
        <v>0</v>
      </c>
      <c r="L34" s="45">
        <v>70.734749637559943</v>
      </c>
      <c r="M34" s="45">
        <v>15.599441784728068</v>
      </c>
      <c r="N34" s="45">
        <v>38.036837631056954</v>
      </c>
      <c r="O34" s="45">
        <f t="shared" si="39"/>
        <v>658.55492533265442</v>
      </c>
      <c r="P34" s="32"/>
      <c r="Q34" s="28">
        <v>20804</v>
      </c>
      <c r="R34" s="29" t="s">
        <v>54</v>
      </c>
      <c r="S34" s="178">
        <f t="shared" si="27"/>
        <v>2.1242639022002496</v>
      </c>
      <c r="T34" s="178">
        <f t="shared" si="28"/>
        <v>9.2372679855595674</v>
      </c>
      <c r="U34" s="178">
        <f t="shared" si="29"/>
        <v>266.02792784455414</v>
      </c>
      <c r="V34" s="178">
        <f t="shared" si="30"/>
        <v>0</v>
      </c>
      <c r="W34" s="178">
        <f t="shared" si="31"/>
        <v>112.81131220598007</v>
      </c>
      <c r="X34" s="178">
        <f t="shared" si="32"/>
        <v>148.31795292295237</v>
      </c>
      <c r="Y34" s="178">
        <f t="shared" si="33"/>
        <v>0</v>
      </c>
      <c r="Z34" s="178">
        <f t="shared" si="34"/>
        <v>0</v>
      </c>
      <c r="AA34" s="178">
        <f t="shared" si="35"/>
        <v>0</v>
      </c>
      <c r="AB34" s="178">
        <f t="shared" si="36"/>
        <v>65.798199568975136</v>
      </c>
      <c r="AC34" s="178">
        <f t="shared" si="37"/>
        <v>3.3051005564798457</v>
      </c>
      <c r="AD34" s="178">
        <f t="shared" si="38"/>
        <v>33.09398172286766</v>
      </c>
      <c r="AE34" s="45">
        <f t="shared" si="40"/>
        <v>640.71600670956911</v>
      </c>
    </row>
    <row r="35" spans="1:31" s="33" customFormat="1" ht="48.75" thickBot="1">
      <c r="A35" s="28">
        <v>20805</v>
      </c>
      <c r="B35" s="29" t="s">
        <v>55</v>
      </c>
      <c r="C35" s="45">
        <v>272.78489439291224</v>
      </c>
      <c r="D35" s="45">
        <v>64.145848375451266</v>
      </c>
      <c r="E35" s="45">
        <v>1343</v>
      </c>
      <c r="F35" s="45">
        <v>321.60189228529839</v>
      </c>
      <c r="G35" s="45">
        <v>1541.3136212624584</v>
      </c>
      <c r="H35" s="45">
        <v>3508.8558019777115</v>
      </c>
      <c r="I35" s="45">
        <v>0</v>
      </c>
      <c r="J35" s="45">
        <v>634.5217651147583</v>
      </c>
      <c r="K35" s="45">
        <v>441.41441837673045</v>
      </c>
      <c r="L35" s="45">
        <v>212.20424891267982</v>
      </c>
      <c r="M35" s="45">
        <v>46.798325354184207</v>
      </c>
      <c r="N35" s="45">
        <v>114.11051289317086</v>
      </c>
      <c r="O35" s="45">
        <f t="shared" si="39"/>
        <v>8500.7513289453545</v>
      </c>
      <c r="P35" s="32"/>
      <c r="Q35" s="28">
        <v>20805</v>
      </c>
      <c r="R35" s="29" t="s">
        <v>55</v>
      </c>
      <c r="S35" s="178">
        <f t="shared" si="27"/>
        <v>284.65136289483348</v>
      </c>
      <c r="T35" s="178">
        <f t="shared" si="28"/>
        <v>60.042241906137193</v>
      </c>
      <c r="U35" s="178">
        <f>1343/2090*2102</f>
        <v>1350.7110047846891</v>
      </c>
      <c r="V35" s="178">
        <f t="shared" si="30"/>
        <v>359.89048691981719</v>
      </c>
      <c r="W35" s="178">
        <f t="shared" si="31"/>
        <v>1549.9293329169436</v>
      </c>
      <c r="X35" s="178">
        <f t="shared" si="32"/>
        <v>3586.787678432524</v>
      </c>
      <c r="Y35" s="178">
        <f t="shared" si="33"/>
        <v>0</v>
      </c>
      <c r="Z35" s="178">
        <f t="shared" si="34"/>
        <v>653.97679990677489</v>
      </c>
      <c r="AA35" s="178">
        <f t="shared" si="35"/>
        <v>433.690244556778</v>
      </c>
      <c r="AB35" s="178">
        <f t="shared" si="36"/>
        <v>197.39459870692539</v>
      </c>
      <c r="AC35" s="178">
        <f t="shared" si="37"/>
        <v>9.9153016694395379</v>
      </c>
      <c r="AD35" s="178">
        <f t="shared" si="38"/>
        <v>99.281945168602974</v>
      </c>
      <c r="AE35" s="45">
        <f t="shared" si="40"/>
        <v>8586.2709978634648</v>
      </c>
    </row>
    <row r="36" spans="1:31" s="33" customFormat="1" ht="36.75" thickBot="1">
      <c r="A36" s="28">
        <v>20806</v>
      </c>
      <c r="B36" s="29" t="s">
        <v>56</v>
      </c>
      <c r="C36" s="45">
        <v>4.0714163342225707</v>
      </c>
      <c r="D36" s="45">
        <v>11.513357400722022</v>
      </c>
      <c r="E36" s="45">
        <v>901</v>
      </c>
      <c r="F36" s="45">
        <v>0</v>
      </c>
      <c r="G36" s="45">
        <v>4.8775747508305649</v>
      </c>
      <c r="H36" s="45">
        <v>16286.445144939647</v>
      </c>
      <c r="I36" s="45">
        <v>0</v>
      </c>
      <c r="J36" s="45">
        <v>3230.8499537727307</v>
      </c>
      <c r="K36" s="45">
        <v>0</v>
      </c>
      <c r="L36" s="45">
        <v>685.42968662874989</v>
      </c>
      <c r="M36" s="45">
        <v>163.79413873964472</v>
      </c>
      <c r="N36" s="45">
        <v>367.68943043355057</v>
      </c>
      <c r="O36" s="45">
        <f t="shared" si="39"/>
        <v>21655.670703000102</v>
      </c>
      <c r="P36" s="32"/>
      <c r="Q36" s="28">
        <v>20806</v>
      </c>
      <c r="R36" s="29" t="s">
        <v>56</v>
      </c>
      <c r="S36" s="178">
        <f t="shared" si="27"/>
        <v>4.2485278044004993</v>
      </c>
      <c r="T36" s="178">
        <f t="shared" si="28"/>
        <v>10.776812649819496</v>
      </c>
      <c r="U36" s="178">
        <f t="shared" si="29"/>
        <v>904.49495467148415</v>
      </c>
      <c r="V36" s="178">
        <f t="shared" si="30"/>
        <v>0</v>
      </c>
      <c r="W36" s="178">
        <f t="shared" si="31"/>
        <v>4.9048396611295688</v>
      </c>
      <c r="X36" s="178">
        <f t="shared" si="32"/>
        <v>16648.167969288294</v>
      </c>
      <c r="Y36" s="178">
        <f t="shared" si="33"/>
        <v>0</v>
      </c>
      <c r="Z36" s="178">
        <f t="shared" si="34"/>
        <v>3329.910855563965</v>
      </c>
      <c r="AA36" s="178">
        <f t="shared" si="35"/>
        <v>0</v>
      </c>
      <c r="AB36" s="178">
        <f t="shared" si="36"/>
        <v>637.59382117542111</v>
      </c>
      <c r="AC36" s="178">
        <f t="shared" si="37"/>
        <v>34.70355584303838</v>
      </c>
      <c r="AD36" s="178">
        <f t="shared" si="38"/>
        <v>319.90848998772071</v>
      </c>
      <c r="AE36" s="45">
        <f t="shared" si="40"/>
        <v>21894.709826645274</v>
      </c>
    </row>
    <row r="37" spans="1:31" s="33" customFormat="1" ht="36.75" thickBot="1">
      <c r="A37" s="28">
        <v>20807</v>
      </c>
      <c r="B37" s="29" t="s">
        <v>57</v>
      </c>
      <c r="C37" s="45">
        <v>0</v>
      </c>
      <c r="D37" s="45">
        <v>0</v>
      </c>
      <c r="E37" s="45"/>
      <c r="F37" s="45">
        <v>0</v>
      </c>
      <c r="G37" s="45">
        <v>0</v>
      </c>
      <c r="H37" s="45"/>
      <c r="I37" s="45"/>
      <c r="J37" s="45"/>
      <c r="K37" s="45"/>
      <c r="L37" s="45"/>
      <c r="M37" s="45"/>
      <c r="N37" s="45"/>
      <c r="O37" s="45"/>
      <c r="P37" s="32"/>
      <c r="Q37" s="28">
        <v>20807</v>
      </c>
      <c r="R37" s="29" t="s">
        <v>57</v>
      </c>
      <c r="S37" s="178">
        <f t="shared" si="27"/>
        <v>0</v>
      </c>
      <c r="T37" s="178">
        <f t="shared" si="28"/>
        <v>0</v>
      </c>
      <c r="U37" s="178">
        <f t="shared" si="29"/>
        <v>0</v>
      </c>
      <c r="V37" s="178">
        <f t="shared" si="30"/>
        <v>0</v>
      </c>
      <c r="W37" s="178">
        <f t="shared" si="31"/>
        <v>0</v>
      </c>
      <c r="X37" s="178">
        <f t="shared" si="32"/>
        <v>0</v>
      </c>
      <c r="Y37" s="178">
        <f t="shared" si="33"/>
        <v>0</v>
      </c>
      <c r="Z37" s="178">
        <f t="shared" si="34"/>
        <v>0</v>
      </c>
      <c r="AA37" s="178">
        <f t="shared" si="35"/>
        <v>0</v>
      </c>
      <c r="AB37" s="178">
        <f t="shared" si="36"/>
        <v>0</v>
      </c>
      <c r="AC37" s="178">
        <f t="shared" si="37"/>
        <v>0</v>
      </c>
      <c r="AD37" s="178">
        <f t="shared" si="38"/>
        <v>0</v>
      </c>
      <c r="AE37" s="45"/>
    </row>
    <row r="38" spans="1:31" s="33" customFormat="1" ht="48.75" thickBot="1">
      <c r="A38" s="28">
        <v>20808</v>
      </c>
      <c r="B38" s="29" t="s">
        <v>58</v>
      </c>
      <c r="C38" s="45">
        <v>0</v>
      </c>
      <c r="D38" s="45">
        <v>0</v>
      </c>
      <c r="E38" s="45"/>
      <c r="F38" s="45">
        <v>0</v>
      </c>
      <c r="G38" s="45">
        <v>0</v>
      </c>
      <c r="H38" s="45"/>
      <c r="I38" s="45"/>
      <c r="J38" s="45"/>
      <c r="K38" s="45"/>
      <c r="L38" s="45"/>
      <c r="M38" s="45"/>
      <c r="N38" s="45"/>
      <c r="O38" s="45"/>
      <c r="P38" s="32"/>
      <c r="Q38" s="28">
        <v>20808</v>
      </c>
      <c r="R38" s="29" t="s">
        <v>58</v>
      </c>
      <c r="S38" s="178">
        <f t="shared" si="27"/>
        <v>0</v>
      </c>
      <c r="T38" s="178">
        <f t="shared" si="28"/>
        <v>0</v>
      </c>
      <c r="U38" s="178">
        <f t="shared" si="29"/>
        <v>0</v>
      </c>
      <c r="V38" s="178">
        <f t="shared" si="30"/>
        <v>0</v>
      </c>
      <c r="W38" s="178">
        <f t="shared" si="31"/>
        <v>0</v>
      </c>
      <c r="X38" s="178">
        <f t="shared" si="32"/>
        <v>0</v>
      </c>
      <c r="Y38" s="178">
        <f t="shared" si="33"/>
        <v>0</v>
      </c>
      <c r="Z38" s="178">
        <f t="shared" si="34"/>
        <v>0</v>
      </c>
      <c r="AA38" s="178">
        <f t="shared" si="35"/>
        <v>0</v>
      </c>
      <c r="AB38" s="178">
        <f t="shared" si="36"/>
        <v>0</v>
      </c>
      <c r="AC38" s="178">
        <f t="shared" si="37"/>
        <v>0</v>
      </c>
      <c r="AD38" s="178">
        <f t="shared" si="38"/>
        <v>0</v>
      </c>
      <c r="AE38" s="45"/>
    </row>
    <row r="39" spans="1:31" s="33" customFormat="1" ht="48.75" thickBot="1">
      <c r="A39" s="61">
        <v>20900</v>
      </c>
      <c r="B39" s="173" t="s">
        <v>59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32"/>
      <c r="Q39" s="61">
        <v>20900</v>
      </c>
      <c r="R39" s="173" t="s">
        <v>59</v>
      </c>
      <c r="S39" s="178">
        <f t="shared" si="27"/>
        <v>0</v>
      </c>
      <c r="T39" s="178">
        <f t="shared" si="28"/>
        <v>0</v>
      </c>
      <c r="U39" s="178">
        <f t="shared" si="29"/>
        <v>0</v>
      </c>
      <c r="V39" s="178">
        <f t="shared" si="30"/>
        <v>0</v>
      </c>
      <c r="W39" s="178">
        <f t="shared" si="31"/>
        <v>0</v>
      </c>
      <c r="X39" s="178">
        <f t="shared" si="32"/>
        <v>0</v>
      </c>
      <c r="Y39" s="178">
        <f t="shared" si="33"/>
        <v>0</v>
      </c>
      <c r="Z39" s="178">
        <f t="shared" si="34"/>
        <v>0</v>
      </c>
      <c r="AA39" s="178">
        <f t="shared" si="35"/>
        <v>0</v>
      </c>
      <c r="AB39" s="178">
        <f t="shared" si="36"/>
        <v>0</v>
      </c>
      <c r="AC39" s="178">
        <f t="shared" si="37"/>
        <v>0</v>
      </c>
      <c r="AD39" s="178">
        <f t="shared" si="38"/>
        <v>0</v>
      </c>
      <c r="AE39" s="45"/>
    </row>
    <row r="40" spans="1:31" s="33" customFormat="1" ht="36.75" thickBot="1">
      <c r="A40" s="28">
        <v>20901</v>
      </c>
      <c r="B40" s="29" t="s">
        <v>53</v>
      </c>
      <c r="C40" s="45">
        <v>413.24875792359086</v>
      </c>
      <c r="D40" s="45">
        <v>21.381949458483753</v>
      </c>
      <c r="E40" s="45">
        <v>3545</v>
      </c>
      <c r="F40" s="45">
        <v>0</v>
      </c>
      <c r="G40" s="45">
        <v>5472.6388704318933</v>
      </c>
      <c r="H40" s="45">
        <v>9152.2485201847303</v>
      </c>
      <c r="I40" s="45">
        <v>0</v>
      </c>
      <c r="J40" s="45">
        <v>1898.4564244496312</v>
      </c>
      <c r="K40" s="45">
        <v>432.60570492797081</v>
      </c>
      <c r="L40" s="45">
        <v>565.87799710047955</v>
      </c>
      <c r="M40" s="45">
        <v>132.59525517018858</v>
      </c>
      <c r="N40" s="45">
        <v>303.38906205724004</v>
      </c>
      <c r="O40" s="45">
        <f t="shared" ref="O40:O45" si="41">SUM(C40:N40)</f>
        <v>21937.442541704208</v>
      </c>
      <c r="P40" s="32"/>
      <c r="Q40" s="28">
        <v>20901</v>
      </c>
      <c r="R40" s="29" t="s">
        <v>53</v>
      </c>
      <c r="S40" s="178">
        <f t="shared" si="27"/>
        <v>431.22557214665068</v>
      </c>
      <c r="T40" s="178">
        <f t="shared" si="28"/>
        <v>20.014080635379063</v>
      </c>
      <c r="U40" s="178">
        <f>3545/3866*3598</f>
        <v>3299.2524573202277</v>
      </c>
      <c r="V40" s="178">
        <f t="shared" si="30"/>
        <v>0</v>
      </c>
      <c r="W40" s="178">
        <f t="shared" si="31"/>
        <v>5503.2300997873754</v>
      </c>
      <c r="X40" s="178">
        <f t="shared" si="32"/>
        <v>9355.5204530343963</v>
      </c>
      <c r="Y40" s="178">
        <f t="shared" si="33"/>
        <v>0</v>
      </c>
      <c r="Z40" s="178">
        <f t="shared" si="34"/>
        <v>1956.6648860334749</v>
      </c>
      <c r="AA40" s="178">
        <f t="shared" si="35"/>
        <v>425.03567204899298</v>
      </c>
      <c r="AB40" s="178">
        <f t="shared" si="36"/>
        <v>526.38559655180109</v>
      </c>
      <c r="AC40" s="178">
        <f t="shared" si="37"/>
        <v>28.093354730078691</v>
      </c>
      <c r="AD40" s="178">
        <f t="shared" si="38"/>
        <v>263.96390183715874</v>
      </c>
      <c r="AE40" s="45">
        <f t="shared" ref="AE40:AE45" si="42">SUM(S40:AD40)</f>
        <v>21809.386074125538</v>
      </c>
    </row>
    <row r="41" spans="1:31" s="33" customFormat="1" ht="48.75" thickBot="1">
      <c r="A41" s="28">
        <v>20902</v>
      </c>
      <c r="B41" s="29" t="s">
        <v>54</v>
      </c>
      <c r="C41" s="45">
        <v>0</v>
      </c>
      <c r="D41" s="45">
        <v>0</v>
      </c>
      <c r="E41" s="45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f t="shared" si="41"/>
        <v>0</v>
      </c>
      <c r="P41" s="32"/>
      <c r="Q41" s="28">
        <v>20902</v>
      </c>
      <c r="R41" s="29" t="s">
        <v>54</v>
      </c>
      <c r="S41" s="178">
        <f t="shared" si="27"/>
        <v>0</v>
      </c>
      <c r="T41" s="178">
        <f t="shared" si="28"/>
        <v>0</v>
      </c>
      <c r="U41" s="178">
        <f t="shared" si="29"/>
        <v>0</v>
      </c>
      <c r="V41" s="178">
        <f t="shared" si="30"/>
        <v>0</v>
      </c>
      <c r="W41" s="178">
        <f t="shared" si="31"/>
        <v>0</v>
      </c>
      <c r="X41" s="178">
        <f t="shared" si="32"/>
        <v>0</v>
      </c>
      <c r="Y41" s="178">
        <f t="shared" si="33"/>
        <v>0</v>
      </c>
      <c r="Z41" s="178">
        <f t="shared" si="34"/>
        <v>0</v>
      </c>
      <c r="AA41" s="178">
        <f t="shared" si="35"/>
        <v>0</v>
      </c>
      <c r="AB41" s="178">
        <f t="shared" si="36"/>
        <v>0</v>
      </c>
      <c r="AC41" s="178">
        <f t="shared" si="37"/>
        <v>0</v>
      </c>
      <c r="AD41" s="178">
        <f t="shared" si="38"/>
        <v>0</v>
      </c>
      <c r="AE41" s="45">
        <f t="shared" si="42"/>
        <v>0</v>
      </c>
    </row>
    <row r="42" spans="1:31" s="33" customFormat="1" ht="48.75" thickBot="1">
      <c r="A42" s="28">
        <v>20903</v>
      </c>
      <c r="B42" s="29" t="s">
        <v>55</v>
      </c>
      <c r="C42" s="45">
        <v>0</v>
      </c>
      <c r="D42" s="45">
        <v>0</v>
      </c>
      <c r="E42" s="45">
        <v>301</v>
      </c>
      <c r="F42" s="45">
        <v>0</v>
      </c>
      <c r="G42" s="45">
        <v>209.73571428571429</v>
      </c>
      <c r="H42" s="45">
        <v>1803.4742255360111</v>
      </c>
      <c r="I42" s="45">
        <v>0</v>
      </c>
      <c r="J42" s="45">
        <v>28.609677010005203</v>
      </c>
      <c r="K42" s="45">
        <v>0</v>
      </c>
      <c r="L42" s="45">
        <v>80.697390431582463</v>
      </c>
      <c r="M42" s="45">
        <v>15.599441784728068</v>
      </c>
      <c r="N42" s="45">
        <v>43.47067157835081</v>
      </c>
      <c r="O42" s="45">
        <f t="shared" si="41"/>
        <v>2482.5871206263919</v>
      </c>
      <c r="P42" s="32"/>
      <c r="Q42" s="28">
        <v>20903</v>
      </c>
      <c r="R42" s="29" t="s">
        <v>55</v>
      </c>
      <c r="S42" s="178">
        <f t="shared" si="27"/>
        <v>0</v>
      </c>
      <c r="T42" s="178">
        <f t="shared" si="28"/>
        <v>0</v>
      </c>
      <c r="U42" s="178">
        <f>301/2090*2102</f>
        <v>302.72822966507175</v>
      </c>
      <c r="V42" s="178">
        <f t="shared" si="30"/>
        <v>0</v>
      </c>
      <c r="W42" s="178">
        <f t="shared" si="31"/>
        <v>210.90810542857145</v>
      </c>
      <c r="X42" s="178">
        <f t="shared" si="32"/>
        <v>1843.5294852747249</v>
      </c>
      <c r="Y42" s="178">
        <f t="shared" si="33"/>
        <v>0</v>
      </c>
      <c r="Z42" s="178">
        <f t="shared" si="34"/>
        <v>29.486876646360223</v>
      </c>
      <c r="AA42" s="178">
        <f t="shared" si="35"/>
        <v>0</v>
      </c>
      <c r="AB42" s="178">
        <f t="shared" si="36"/>
        <v>75.065551620943467</v>
      </c>
      <c r="AC42" s="178">
        <f t="shared" si="37"/>
        <v>3.3051005564798457</v>
      </c>
      <c r="AD42" s="178">
        <f t="shared" si="38"/>
        <v>37.821693397563045</v>
      </c>
      <c r="AE42" s="45">
        <f t="shared" si="42"/>
        <v>2502.8450425897149</v>
      </c>
    </row>
    <row r="43" spans="1:31" s="33" customFormat="1" ht="36.75" thickBot="1">
      <c r="A43" s="28">
        <v>20904</v>
      </c>
      <c r="B43" s="29" t="s">
        <v>56</v>
      </c>
      <c r="C43" s="45">
        <v>0</v>
      </c>
      <c r="D43" s="45">
        <v>0</v>
      </c>
      <c r="E43" s="45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1.9925281588045054</v>
      </c>
      <c r="M43" s="45">
        <v>0</v>
      </c>
      <c r="N43" s="45">
        <v>0.90563899121564173</v>
      </c>
      <c r="O43" s="45">
        <f t="shared" si="41"/>
        <v>2.8981671500201474</v>
      </c>
      <c r="P43" s="32"/>
      <c r="Q43" s="28">
        <v>20904</v>
      </c>
      <c r="R43" s="29" t="s">
        <v>56</v>
      </c>
      <c r="S43" s="178">
        <f t="shared" si="27"/>
        <v>0</v>
      </c>
      <c r="T43" s="178">
        <f t="shared" si="28"/>
        <v>0</v>
      </c>
      <c r="U43" s="178">
        <f>128640.5/1000</f>
        <v>128.6405</v>
      </c>
      <c r="V43" s="178">
        <f t="shared" si="30"/>
        <v>0</v>
      </c>
      <c r="W43" s="178">
        <f t="shared" si="31"/>
        <v>0</v>
      </c>
      <c r="X43" s="178">
        <f t="shared" si="32"/>
        <v>0</v>
      </c>
      <c r="Y43" s="178">
        <f t="shared" si="33"/>
        <v>0</v>
      </c>
      <c r="Z43" s="178">
        <f t="shared" si="34"/>
        <v>0</v>
      </c>
      <c r="AA43" s="178">
        <f t="shared" si="35"/>
        <v>0</v>
      </c>
      <c r="AB43" s="178">
        <f t="shared" si="36"/>
        <v>1.8534704103936661</v>
      </c>
      <c r="AC43" s="178">
        <f t="shared" si="37"/>
        <v>0</v>
      </c>
      <c r="AD43" s="178">
        <f t="shared" si="38"/>
        <v>0.78795194578256322</v>
      </c>
      <c r="AE43" s="45">
        <f t="shared" si="42"/>
        <v>131.28192235617624</v>
      </c>
    </row>
    <row r="44" spans="1:31" s="33" customFormat="1" ht="48.75" thickBot="1">
      <c r="A44" s="43">
        <v>20905</v>
      </c>
      <c r="B44" s="29" t="s">
        <v>58</v>
      </c>
      <c r="C44" s="45">
        <v>0</v>
      </c>
      <c r="D44" s="45">
        <v>0</v>
      </c>
      <c r="E44" s="45"/>
      <c r="F44" s="45">
        <v>0</v>
      </c>
      <c r="G44" s="45">
        <v>0</v>
      </c>
      <c r="H44" s="45"/>
      <c r="I44" s="45"/>
      <c r="J44" s="45"/>
      <c r="K44" s="45"/>
      <c r="L44" s="45"/>
      <c r="M44" s="45"/>
      <c r="N44" s="45"/>
      <c r="O44" s="45">
        <f t="shared" si="41"/>
        <v>0</v>
      </c>
      <c r="P44" s="32"/>
      <c r="Q44" s="43">
        <v>20905</v>
      </c>
      <c r="R44" s="29" t="s">
        <v>58</v>
      </c>
      <c r="S44" s="178">
        <f t="shared" si="27"/>
        <v>0</v>
      </c>
      <c r="T44" s="178">
        <f t="shared" si="28"/>
        <v>0</v>
      </c>
      <c r="U44" s="178">
        <f t="shared" si="29"/>
        <v>0</v>
      </c>
      <c r="V44" s="178">
        <f t="shared" si="30"/>
        <v>0</v>
      </c>
      <c r="W44" s="178">
        <f t="shared" si="31"/>
        <v>0</v>
      </c>
      <c r="X44" s="178">
        <f t="shared" si="32"/>
        <v>0</v>
      </c>
      <c r="Y44" s="178">
        <f t="shared" si="33"/>
        <v>0</v>
      </c>
      <c r="Z44" s="178">
        <f t="shared" si="34"/>
        <v>0</v>
      </c>
      <c r="AA44" s="178">
        <f t="shared" si="35"/>
        <v>0</v>
      </c>
      <c r="AB44" s="178">
        <f t="shared" si="36"/>
        <v>0</v>
      </c>
      <c r="AC44" s="178">
        <f t="shared" si="37"/>
        <v>0</v>
      </c>
      <c r="AD44" s="178">
        <f t="shared" si="38"/>
        <v>0</v>
      </c>
      <c r="AE44" s="45">
        <f t="shared" si="42"/>
        <v>0</v>
      </c>
    </row>
    <row r="45" spans="1:31" s="33" customFormat="1" ht="36.75" thickBot="1">
      <c r="A45" s="28">
        <v>20906</v>
      </c>
      <c r="B45" s="29" t="s">
        <v>57</v>
      </c>
      <c r="C45" s="45">
        <v>0</v>
      </c>
      <c r="D45" s="45">
        <v>0</v>
      </c>
      <c r="E45" s="45"/>
      <c r="F45" s="45">
        <v>0</v>
      </c>
      <c r="G45" s="45">
        <v>0</v>
      </c>
      <c r="H45" s="45"/>
      <c r="I45" s="45"/>
      <c r="J45" s="45"/>
      <c r="K45" s="45"/>
      <c r="L45" s="45"/>
      <c r="M45" s="45"/>
      <c r="N45" s="45"/>
      <c r="O45" s="45">
        <f t="shared" si="41"/>
        <v>0</v>
      </c>
      <c r="P45" s="32"/>
      <c r="Q45" s="28">
        <v>20906</v>
      </c>
      <c r="R45" s="29" t="s">
        <v>57</v>
      </c>
      <c r="S45" s="178">
        <f t="shared" si="27"/>
        <v>0</v>
      </c>
      <c r="T45" s="178">
        <f t="shared" si="28"/>
        <v>0</v>
      </c>
      <c r="U45" s="178">
        <f t="shared" si="29"/>
        <v>0</v>
      </c>
      <c r="V45" s="178">
        <f t="shared" si="30"/>
        <v>0</v>
      </c>
      <c r="W45" s="178">
        <f t="shared" si="31"/>
        <v>0</v>
      </c>
      <c r="X45" s="178">
        <f t="shared" si="32"/>
        <v>0</v>
      </c>
      <c r="Y45" s="178">
        <f t="shared" si="33"/>
        <v>0</v>
      </c>
      <c r="Z45" s="178">
        <f t="shared" si="34"/>
        <v>0</v>
      </c>
      <c r="AA45" s="178">
        <f t="shared" si="35"/>
        <v>0</v>
      </c>
      <c r="AB45" s="178">
        <f t="shared" si="36"/>
        <v>0</v>
      </c>
      <c r="AC45" s="178">
        <f t="shared" si="37"/>
        <v>0</v>
      </c>
      <c r="AD45" s="178">
        <f t="shared" si="38"/>
        <v>0</v>
      </c>
      <c r="AE45" s="45">
        <f t="shared" si="42"/>
        <v>0</v>
      </c>
    </row>
    <row r="46" spans="1:31" s="33" customFormat="1" ht="36.75" thickBot="1">
      <c r="A46" s="61">
        <v>21000</v>
      </c>
      <c r="B46" s="173" t="s">
        <v>60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32"/>
      <c r="Q46" s="61">
        <v>21000</v>
      </c>
      <c r="R46" s="173" t="s">
        <v>60</v>
      </c>
      <c r="S46" s="178">
        <f t="shared" si="27"/>
        <v>0</v>
      </c>
      <c r="T46" s="178">
        <f t="shared" si="28"/>
        <v>0</v>
      </c>
      <c r="U46" s="178">
        <f t="shared" si="29"/>
        <v>0</v>
      </c>
      <c r="V46" s="178">
        <f t="shared" si="30"/>
        <v>0</v>
      </c>
      <c r="W46" s="178">
        <f t="shared" si="31"/>
        <v>0</v>
      </c>
      <c r="X46" s="178">
        <f t="shared" si="32"/>
        <v>0</v>
      </c>
      <c r="Y46" s="178">
        <f t="shared" si="33"/>
        <v>0</v>
      </c>
      <c r="Z46" s="178">
        <f t="shared" si="34"/>
        <v>0</v>
      </c>
      <c r="AA46" s="178">
        <f t="shared" si="35"/>
        <v>0</v>
      </c>
      <c r="AB46" s="178">
        <f t="shared" si="36"/>
        <v>0</v>
      </c>
      <c r="AC46" s="178">
        <f t="shared" si="37"/>
        <v>0</v>
      </c>
      <c r="AD46" s="178">
        <f t="shared" si="38"/>
        <v>0</v>
      </c>
      <c r="AE46" s="45"/>
    </row>
    <row r="47" spans="1:31" s="33" customFormat="1" ht="36.75" thickBot="1">
      <c r="A47" s="28">
        <v>21001</v>
      </c>
      <c r="B47" s="29" t="s">
        <v>61</v>
      </c>
      <c r="C47" s="45">
        <v>1.0178540835556427</v>
      </c>
      <c r="D47" s="45">
        <v>0</v>
      </c>
      <c r="E47" s="45">
        <v>71</v>
      </c>
      <c r="F47" s="45">
        <v>0</v>
      </c>
      <c r="G47" s="45">
        <v>199.98056478405314</v>
      </c>
      <c r="H47" s="45">
        <v>2130.4497225170439</v>
      </c>
      <c r="I47" s="45">
        <v>0</v>
      </c>
      <c r="J47" s="45">
        <v>374.99112366685392</v>
      </c>
      <c r="K47" s="45">
        <v>247.62272250401952</v>
      </c>
      <c r="L47" s="45">
        <v>103.61146425783429</v>
      </c>
      <c r="M47" s="45">
        <v>23.399162677092104</v>
      </c>
      <c r="N47" s="45">
        <v>55.243978464154146</v>
      </c>
      <c r="O47" s="45">
        <f t="shared" ref="O47:O53" si="43">SUM(C47:N47)</f>
        <v>3207.3165929546071</v>
      </c>
      <c r="P47" s="32"/>
      <c r="Q47" s="28">
        <v>21001</v>
      </c>
      <c r="R47" s="29" t="s">
        <v>61</v>
      </c>
      <c r="S47" s="178">
        <f t="shared" si="27"/>
        <v>1.0621319511001248</v>
      </c>
      <c r="T47" s="178">
        <f t="shared" si="28"/>
        <v>0</v>
      </c>
      <c r="U47" s="178">
        <f>70401.24/1000</f>
        <v>70.401240000000001</v>
      </c>
      <c r="V47" s="178">
        <f t="shared" si="30"/>
        <v>0</v>
      </c>
      <c r="W47" s="178">
        <f t="shared" si="31"/>
        <v>201.09842610631227</v>
      </c>
      <c r="X47" s="178">
        <f t="shared" si="32"/>
        <v>2177.7671256644767</v>
      </c>
      <c r="Y47" s="178">
        <f t="shared" si="33"/>
        <v>0</v>
      </c>
      <c r="Z47" s="178">
        <f t="shared" si="34"/>
        <v>386.48870461479288</v>
      </c>
      <c r="AA47" s="178">
        <f t="shared" si="35"/>
        <v>243.28964938550962</v>
      </c>
      <c r="AB47" s="178">
        <f t="shared" si="36"/>
        <v>96.380461340470632</v>
      </c>
      <c r="AC47" s="178">
        <f t="shared" si="37"/>
        <v>4.957650834719769</v>
      </c>
      <c r="AD47" s="178">
        <f t="shared" si="38"/>
        <v>48.065068692736361</v>
      </c>
      <c r="AE47" s="45">
        <f t="shared" ref="AE47:AE53" si="44">SUM(S47:AD47)</f>
        <v>3229.5104585901186</v>
      </c>
    </row>
    <row r="48" spans="1:31" s="33" customFormat="1" ht="48.75" thickBot="1">
      <c r="A48" s="28">
        <v>21002</v>
      </c>
      <c r="B48" s="29" t="s">
        <v>54</v>
      </c>
      <c r="C48" s="45">
        <v>10.178540835556426</v>
      </c>
      <c r="D48" s="45">
        <v>1.6447653429602886</v>
      </c>
      <c r="E48" s="45"/>
      <c r="F48" s="45">
        <v>0</v>
      </c>
      <c r="G48" s="45">
        <v>126.81694352159469</v>
      </c>
      <c r="H48" s="45">
        <v>0</v>
      </c>
      <c r="I48" s="45">
        <v>0</v>
      </c>
      <c r="J48" s="45">
        <v>0</v>
      </c>
      <c r="K48" s="45">
        <v>0</v>
      </c>
      <c r="L48" s="45">
        <v>66.749693319950921</v>
      </c>
      <c r="M48" s="45">
        <v>15.599441784728068</v>
      </c>
      <c r="N48" s="45">
        <v>36.225559648625676</v>
      </c>
      <c r="O48" s="45">
        <f t="shared" si="43"/>
        <v>257.21494445341608</v>
      </c>
      <c r="P48" s="32"/>
      <c r="Q48" s="28">
        <v>21002</v>
      </c>
      <c r="R48" s="29" t="s">
        <v>54</v>
      </c>
      <c r="S48" s="178">
        <f t="shared" si="27"/>
        <v>10.621319511001248</v>
      </c>
      <c r="T48" s="178">
        <f t="shared" si="28"/>
        <v>1.5395446642599278</v>
      </c>
      <c r="U48" s="178">
        <f t="shared" si="29"/>
        <v>0</v>
      </c>
      <c r="V48" s="178">
        <f t="shared" si="30"/>
        <v>0</v>
      </c>
      <c r="W48" s="178">
        <f t="shared" si="31"/>
        <v>127.52583118936877</v>
      </c>
      <c r="X48" s="178">
        <f t="shared" si="32"/>
        <v>0</v>
      </c>
      <c r="Y48" s="178">
        <f t="shared" si="33"/>
        <v>0</v>
      </c>
      <c r="Z48" s="178">
        <f t="shared" si="34"/>
        <v>0</v>
      </c>
      <c r="AA48" s="178">
        <f t="shared" si="35"/>
        <v>0</v>
      </c>
      <c r="AB48" s="178">
        <f t="shared" si="36"/>
        <v>62.091258748187798</v>
      </c>
      <c r="AC48" s="178">
        <f t="shared" si="37"/>
        <v>3.3051005564798457</v>
      </c>
      <c r="AD48" s="178">
        <f t="shared" si="38"/>
        <v>31.518077831302538</v>
      </c>
      <c r="AE48" s="45">
        <f t="shared" si="44"/>
        <v>236.60113250060013</v>
      </c>
    </row>
    <row r="49" spans="1:31" s="33" customFormat="1" ht="48.75" thickBot="1">
      <c r="A49" s="28">
        <v>21003</v>
      </c>
      <c r="B49" s="29" t="s">
        <v>55</v>
      </c>
      <c r="C49" s="45">
        <v>0</v>
      </c>
      <c r="D49" s="45">
        <v>0</v>
      </c>
      <c r="E49" s="45">
        <v>446</v>
      </c>
      <c r="F49" s="45">
        <v>309.56331877729258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20.921545667447308</v>
      </c>
      <c r="M49" s="45">
        <v>7.799720892364034</v>
      </c>
      <c r="N49" s="45">
        <v>10.867667894587703</v>
      </c>
      <c r="O49" s="45">
        <f t="shared" si="43"/>
        <v>795.15225323169159</v>
      </c>
      <c r="P49" s="32"/>
      <c r="Q49" s="28">
        <v>21003</v>
      </c>
      <c r="R49" s="29" t="s">
        <v>55</v>
      </c>
      <c r="S49" s="178">
        <f t="shared" si="27"/>
        <v>0</v>
      </c>
      <c r="T49" s="178">
        <f t="shared" si="28"/>
        <v>0</v>
      </c>
      <c r="U49" s="178">
        <f>446/2090*2102</f>
        <v>448.56076555023924</v>
      </c>
      <c r="V49" s="178">
        <f t="shared" si="30"/>
        <v>346.41865051105395</v>
      </c>
      <c r="W49" s="178">
        <f t="shared" si="31"/>
        <v>0</v>
      </c>
      <c r="X49" s="178">
        <f t="shared" si="32"/>
        <v>0</v>
      </c>
      <c r="Y49" s="178">
        <f t="shared" si="33"/>
        <v>0</v>
      </c>
      <c r="Z49" s="178">
        <f t="shared" si="34"/>
        <v>0</v>
      </c>
      <c r="AA49" s="178">
        <f t="shared" si="35"/>
        <v>0</v>
      </c>
      <c r="AB49" s="178">
        <f t="shared" si="36"/>
        <v>19.461439309133493</v>
      </c>
      <c r="AC49" s="178">
        <f t="shared" si="37"/>
        <v>1.6525502782399228</v>
      </c>
      <c r="AD49" s="178">
        <f t="shared" si="38"/>
        <v>9.4554233493907613</v>
      </c>
      <c r="AE49" s="45">
        <f t="shared" si="44"/>
        <v>825.5488289980575</v>
      </c>
    </row>
    <row r="50" spans="1:31" s="33" customFormat="1" ht="36.75" thickBot="1">
      <c r="A50" s="28">
        <v>21004</v>
      </c>
      <c r="B50" s="29" t="s">
        <v>56</v>
      </c>
      <c r="C50" s="45">
        <v>967.97923346141613</v>
      </c>
      <c r="D50" s="45">
        <v>11.513357400722022</v>
      </c>
      <c r="E50" s="45">
        <v>19506</v>
      </c>
      <c r="F50" s="45">
        <v>0</v>
      </c>
      <c r="G50" s="45">
        <v>112.184219269103</v>
      </c>
      <c r="H50" s="45">
        <v>0</v>
      </c>
      <c r="I50" s="45">
        <v>0</v>
      </c>
      <c r="J50" s="45">
        <v>0</v>
      </c>
      <c r="K50" s="45">
        <v>0</v>
      </c>
      <c r="L50" s="45">
        <v>710.33628861380623</v>
      </c>
      <c r="M50" s="45">
        <v>171.59385963200873</v>
      </c>
      <c r="N50" s="45">
        <v>381.2740153017852</v>
      </c>
      <c r="O50" s="45">
        <f t="shared" si="43"/>
        <v>21860.880973678839</v>
      </c>
      <c r="P50" s="32"/>
      <c r="Q50" s="28">
        <v>21004</v>
      </c>
      <c r="R50" s="29" t="s">
        <v>56</v>
      </c>
      <c r="S50" s="178">
        <f t="shared" si="27"/>
        <v>1010.0874854962187</v>
      </c>
      <c r="T50" s="178">
        <f t="shared" si="28"/>
        <v>10.776812649819496</v>
      </c>
      <c r="U50" s="178">
        <f>(21444881.53-128640.5)/1000</f>
        <v>21316.241030000001</v>
      </c>
      <c r="V50" s="178">
        <f t="shared" si="30"/>
        <v>0</v>
      </c>
      <c r="W50" s="178">
        <f t="shared" si="31"/>
        <v>112.81131220598007</v>
      </c>
      <c r="X50" s="178">
        <f t="shared" si="32"/>
        <v>0</v>
      </c>
      <c r="Y50" s="178">
        <f t="shared" si="33"/>
        <v>0</v>
      </c>
      <c r="Z50" s="178">
        <f t="shared" si="34"/>
        <v>0</v>
      </c>
      <c r="AA50" s="178">
        <f t="shared" si="35"/>
        <v>0</v>
      </c>
      <c r="AB50" s="178">
        <f t="shared" si="36"/>
        <v>660.76220130534193</v>
      </c>
      <c r="AC50" s="178">
        <f t="shared" si="37"/>
        <v>36.356106121278302</v>
      </c>
      <c r="AD50" s="178">
        <f t="shared" si="38"/>
        <v>331.72776917445918</v>
      </c>
      <c r="AE50" s="45">
        <f t="shared" si="44"/>
        <v>23478.762716953101</v>
      </c>
    </row>
    <row r="51" spans="1:31" s="33" customFormat="1" ht="48.75" thickBot="1">
      <c r="A51" s="28">
        <v>21005</v>
      </c>
      <c r="B51" s="29" t="s">
        <v>58</v>
      </c>
      <c r="C51" s="45">
        <v>8.1428326684451413</v>
      </c>
      <c r="D51" s="45">
        <v>1.6447653429602886</v>
      </c>
      <c r="E51" s="45"/>
      <c r="F51" s="45">
        <v>0</v>
      </c>
      <c r="G51" s="45">
        <v>43.898172757475081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f t="shared" si="43"/>
        <v>53.685770768880509</v>
      </c>
      <c r="P51" s="32"/>
      <c r="Q51" s="28">
        <v>21005</v>
      </c>
      <c r="R51" s="29" t="s">
        <v>58</v>
      </c>
      <c r="S51" s="178">
        <f t="shared" si="27"/>
        <v>8.4970556088009985</v>
      </c>
      <c r="T51" s="178">
        <f t="shared" si="28"/>
        <v>1.5395446642599278</v>
      </c>
      <c r="U51" s="178">
        <f t="shared" si="29"/>
        <v>0</v>
      </c>
      <c r="V51" s="178">
        <f t="shared" si="30"/>
        <v>0</v>
      </c>
      <c r="W51" s="178">
        <f t="shared" si="31"/>
        <v>44.143556950166115</v>
      </c>
      <c r="X51" s="178">
        <f t="shared" si="32"/>
        <v>0</v>
      </c>
      <c r="Y51" s="178">
        <f t="shared" si="33"/>
        <v>0</v>
      </c>
      <c r="Z51" s="178">
        <f t="shared" si="34"/>
        <v>0</v>
      </c>
      <c r="AA51" s="178">
        <f t="shared" si="35"/>
        <v>0</v>
      </c>
      <c r="AB51" s="178">
        <f t="shared" si="36"/>
        <v>0</v>
      </c>
      <c r="AC51" s="178">
        <f t="shared" si="37"/>
        <v>0</v>
      </c>
      <c r="AD51" s="178">
        <f t="shared" si="38"/>
        <v>0</v>
      </c>
      <c r="AE51" s="45">
        <f t="shared" si="44"/>
        <v>54.180157223227042</v>
      </c>
    </row>
    <row r="52" spans="1:31" s="33" customFormat="1" ht="36.75" thickBot="1">
      <c r="A52" s="43">
        <v>21006</v>
      </c>
      <c r="B52" s="29" t="s">
        <v>57</v>
      </c>
      <c r="C52" s="45">
        <v>8.1428326684451413</v>
      </c>
      <c r="D52" s="45">
        <v>0</v>
      </c>
      <c r="E52" s="45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48.81693989071038</v>
      </c>
      <c r="M52" s="45">
        <v>15.599441784728068</v>
      </c>
      <c r="N52" s="45">
        <v>26.263530745253611</v>
      </c>
      <c r="O52" s="45">
        <f t="shared" si="43"/>
        <v>98.822745089137214</v>
      </c>
      <c r="P52" s="32"/>
      <c r="Q52" s="43">
        <v>21006</v>
      </c>
      <c r="R52" s="29" t="s">
        <v>57</v>
      </c>
      <c r="S52" s="178">
        <f t="shared" si="27"/>
        <v>8.4970556088009985</v>
      </c>
      <c r="T52" s="178">
        <f t="shared" si="28"/>
        <v>0</v>
      </c>
      <c r="U52" s="178">
        <f t="shared" si="29"/>
        <v>0</v>
      </c>
      <c r="V52" s="178">
        <f t="shared" si="30"/>
        <v>0</v>
      </c>
      <c r="W52" s="178">
        <f t="shared" si="31"/>
        <v>0</v>
      </c>
      <c r="X52" s="178">
        <f t="shared" si="32"/>
        <v>0</v>
      </c>
      <c r="Y52" s="178">
        <f t="shared" si="33"/>
        <v>0</v>
      </c>
      <c r="Z52" s="178">
        <f t="shared" si="34"/>
        <v>0</v>
      </c>
      <c r="AA52" s="178">
        <f t="shared" si="35"/>
        <v>0</v>
      </c>
      <c r="AB52" s="178">
        <f t="shared" si="36"/>
        <v>45.410025054644812</v>
      </c>
      <c r="AC52" s="178">
        <f t="shared" si="37"/>
        <v>3.3051005564798457</v>
      </c>
      <c r="AD52" s="178">
        <f t="shared" si="38"/>
        <v>22.850606427694334</v>
      </c>
      <c r="AE52" s="45">
        <f t="shared" si="44"/>
        <v>80.062787647619984</v>
      </c>
    </row>
    <row r="53" spans="1:31" s="33" customFormat="1" ht="24">
      <c r="A53" s="28">
        <v>21100</v>
      </c>
      <c r="B53" s="29" t="s">
        <v>62</v>
      </c>
      <c r="C53" s="30">
        <v>0</v>
      </c>
      <c r="D53" s="30">
        <v>0</v>
      </c>
      <c r="E53" s="30">
        <v>231</v>
      </c>
      <c r="F53" s="30">
        <v>0</v>
      </c>
      <c r="G53" s="30">
        <v>0</v>
      </c>
      <c r="H53" s="44">
        <v>0</v>
      </c>
      <c r="I53" s="44">
        <v>0</v>
      </c>
      <c r="J53" s="44">
        <v>0</v>
      </c>
      <c r="K53" s="44">
        <v>0</v>
      </c>
      <c r="L53" s="44">
        <v>7.9701126352180216</v>
      </c>
      <c r="M53" s="44">
        <v>0</v>
      </c>
      <c r="N53" s="44">
        <v>4.5281949560782095</v>
      </c>
      <c r="O53" s="31">
        <f t="shared" si="43"/>
        <v>243.49830759129622</v>
      </c>
      <c r="P53" s="32"/>
      <c r="Q53" s="28">
        <v>21100</v>
      </c>
      <c r="R53" s="29" t="s">
        <v>62</v>
      </c>
      <c r="S53" s="178">
        <f t="shared" si="27"/>
        <v>0</v>
      </c>
      <c r="T53" s="178">
        <f t="shared" si="28"/>
        <v>0</v>
      </c>
      <c r="U53" s="178">
        <f>(206665+82575.25)/1000</f>
        <v>289.24025</v>
      </c>
      <c r="V53" s="178">
        <f t="shared" si="30"/>
        <v>0</v>
      </c>
      <c r="W53" s="178">
        <f t="shared" si="31"/>
        <v>0</v>
      </c>
      <c r="X53" s="178">
        <f t="shared" si="32"/>
        <v>0</v>
      </c>
      <c r="Y53" s="178">
        <f t="shared" si="33"/>
        <v>0</v>
      </c>
      <c r="Z53" s="178">
        <f t="shared" si="34"/>
        <v>0</v>
      </c>
      <c r="AA53" s="178">
        <f t="shared" si="35"/>
        <v>0</v>
      </c>
      <c r="AB53" s="178">
        <f t="shared" si="36"/>
        <v>7.4138816415746644</v>
      </c>
      <c r="AC53" s="178">
        <f t="shared" si="37"/>
        <v>0</v>
      </c>
      <c r="AD53" s="178">
        <f t="shared" si="38"/>
        <v>3.9397597289128172</v>
      </c>
      <c r="AE53" s="31">
        <f t="shared" si="44"/>
        <v>300.59389137048748</v>
      </c>
    </row>
    <row r="54" spans="1:31" s="33" customFormat="1" ht="15.75" thickBot="1">
      <c r="A54" s="34">
        <v>29999</v>
      </c>
      <c r="B54" s="35" t="s">
        <v>63</v>
      </c>
      <c r="C54" s="36">
        <f>SUM(C16:C53)</f>
        <v>33079.239861474831</v>
      </c>
      <c r="D54" s="36">
        <f>SUM(D16:D53)</f>
        <v>1037.8469314079421</v>
      </c>
      <c r="E54" s="38">
        <f>SUM(E16:E53)</f>
        <v>127931</v>
      </c>
      <c r="F54" s="38">
        <f t="shared" ref="F54:O54" si="45">SUM(F16:F53)</f>
        <v>5120.946186317321</v>
      </c>
      <c r="G54" s="38">
        <f t="shared" si="45"/>
        <v>36845.19966777409</v>
      </c>
      <c r="H54" s="37">
        <f t="shared" si="45"/>
        <v>78599.80048210005</v>
      </c>
      <c r="I54" s="37">
        <f t="shared" si="45"/>
        <v>0</v>
      </c>
      <c r="J54" s="37">
        <f t="shared" si="45"/>
        <v>14929.142528328073</v>
      </c>
      <c r="K54" s="38">
        <f t="shared" si="45"/>
        <v>9468.388211477808</v>
      </c>
      <c r="L54" s="38">
        <f t="shared" si="45"/>
        <v>10028.394223263071</v>
      </c>
      <c r="M54" s="38">
        <f t="shared" si="45"/>
        <v>2347.7159886015752</v>
      </c>
      <c r="N54" s="38">
        <f t="shared" si="45"/>
        <v>5382.2125247945605</v>
      </c>
      <c r="O54" s="39">
        <f t="shared" si="45"/>
        <v>324769.88660553942</v>
      </c>
      <c r="P54" s="32"/>
      <c r="Q54" s="34">
        <v>29999</v>
      </c>
      <c r="R54" s="35" t="s">
        <v>63</v>
      </c>
      <c r="S54" s="36">
        <f>SUM(S16:S53)</f>
        <v>34518.22627880294</v>
      </c>
      <c r="T54" s="36">
        <f>SUM(T16:T53)</f>
        <v>971.45268314801433</v>
      </c>
      <c r="U54" s="38">
        <f>SUM(U16:U53)</f>
        <v>128492.01729583215</v>
      </c>
      <c r="V54" s="38">
        <f t="shared" ref="V54:AE54" si="46">SUM(V16:V53)</f>
        <v>5730.6249145107122</v>
      </c>
      <c r="W54" s="38">
        <f t="shared" si="46"/>
        <v>37051.158800172758</v>
      </c>
      <c r="X54" s="37">
        <f t="shared" si="46"/>
        <v>80345.506286565258</v>
      </c>
      <c r="Y54" s="37">
        <f t="shared" si="46"/>
        <v>0</v>
      </c>
      <c r="Z54" s="37">
        <f t="shared" si="46"/>
        <v>15386.884095713187</v>
      </c>
      <c r="AA54" s="38">
        <f t="shared" si="46"/>
        <v>9302.7038267012631</v>
      </c>
      <c r="AB54" s="38">
        <f t="shared" si="46"/>
        <v>9328.5165755113194</v>
      </c>
      <c r="AC54" s="38">
        <f t="shared" si="46"/>
        <v>497.41763375021668</v>
      </c>
      <c r="AD54" s="38">
        <f t="shared" si="46"/>
        <v>4682.7984137857738</v>
      </c>
      <c r="AE54" s="39">
        <f t="shared" si="46"/>
        <v>326307.30680449365</v>
      </c>
    </row>
    <row r="55" spans="1:31" s="33" customFormat="1" ht="24.75" thickBot="1">
      <c r="A55" s="34"/>
      <c r="B55" s="40" t="s">
        <v>64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7"/>
      <c r="P55" s="32"/>
      <c r="Q55" s="34"/>
      <c r="R55" s="40" t="s">
        <v>64</v>
      </c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7"/>
    </row>
    <row r="56" spans="1:31" s="33" customFormat="1" ht="36.75" thickBot="1">
      <c r="A56" s="28">
        <v>30100</v>
      </c>
      <c r="B56" s="29" t="s">
        <v>65</v>
      </c>
      <c r="C56" s="189">
        <v>356.24892924447488</v>
      </c>
      <c r="D56" s="189">
        <v>113.48880866425992</v>
      </c>
      <c r="E56" s="189"/>
      <c r="F56" s="189">
        <v>79.110625909752542</v>
      </c>
      <c r="G56" s="189">
        <v>497.51262458471757</v>
      </c>
      <c r="H56" s="189">
        <v>5540.19107697238</v>
      </c>
      <c r="I56" s="189">
        <v>0</v>
      </c>
      <c r="J56" s="189">
        <v>2504.3685125543843</v>
      </c>
      <c r="K56" s="189">
        <v>0</v>
      </c>
      <c r="L56" s="189">
        <v>329.76341028214563</v>
      </c>
      <c r="M56" s="189">
        <v>77.997208923640343</v>
      </c>
      <c r="N56" s="189">
        <v>177.5052422782658</v>
      </c>
      <c r="O56" s="179">
        <f>SUM(C56:N56)</f>
        <v>9676.1864394140212</v>
      </c>
      <c r="P56" s="32"/>
      <c r="Q56" s="28">
        <v>30100</v>
      </c>
      <c r="R56" s="29" t="s">
        <v>65</v>
      </c>
      <c r="S56" s="178">
        <f t="shared" ref="S56" si="47">C56/$C$66*$S$69</f>
        <v>371.74618288504365</v>
      </c>
      <c r="T56" s="178">
        <f t="shared" ref="T56" si="48">D56/$D$66*$T$69</f>
        <v>106.22858183393502</v>
      </c>
      <c r="U56" s="178">
        <f t="shared" ref="U56" si="49">E56/$E$66*$U$69</f>
        <v>0</v>
      </c>
      <c r="V56" s="178">
        <f t="shared" ref="V56" si="50">F56/$F$66*$V$69</f>
        <v>88.529210686158237</v>
      </c>
      <c r="W56" s="178">
        <f t="shared" ref="W56" si="51">G56/$G$66*$W$69</f>
        <v>500.29364543521592</v>
      </c>
      <c r="X56" s="178">
        <f t="shared" ref="X56" si="52">H56/$H$66*$X$69</f>
        <v>5663.2390193538567</v>
      </c>
      <c r="Y56" s="178">
        <f t="shared" ref="Y56" si="53">I56/$I$66*$Y$69</f>
        <v>0</v>
      </c>
      <c r="Z56" s="178">
        <f t="shared" ref="Z56" si="54">J56/$J$66*$Z$69</f>
        <v>2581.1548092938897</v>
      </c>
      <c r="AA56" s="178">
        <f t="shared" ref="AA56" si="55">K56/$K$66*$AA$69</f>
        <v>0</v>
      </c>
      <c r="AB56" s="178">
        <f t="shared" ref="AB56" si="56">L56/$L$66*$AB$69</f>
        <v>306.74935292015169</v>
      </c>
      <c r="AC56" s="178">
        <f t="shared" ref="AC56" si="57">M56/$M$66*$AC$69</f>
        <v>16.525502782399229</v>
      </c>
      <c r="AD56" s="178">
        <f t="shared" ref="AD56" si="58">N56/$N$66*$AD$69</f>
        <v>154.43858137338242</v>
      </c>
      <c r="AE56" s="179">
        <f>SUM(S56:AD56)</f>
        <v>9788.9048865640325</v>
      </c>
    </row>
    <row r="57" spans="1:31" s="33" customFormat="1" ht="36.75" thickBot="1">
      <c r="A57" s="28">
        <v>30200</v>
      </c>
      <c r="B57" s="29" t="s">
        <v>66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80"/>
      <c r="P57" s="32"/>
      <c r="Q57" s="28">
        <v>30200</v>
      </c>
      <c r="R57" s="29" t="s">
        <v>66</v>
      </c>
      <c r="S57" s="178">
        <f t="shared" ref="S57:S58" si="59">C57/$C$66*$S$69</f>
        <v>0</v>
      </c>
      <c r="T57" s="178">
        <f t="shared" ref="T57:T58" si="60">D57/$D$66*$T$69</f>
        <v>0</v>
      </c>
      <c r="U57" s="178">
        <f t="shared" ref="U57:U58" si="61">E57/$E$66*$U$69</f>
        <v>0</v>
      </c>
      <c r="V57" s="178">
        <f t="shared" ref="V57:V58" si="62">F57/$F$66*$V$69</f>
        <v>0</v>
      </c>
      <c r="W57" s="178">
        <f t="shared" ref="W57:W58" si="63">G57/$G$66*$W$69</f>
        <v>0</v>
      </c>
      <c r="X57" s="178">
        <f t="shared" ref="X57:X58" si="64">H57/$H$66*$X$69</f>
        <v>0</v>
      </c>
      <c r="Y57" s="178">
        <f t="shared" ref="Y57:Y58" si="65">I57/$I$66*$Y$69</f>
        <v>0</v>
      </c>
      <c r="Z57" s="178">
        <f t="shared" ref="Z57:Z58" si="66">J57/$J$66*$Z$69</f>
        <v>0</v>
      </c>
      <c r="AA57" s="178">
        <f t="shared" ref="AA57:AA58" si="67">K57/$K$66*$AA$69</f>
        <v>0</v>
      </c>
      <c r="AB57" s="178">
        <f t="shared" ref="AB57:AB58" si="68">L57/$L$66*$AB$69</f>
        <v>0</v>
      </c>
      <c r="AC57" s="178">
        <f t="shared" ref="AC57:AC58" si="69">M57/$M$66*$AC$69</f>
        <v>0</v>
      </c>
      <c r="AD57" s="178">
        <f t="shared" ref="AD57:AD58" si="70">N57/$N$66*$AD$69</f>
        <v>0</v>
      </c>
      <c r="AE57" s="180"/>
    </row>
    <row r="58" spans="1:31" s="33" customFormat="1" ht="36.75" thickBot="1">
      <c r="A58" s="28">
        <v>30201</v>
      </c>
      <c r="B58" s="29" t="s">
        <v>67</v>
      </c>
      <c r="C58" s="45">
        <v>2423.5105729459851</v>
      </c>
      <c r="D58" s="45">
        <v>32.895306859205775</v>
      </c>
      <c r="E58" s="45">
        <v>870</v>
      </c>
      <c r="F58" s="45">
        <v>206.37554585152839</v>
      </c>
      <c r="G58" s="45">
        <v>156.08239202657808</v>
      </c>
      <c r="H58" s="45">
        <v>13587.875496418059</v>
      </c>
      <c r="I58" s="45">
        <v>0</v>
      </c>
      <c r="J58" s="45">
        <v>2555.457221500822</v>
      </c>
      <c r="K58" s="45">
        <v>696.8671083907584</v>
      </c>
      <c r="L58" s="45">
        <v>867.74601315936206</v>
      </c>
      <c r="M58" s="45">
        <v>210.59246409382891</v>
      </c>
      <c r="N58" s="45">
        <v>465.49844148483993</v>
      </c>
      <c r="O58" s="180">
        <f t="shared" ref="O58:O64" si="71">SUM(C58:N58)</f>
        <v>22072.900562730967</v>
      </c>
      <c r="P58" s="32"/>
      <c r="Q58" s="28">
        <v>30201</v>
      </c>
      <c r="R58" s="29" t="s">
        <v>67</v>
      </c>
      <c r="S58" s="178">
        <f t="shared" si="59"/>
        <v>2528.9361755693972</v>
      </c>
      <c r="T58" s="178">
        <f t="shared" si="60"/>
        <v>30.790893285198557</v>
      </c>
      <c r="U58" s="178">
        <f t="shared" si="61"/>
        <v>873.37470650853629</v>
      </c>
      <c r="V58" s="178">
        <f t="shared" si="62"/>
        <v>230.94576700736934</v>
      </c>
      <c r="W58" s="178">
        <f t="shared" si="63"/>
        <v>156.9548691561462</v>
      </c>
      <c r="X58" s="178">
        <f t="shared" si="64"/>
        <v>13889.662943446625</v>
      </c>
      <c r="Y58" s="178">
        <f t="shared" si="65"/>
        <v>0</v>
      </c>
      <c r="Z58" s="178">
        <f t="shared" si="66"/>
        <v>2633.8099461623901</v>
      </c>
      <c r="AA58" s="178">
        <f t="shared" si="67"/>
        <v>684.67284728254083</v>
      </c>
      <c r="AB58" s="178">
        <f t="shared" si="68"/>
        <v>807.18636372644141</v>
      </c>
      <c r="AC58" s="178">
        <f t="shared" si="69"/>
        <v>44.618857512477916</v>
      </c>
      <c r="AD58" s="178">
        <f t="shared" si="70"/>
        <v>405.00730013223756</v>
      </c>
      <c r="AE58" s="180">
        <f t="shared" ref="AE58:AE64" si="72">SUM(S58:AD58)</f>
        <v>22285.960669789361</v>
      </c>
    </row>
    <row r="59" spans="1:31" s="33" customFormat="1" ht="36.75" thickBot="1">
      <c r="A59" s="28">
        <v>30202</v>
      </c>
      <c r="B59" s="29" t="s">
        <v>68</v>
      </c>
      <c r="C59" s="45">
        <v>43280.173486869477</v>
      </c>
      <c r="D59" s="45">
        <v>828.96173285198552</v>
      </c>
      <c r="E59" s="45">
        <v>52441</v>
      </c>
      <c r="F59" s="45">
        <v>3862.6622998544399</v>
      </c>
      <c r="G59" s="45">
        <v>14062.048006644518</v>
      </c>
      <c r="H59" s="45">
        <v>51229.907787931428</v>
      </c>
      <c r="I59" s="45">
        <v>0</v>
      </c>
      <c r="J59" s="45">
        <v>11892.429668551807</v>
      </c>
      <c r="K59" s="45">
        <v>1335.9882063952041</v>
      </c>
      <c r="L59" s="45">
        <v>5723.5371361659418</v>
      </c>
      <c r="M59" s="45">
        <v>0</v>
      </c>
      <c r="N59" s="45">
        <v>3071.0218192122416</v>
      </c>
      <c r="O59" s="180">
        <f t="shared" si="71"/>
        <v>187727.73014447704</v>
      </c>
      <c r="P59" s="32"/>
      <c r="Q59" s="28">
        <v>30202</v>
      </c>
      <c r="R59" s="29" t="s">
        <v>68</v>
      </c>
      <c r="S59" s="178">
        <f t="shared" ref="S59:S64" si="73">C59/$C$66*$S$69</f>
        <v>45162.912692728409</v>
      </c>
      <c r="T59" s="178">
        <f t="shared" ref="T59:T64" si="74">D59/$D$66*$T$69</f>
        <v>775.93051078700364</v>
      </c>
      <c r="U59" s="178">
        <f>52579914.56/1000</f>
        <v>52579.914560000005</v>
      </c>
      <c r="V59" s="178">
        <f t="shared" ref="V59:V64" si="75">F59/$F$66*$V$69</f>
        <v>4322.534939154596</v>
      </c>
      <c r="W59" s="178">
        <f t="shared" ref="W59:W64" si="76">G59/$G$66*$W$69</f>
        <v>14140.652743036546</v>
      </c>
      <c r="X59" s="178">
        <f t="shared" ref="X59:X64" si="77">H59/$H$66*$X$69</f>
        <v>52367.72680069058</v>
      </c>
      <c r="Y59" s="178">
        <f t="shared" ref="Y59:Y64" si="78">I59/$I$66*$Y$69</f>
        <v>0</v>
      </c>
      <c r="Z59" s="178">
        <f t="shared" ref="Z59:Z64" si="79">J59/$J$66*$Z$69</f>
        <v>12257.062760249522</v>
      </c>
      <c r="AA59" s="178">
        <f t="shared" ref="AA59:AA64" si="80">K59/$K$66*$AA$69</f>
        <v>1312.6101636807139</v>
      </c>
      <c r="AB59" s="178">
        <f t="shared" ref="AB59:AB64" si="81">L59/$L$66*$AB$69</f>
        <v>5324.0937538558055</v>
      </c>
      <c r="AC59" s="178">
        <f t="shared" ref="AC59:AC64" si="82">M59/$M$66*$AC$69</f>
        <v>0</v>
      </c>
      <c r="AD59" s="178">
        <f t="shared" ref="AD59:AD64" si="83">N59/$N$66*$AD$69</f>
        <v>2671.9450481486724</v>
      </c>
      <c r="AE59" s="180">
        <f t="shared" si="72"/>
        <v>190915.38397233185</v>
      </c>
    </row>
    <row r="60" spans="1:31" s="33" customFormat="1" ht="36.75" thickBot="1">
      <c r="A60" s="43">
        <v>30300</v>
      </c>
      <c r="B60" s="29" t="s">
        <v>69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80">
        <f t="shared" si="71"/>
        <v>0</v>
      </c>
      <c r="P60" s="32"/>
      <c r="Q60" s="43">
        <v>30300</v>
      </c>
      <c r="R60" s="29" t="s">
        <v>69</v>
      </c>
      <c r="S60" s="178">
        <f t="shared" si="73"/>
        <v>0</v>
      </c>
      <c r="T60" s="178">
        <f t="shared" si="74"/>
        <v>0</v>
      </c>
      <c r="U60" s="178">
        <f t="shared" ref="U60:U64" si="84">E60/$E$66*$U$69</f>
        <v>0</v>
      </c>
      <c r="V60" s="178">
        <f t="shared" si="75"/>
        <v>0</v>
      </c>
      <c r="W60" s="178">
        <f t="shared" si="76"/>
        <v>0</v>
      </c>
      <c r="X60" s="178">
        <f t="shared" si="77"/>
        <v>0</v>
      </c>
      <c r="Y60" s="178">
        <f t="shared" si="78"/>
        <v>0</v>
      </c>
      <c r="Z60" s="178">
        <f t="shared" si="79"/>
        <v>0</v>
      </c>
      <c r="AA60" s="178">
        <f t="shared" si="80"/>
        <v>0</v>
      </c>
      <c r="AB60" s="178">
        <f t="shared" si="81"/>
        <v>0</v>
      </c>
      <c r="AC60" s="178">
        <f t="shared" si="82"/>
        <v>0</v>
      </c>
      <c r="AD60" s="178">
        <f t="shared" si="83"/>
        <v>0</v>
      </c>
      <c r="AE60" s="180">
        <f t="shared" si="72"/>
        <v>0</v>
      </c>
    </row>
    <row r="61" spans="1:31" s="33" customFormat="1" ht="36.75" thickBot="1">
      <c r="A61" s="28">
        <v>30400</v>
      </c>
      <c r="B61" s="29" t="s">
        <v>70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80">
        <f t="shared" si="71"/>
        <v>0</v>
      </c>
      <c r="P61" s="32"/>
      <c r="Q61" s="28">
        <v>30400</v>
      </c>
      <c r="R61" s="29" t="s">
        <v>70</v>
      </c>
      <c r="S61" s="178">
        <f t="shared" si="73"/>
        <v>0</v>
      </c>
      <c r="T61" s="178">
        <f t="shared" si="74"/>
        <v>0</v>
      </c>
      <c r="U61" s="178">
        <f t="shared" si="84"/>
        <v>0</v>
      </c>
      <c r="V61" s="178">
        <f t="shared" si="75"/>
        <v>0</v>
      </c>
      <c r="W61" s="178">
        <f t="shared" si="76"/>
        <v>0</v>
      </c>
      <c r="X61" s="178">
        <f t="shared" si="77"/>
        <v>0</v>
      </c>
      <c r="Y61" s="178">
        <f t="shared" si="78"/>
        <v>0</v>
      </c>
      <c r="Z61" s="178">
        <f t="shared" si="79"/>
        <v>0</v>
      </c>
      <c r="AA61" s="178">
        <f t="shared" si="80"/>
        <v>0</v>
      </c>
      <c r="AB61" s="178">
        <f t="shared" si="81"/>
        <v>0</v>
      </c>
      <c r="AC61" s="178">
        <f t="shared" si="82"/>
        <v>0</v>
      </c>
      <c r="AD61" s="178">
        <f t="shared" si="83"/>
        <v>0</v>
      </c>
      <c r="AE61" s="180">
        <f t="shared" si="72"/>
        <v>0</v>
      </c>
    </row>
    <row r="62" spans="1:31" s="33" customFormat="1" ht="36.75" thickBot="1">
      <c r="A62" s="28">
        <v>30500</v>
      </c>
      <c r="B62" s="29" t="s">
        <v>71</v>
      </c>
      <c r="C62" s="45">
        <v>123.16034411023276</v>
      </c>
      <c r="D62" s="45">
        <v>21.381949458483753</v>
      </c>
      <c r="E62" s="45">
        <v>40</v>
      </c>
      <c r="F62" s="45">
        <v>10.318777292576419</v>
      </c>
      <c r="G62" s="45">
        <v>19.51029900332226</v>
      </c>
      <c r="H62" s="45">
        <v>3495.5724224128571</v>
      </c>
      <c r="I62" s="45">
        <v>0</v>
      </c>
      <c r="J62" s="45">
        <v>340.2508015832762</v>
      </c>
      <c r="K62" s="45">
        <v>123.32198828263422</v>
      </c>
      <c r="L62" s="45">
        <v>150.43587598974017</v>
      </c>
      <c r="M62" s="45">
        <v>38.998604461820172</v>
      </c>
      <c r="N62" s="45">
        <v>80.601870218192119</v>
      </c>
      <c r="O62" s="180">
        <f t="shared" si="71"/>
        <v>4443.5529328131352</v>
      </c>
      <c r="P62" s="32"/>
      <c r="Q62" s="28">
        <v>30500</v>
      </c>
      <c r="R62" s="29" t="s">
        <v>71</v>
      </c>
      <c r="S62" s="178">
        <f t="shared" si="73"/>
        <v>128.51796608311511</v>
      </c>
      <c r="T62" s="178">
        <f t="shared" si="74"/>
        <v>20.014080635379063</v>
      </c>
      <c r="U62" s="178">
        <f t="shared" si="84"/>
        <v>40.155158919932703</v>
      </c>
      <c r="V62" s="178">
        <f t="shared" si="75"/>
        <v>11.547288350368465</v>
      </c>
      <c r="W62" s="178">
        <f t="shared" si="76"/>
        <v>19.619358644518275</v>
      </c>
      <c r="X62" s="178">
        <f t="shared" si="77"/>
        <v>3573.2092742916902</v>
      </c>
      <c r="Y62" s="178">
        <f t="shared" si="78"/>
        <v>0</v>
      </c>
      <c r="Z62" s="178">
        <f t="shared" si="79"/>
        <v>350.68321154421267</v>
      </c>
      <c r="AA62" s="178">
        <f t="shared" si="80"/>
        <v>121.16401510898896</v>
      </c>
      <c r="AB62" s="178">
        <f t="shared" si="81"/>
        <v>139.9370159847218</v>
      </c>
      <c r="AC62" s="178">
        <f t="shared" si="82"/>
        <v>8.2627513911996147</v>
      </c>
      <c r="AD62" s="178">
        <f t="shared" si="83"/>
        <v>70.127723174648139</v>
      </c>
      <c r="AE62" s="180">
        <f t="shared" si="72"/>
        <v>4483.2378441287747</v>
      </c>
    </row>
    <row r="63" spans="1:31" s="33" customFormat="1" ht="48.75" thickBot="1">
      <c r="A63" s="43">
        <v>30600</v>
      </c>
      <c r="B63" s="29" t="s">
        <v>72</v>
      </c>
      <c r="C63" s="45">
        <v>2039.7795834455078</v>
      </c>
      <c r="D63" s="45">
        <v>57.566787003610102</v>
      </c>
      <c r="E63" s="45"/>
      <c r="F63" s="45">
        <v>32.67612809315866</v>
      </c>
      <c r="G63" s="45">
        <v>1902.2541528239201</v>
      </c>
      <c r="H63" s="45">
        <v>3603.8830557878246</v>
      </c>
      <c r="I63" s="45">
        <v>0</v>
      </c>
      <c r="J63" s="45">
        <v>221.72499682754034</v>
      </c>
      <c r="K63" s="45">
        <v>0</v>
      </c>
      <c r="L63" s="45">
        <v>236.11458681833392</v>
      </c>
      <c r="M63" s="45">
        <v>54.598046246548236</v>
      </c>
      <c r="N63" s="45">
        <v>126.78945877018985</v>
      </c>
      <c r="O63" s="180">
        <f t="shared" si="71"/>
        <v>8275.3867958166338</v>
      </c>
      <c r="P63" s="32"/>
      <c r="Q63" s="43">
        <v>30600</v>
      </c>
      <c r="R63" s="29" t="s">
        <v>72</v>
      </c>
      <c r="S63" s="178">
        <f t="shared" si="73"/>
        <v>2128.5124300046505</v>
      </c>
      <c r="T63" s="178">
        <f t="shared" si="74"/>
        <v>53.884063249097473</v>
      </c>
      <c r="U63" s="178">
        <f t="shared" si="84"/>
        <v>0</v>
      </c>
      <c r="V63" s="178">
        <f t="shared" si="75"/>
        <v>36.566413109500147</v>
      </c>
      <c r="W63" s="178">
        <f t="shared" si="76"/>
        <v>1912.8874678405314</v>
      </c>
      <c r="X63" s="178">
        <f t="shared" si="77"/>
        <v>3683.9254926707958</v>
      </c>
      <c r="Y63" s="178">
        <f t="shared" si="78"/>
        <v>0</v>
      </c>
      <c r="Z63" s="178">
        <f t="shared" si="79"/>
        <v>228.52329400929173</v>
      </c>
      <c r="AA63" s="178">
        <f t="shared" si="80"/>
        <v>0</v>
      </c>
      <c r="AB63" s="178">
        <f t="shared" si="81"/>
        <v>219.63624363164945</v>
      </c>
      <c r="AC63" s="178">
        <f t="shared" si="82"/>
        <v>11.567851947679459</v>
      </c>
      <c r="AD63" s="178">
        <f t="shared" si="83"/>
        <v>110.31327240955888</v>
      </c>
      <c r="AE63" s="180">
        <f t="shared" si="72"/>
        <v>8385.8165288727541</v>
      </c>
    </row>
    <row r="64" spans="1:31" s="33" customFormat="1" ht="24.75" thickBot="1">
      <c r="A64" s="43">
        <v>30700</v>
      </c>
      <c r="B64" s="29" t="s">
        <v>73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1">
        <f t="shared" si="71"/>
        <v>0</v>
      </c>
      <c r="P64" s="32"/>
      <c r="Q64" s="43">
        <v>30700</v>
      </c>
      <c r="R64" s="29" t="s">
        <v>73</v>
      </c>
      <c r="S64" s="178">
        <f t="shared" si="73"/>
        <v>0</v>
      </c>
      <c r="T64" s="178">
        <f t="shared" si="74"/>
        <v>0</v>
      </c>
      <c r="U64" s="178">
        <f t="shared" si="84"/>
        <v>0</v>
      </c>
      <c r="V64" s="178">
        <f t="shared" si="75"/>
        <v>0</v>
      </c>
      <c r="W64" s="178">
        <f t="shared" si="76"/>
        <v>0</v>
      </c>
      <c r="X64" s="178">
        <f t="shared" si="77"/>
        <v>0</v>
      </c>
      <c r="Y64" s="178">
        <f t="shared" si="78"/>
        <v>0</v>
      </c>
      <c r="Z64" s="178">
        <f t="shared" si="79"/>
        <v>0</v>
      </c>
      <c r="AA64" s="178">
        <f t="shared" si="80"/>
        <v>0</v>
      </c>
      <c r="AB64" s="178">
        <f t="shared" si="81"/>
        <v>0</v>
      </c>
      <c r="AC64" s="178">
        <f t="shared" si="82"/>
        <v>0</v>
      </c>
      <c r="AD64" s="178">
        <f t="shared" si="83"/>
        <v>0</v>
      </c>
      <c r="AE64" s="191">
        <f t="shared" si="72"/>
        <v>0</v>
      </c>
    </row>
    <row r="65" spans="1:31" s="33" customFormat="1" ht="15.75" thickBot="1">
      <c r="A65" s="34">
        <v>39999</v>
      </c>
      <c r="B65" s="46" t="s">
        <v>22</v>
      </c>
      <c r="C65" s="174">
        <f>SUM(C56:C64)</f>
        <v>48222.872916615677</v>
      </c>
      <c r="D65" s="174">
        <f>SUM(D56:D64)</f>
        <v>1054.294584837545</v>
      </c>
      <c r="E65" s="176">
        <f>SUM(E56:E64)</f>
        <v>53351</v>
      </c>
      <c r="F65" s="176">
        <f t="shared" ref="F65:O65" si="85">SUM(F56:F64)</f>
        <v>4191.1433770014564</v>
      </c>
      <c r="G65" s="176">
        <f t="shared" si="85"/>
        <v>16637.407475083059</v>
      </c>
      <c r="H65" s="175">
        <f t="shared" si="85"/>
        <v>77457.429839522549</v>
      </c>
      <c r="I65" s="175">
        <f t="shared" si="85"/>
        <v>0</v>
      </c>
      <c r="J65" s="175">
        <f t="shared" si="85"/>
        <v>17514.231201017828</v>
      </c>
      <c r="K65" s="176">
        <f t="shared" si="85"/>
        <v>2156.1773030685968</v>
      </c>
      <c r="L65" s="176">
        <f t="shared" si="85"/>
        <v>7307.5970224155244</v>
      </c>
      <c r="M65" s="176">
        <f t="shared" si="85"/>
        <v>382.18632372583761</v>
      </c>
      <c r="N65" s="176">
        <f t="shared" si="85"/>
        <v>3921.4168319637292</v>
      </c>
      <c r="O65" s="188">
        <f t="shared" si="85"/>
        <v>232195.75687525177</v>
      </c>
      <c r="P65" s="32"/>
      <c r="Q65" s="34">
        <v>39999</v>
      </c>
      <c r="R65" s="46" t="s">
        <v>22</v>
      </c>
      <c r="S65" s="174">
        <f>SUM(S56:S64)</f>
        <v>50320.625447270613</v>
      </c>
      <c r="T65" s="174">
        <f>SUM(T56:T64)</f>
        <v>986.84812979061383</v>
      </c>
      <c r="U65" s="176">
        <f>SUM(U56:U64)</f>
        <v>53493.444425428468</v>
      </c>
      <c r="V65" s="176">
        <f t="shared" ref="V65:AE65" si="86">SUM(V56:V64)</f>
        <v>4690.1236183079918</v>
      </c>
      <c r="W65" s="176">
        <f t="shared" si="86"/>
        <v>16730.408084112958</v>
      </c>
      <c r="X65" s="175">
        <f t="shared" si="86"/>
        <v>79177.763530453536</v>
      </c>
      <c r="Y65" s="175">
        <f t="shared" si="86"/>
        <v>0</v>
      </c>
      <c r="Z65" s="175">
        <f t="shared" si="86"/>
        <v>18051.234021259304</v>
      </c>
      <c r="AA65" s="176">
        <f t="shared" si="86"/>
        <v>2118.4470260722437</v>
      </c>
      <c r="AB65" s="176">
        <f t="shared" si="86"/>
        <v>6797.6027301187705</v>
      </c>
      <c r="AC65" s="176">
        <f t="shared" si="86"/>
        <v>80.974963633756218</v>
      </c>
      <c r="AD65" s="176">
        <f t="shared" si="86"/>
        <v>3411.8319252384995</v>
      </c>
      <c r="AE65" s="188">
        <f t="shared" si="86"/>
        <v>235859.30390168677</v>
      </c>
    </row>
    <row r="66" spans="1:31" s="33" customFormat="1" ht="15.75" thickBot="1">
      <c r="A66" s="47">
        <v>49999</v>
      </c>
      <c r="B66" s="48" t="s">
        <v>74</v>
      </c>
      <c r="C66" s="49">
        <f>C65+C54+C14</f>
        <v>83177</v>
      </c>
      <c r="D66" s="49">
        <f>D65+D54+D14</f>
        <v>2277.9999999999995</v>
      </c>
      <c r="E66" s="50">
        <f>E65+E54+E14</f>
        <v>181285</v>
      </c>
      <c r="F66" s="50">
        <f>F65+F54+F14</f>
        <v>9451.9971324599719</v>
      </c>
      <c r="G66" s="50">
        <f>G65+G54+G14</f>
        <v>58726</v>
      </c>
      <c r="H66" s="51">
        <f>+H14+H54+H65</f>
        <v>164116.15452377702</v>
      </c>
      <c r="I66" s="50">
        <f t="shared" ref="I66:O66" si="87">I65+I54+I14</f>
        <v>1132.2835517889057</v>
      </c>
      <c r="J66" s="50">
        <f t="shared" si="87"/>
        <v>33209.704363542471</v>
      </c>
      <c r="K66" s="50">
        <f t="shared" si="87"/>
        <v>14143.857560891647</v>
      </c>
      <c r="L66" s="50">
        <f t="shared" si="87"/>
        <v>17866.999999999996</v>
      </c>
      <c r="M66" s="50">
        <f t="shared" si="87"/>
        <v>2865.0000000000009</v>
      </c>
      <c r="N66" s="50">
        <f t="shared" si="87"/>
        <v>9588.0000000000018</v>
      </c>
      <c r="O66" s="52">
        <f t="shared" si="87"/>
        <v>577839.99713246012</v>
      </c>
      <c r="P66" s="32"/>
      <c r="Q66" s="47">
        <v>49999</v>
      </c>
      <c r="R66" s="48" t="s">
        <v>74</v>
      </c>
      <c r="S66" s="49">
        <f>S65+S54+S14</f>
        <v>86795.298779999983</v>
      </c>
      <c r="T66" s="49">
        <f t="shared" ref="T66:AE66" si="88">T65+T54+T14</f>
        <v>2132.2693599999998</v>
      </c>
      <c r="U66" s="49">
        <f t="shared" si="88"/>
        <v>181988.47335817962</v>
      </c>
      <c r="V66" s="49">
        <f t="shared" si="88"/>
        <v>10577.312919999997</v>
      </c>
      <c r="W66" s="49">
        <f t="shared" si="88"/>
        <v>59054.269520000002</v>
      </c>
      <c r="X66" s="49">
        <f t="shared" si="88"/>
        <v>167761.18315999996</v>
      </c>
      <c r="Y66" s="49">
        <f t="shared" si="88"/>
        <v>1365.58503</v>
      </c>
      <c r="Z66" s="49">
        <f t="shared" si="88"/>
        <v>34227.945169999992</v>
      </c>
      <c r="AA66" s="49">
        <f t="shared" si="88"/>
        <v>13896.358589999994</v>
      </c>
      <c r="AB66" s="49">
        <f t="shared" si="88"/>
        <v>16620.069170000002</v>
      </c>
      <c r="AC66" s="49">
        <f t="shared" si="88"/>
        <v>607.0161499999997</v>
      </c>
      <c r="AD66" s="49">
        <f t="shared" si="88"/>
        <v>8342.0472499999996</v>
      </c>
      <c r="AE66" s="49">
        <f t="shared" si="88"/>
        <v>583367.8284581796</v>
      </c>
    </row>
    <row r="67" spans="1:31" s="33" customFormat="1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32"/>
    </row>
    <row r="68" spans="1:31" s="4" customForma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R68" s="5"/>
      <c r="S68" s="5"/>
      <c r="T68" s="5"/>
      <c r="U68" s="5"/>
      <c r="V68" s="5"/>
      <c r="W68" s="5"/>
      <c r="X68" s="5"/>
      <c r="Y68" s="5"/>
      <c r="Z68" s="5"/>
    </row>
    <row r="69" spans="1:31" s="4" customForma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4" t="s">
        <v>267</v>
      </c>
      <c r="R69" s="5"/>
      <c r="S69" s="192">
        <f>86795298.78/1000</f>
        <v>86795.298779999997</v>
      </c>
      <c r="T69" s="192">
        <f>2132269.36/1000</f>
        <v>2132.2693599999998</v>
      </c>
      <c r="U69" s="192">
        <f>181988199.62/1000</f>
        <v>181988.19962</v>
      </c>
      <c r="V69" s="192">
        <f>10577312.92/1000</f>
        <v>10577.31292</v>
      </c>
      <c r="W69" s="192">
        <f>59054269.52/1000</f>
        <v>59054.269520000002</v>
      </c>
      <c r="X69" s="192">
        <f>167762183.16/1000-1</f>
        <v>167761.18315999999</v>
      </c>
      <c r="Y69" s="192">
        <f>1365585.03/1000</f>
        <v>1365.58503</v>
      </c>
      <c r="Z69" s="192">
        <f>34227945.17/1000</f>
        <v>34227.945169999999</v>
      </c>
      <c r="AA69" s="192">
        <f>13896358.59/1000</f>
        <v>13896.35859</v>
      </c>
      <c r="AB69" s="192">
        <f>16620069.17/1000</f>
        <v>16620.069169999999</v>
      </c>
      <c r="AC69" s="192">
        <f>607016.15/1000</f>
        <v>607.01615000000004</v>
      </c>
      <c r="AD69" s="192">
        <f>8342047.25/1000</f>
        <v>8342.0472499999996</v>
      </c>
      <c r="AE69" s="192">
        <f>SUM(S69:AD69)</f>
        <v>583367.55472000001</v>
      </c>
    </row>
    <row r="70" spans="1:31" s="4" customForma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R70" s="5"/>
      <c r="S70" s="5"/>
      <c r="T70" s="5"/>
      <c r="U70" s="5"/>
      <c r="V70" s="5"/>
      <c r="W70" s="5"/>
      <c r="X70" s="5"/>
      <c r="Y70" s="5"/>
      <c r="Z70" s="5"/>
      <c r="AD70" s="4" t="s">
        <v>268</v>
      </c>
      <c r="AE70" s="192">
        <f>3592010.34/1000</f>
        <v>3592.0103399999998</v>
      </c>
    </row>
    <row r="71" spans="1:31" s="5" customForma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4"/>
      <c r="AC71" s="5" t="s">
        <v>281</v>
      </c>
      <c r="AE71" s="192">
        <f>(586959862.03)/1000</f>
        <v>586959.86202999996</v>
      </c>
    </row>
    <row r="72" spans="1:31" s="5" customForma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4"/>
      <c r="U72" s="193">
        <f>U69-U66</f>
        <v>-0.27373817961779423</v>
      </c>
    </row>
    <row r="73" spans="1:31" s="5" customForma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4"/>
      <c r="AE73" s="193">
        <f>AE71-AE70-AE69</f>
        <v>0.29696999990846962</v>
      </c>
    </row>
    <row r="74" spans="1:31" s="5" customForma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4"/>
    </row>
    <row r="75" spans="1:31" s="5" customForma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4"/>
    </row>
    <row r="76" spans="1:31" s="5" customForma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4"/>
    </row>
    <row r="77" spans="1:31" s="5" customForma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4"/>
    </row>
    <row r="78" spans="1:31" s="5" customForma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4"/>
    </row>
    <row r="79" spans="1:31" s="5" customForma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4"/>
    </row>
    <row r="80" spans="1:31" s="5" customForma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4"/>
    </row>
    <row r="81" spans="1:17" s="5" customForma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4"/>
    </row>
    <row r="82" spans="1:17" s="5" customForma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4"/>
    </row>
    <row r="83" spans="1:17" s="5" customForma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4"/>
    </row>
    <row r="84" spans="1:17" s="5" customForma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4"/>
    </row>
    <row r="85" spans="1:17" s="5" customForma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4"/>
    </row>
    <row r="86" spans="1:17" s="5" customForma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4"/>
    </row>
    <row r="87" spans="1:17" s="5" customForma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4"/>
    </row>
    <row r="88" spans="1:17" s="5" customForma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4"/>
    </row>
    <row r="89" spans="1:17" s="5" customForma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4"/>
    </row>
    <row r="90" spans="1:17" s="5" customForma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4"/>
    </row>
    <row r="91" spans="1:17" s="5" customForma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4"/>
    </row>
    <row r="92" spans="1:17" s="5" customForma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4"/>
    </row>
    <row r="93" spans="1:17" s="5" customForma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4"/>
    </row>
    <row r="94" spans="1:17" s="5" customForma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4"/>
    </row>
    <row r="95" spans="1:17" s="5" customForma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4"/>
    </row>
    <row r="96" spans="1:17" s="5" customForma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4"/>
    </row>
    <row r="97" spans="1:17" s="5" customForma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4"/>
    </row>
    <row r="98" spans="1:17" s="5" customForma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4"/>
    </row>
    <row r="99" spans="1:17" s="5" customForma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4"/>
    </row>
    <row r="100" spans="1:17" s="5" customForma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4"/>
    </row>
    <row r="101" spans="1:17" s="5" customForma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4"/>
    </row>
    <row r="102" spans="1:17" s="5" customForma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4"/>
    </row>
    <row r="103" spans="1:17" s="5" customForma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4"/>
    </row>
    <row r="104" spans="1:17" s="5" customForma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4"/>
    </row>
    <row r="105" spans="1:17" s="5" customForma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4"/>
    </row>
    <row r="106" spans="1:17" s="5" customForma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4"/>
    </row>
    <row r="107" spans="1:17" s="5" customForma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4"/>
    </row>
    <row r="108" spans="1:17" s="5" customForma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4"/>
    </row>
    <row r="109" spans="1:17" s="5" customForma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4"/>
    </row>
    <row r="110" spans="1:17" s="5" customForma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4"/>
    </row>
    <row r="111" spans="1:17" s="5" customForma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4"/>
    </row>
    <row r="112" spans="1:17" s="5" customForma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4"/>
    </row>
    <row r="113" spans="1:17" s="5" customForma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4"/>
    </row>
    <row r="114" spans="1:17" s="5" customForma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4"/>
    </row>
    <row r="115" spans="1:17" s="5" customForma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4"/>
    </row>
    <row r="116" spans="1:17" s="5" customForma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4"/>
    </row>
    <row r="117" spans="1:17" s="5" customForma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4"/>
    </row>
    <row r="118" spans="1:17" s="5" customForma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4"/>
    </row>
    <row r="119" spans="1:17" s="5" customForma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4"/>
    </row>
    <row r="120" spans="1:17" s="5" customForma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4"/>
    </row>
    <row r="121" spans="1:17" s="5" customForma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4"/>
    </row>
    <row r="122" spans="1:17" s="5" customForma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4"/>
    </row>
    <row r="123" spans="1:17" s="5" customForma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4"/>
    </row>
    <row r="124" spans="1:17" s="5" customForma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4"/>
    </row>
    <row r="125" spans="1:17" s="5" customForma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4"/>
    </row>
    <row r="126" spans="1:17" s="5" customForma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4"/>
    </row>
    <row r="127" spans="1:17" s="5" customForma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4"/>
    </row>
    <row r="128" spans="1:17" s="5" customForma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4"/>
    </row>
    <row r="129" spans="1:17" s="5" customForma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4"/>
    </row>
    <row r="130" spans="1:17" s="5" customForma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4"/>
    </row>
    <row r="131" spans="1:17" s="5" customForma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4"/>
    </row>
    <row r="132" spans="1:17" s="5" customForma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4"/>
    </row>
    <row r="133" spans="1:17" s="5" customForma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4"/>
    </row>
    <row r="134" spans="1:17" s="5" customForma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4"/>
    </row>
    <row r="135" spans="1:17" s="5" customForma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4"/>
    </row>
    <row r="136" spans="1:17" s="5" customForma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4"/>
    </row>
    <row r="137" spans="1:17" s="5" customForma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4"/>
    </row>
    <row r="138" spans="1:17" s="5" customForma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4"/>
    </row>
    <row r="139" spans="1:17" s="5" customForma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4"/>
    </row>
    <row r="140" spans="1:17" s="5" customForma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4"/>
    </row>
    <row r="141" spans="1:17" s="5" customForma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4"/>
    </row>
    <row r="142" spans="1:17" s="5" customForma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4"/>
    </row>
    <row r="143" spans="1:17" s="5" customForma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4"/>
    </row>
    <row r="144" spans="1:17" s="5" customForma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4"/>
    </row>
    <row r="145" spans="1:17" s="5" customForma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4"/>
    </row>
    <row r="146" spans="1:17" s="5" customForma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4"/>
    </row>
    <row r="147" spans="1:17" s="5" customForma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4"/>
    </row>
    <row r="148" spans="1:17" s="5" customForma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4"/>
    </row>
    <row r="149" spans="1:17" s="5" customForma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4"/>
    </row>
    <row r="150" spans="1:17" s="5" customForma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4"/>
    </row>
    <row r="151" spans="1:17" s="5" customForma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4"/>
    </row>
    <row r="152" spans="1:17" s="5" customForma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4"/>
    </row>
    <row r="153" spans="1:17" s="5" customForma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4"/>
    </row>
    <row r="154" spans="1:17" s="5" customForma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4"/>
    </row>
    <row r="155" spans="1:17" s="5" customForma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4"/>
    </row>
    <row r="156" spans="1:17" s="5" customForma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4"/>
    </row>
    <row r="157" spans="1:17" s="5" customForma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4"/>
    </row>
    <row r="158" spans="1:17" s="5" customForma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4"/>
    </row>
    <row r="159" spans="1:17" s="5" customForma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4"/>
    </row>
    <row r="160" spans="1:17" s="5" customForma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4"/>
    </row>
    <row r="161" spans="1:17" s="5" customForma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4"/>
    </row>
    <row r="162" spans="1:17" s="5" customForma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4"/>
    </row>
    <row r="163" spans="1:17" s="5" customForma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4"/>
    </row>
    <row r="164" spans="1:17" s="5" customForma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4"/>
    </row>
    <row r="165" spans="1:17" s="5" customForma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4"/>
    </row>
    <row r="166" spans="1:17" s="5" customForma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4"/>
    </row>
    <row r="167" spans="1:17" s="5" customForma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4"/>
    </row>
    <row r="168" spans="1:17" s="5" customForma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4"/>
    </row>
    <row r="169" spans="1:17" s="5" customForma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4"/>
    </row>
    <row r="170" spans="1:17" s="5" customForma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4"/>
    </row>
    <row r="171" spans="1:17" s="5" customForma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4"/>
    </row>
    <row r="172" spans="1:17" s="5" customForma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4"/>
    </row>
    <row r="173" spans="1:17" s="5" customForma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4"/>
    </row>
    <row r="174" spans="1:17" s="5" customForma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4"/>
    </row>
    <row r="175" spans="1:17" s="5" customForma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4"/>
    </row>
    <row r="176" spans="1:17" s="5" customForma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4"/>
    </row>
    <row r="177" spans="1:17" s="5" customForma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4"/>
    </row>
    <row r="178" spans="1:17" s="5" customForma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4"/>
    </row>
    <row r="179" spans="1:17" s="5" customForma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4"/>
    </row>
    <row r="180" spans="1:17" s="5" customForma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4"/>
    </row>
    <row r="181" spans="1:17" s="5" customForma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4"/>
    </row>
    <row r="182" spans="1:17" s="5" customForma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4"/>
    </row>
    <row r="183" spans="1:17" s="5" customForma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4"/>
    </row>
    <row r="184" spans="1:17" s="5" customForma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4"/>
    </row>
    <row r="185" spans="1:17" s="5" customForma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4"/>
    </row>
    <row r="186" spans="1:17" s="5" customForma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4"/>
    </row>
    <row r="187" spans="1:17" s="5" customForma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4"/>
    </row>
    <row r="188" spans="1:17" s="5" customForma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4"/>
    </row>
    <row r="189" spans="1:17" s="5" customForma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4"/>
    </row>
    <row r="190" spans="1:17" s="5" customForma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/>
      <c r="Q190" s="4"/>
    </row>
    <row r="191" spans="1:17" s="5" customForma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4"/>
    </row>
    <row r="192" spans="1:17" s="5" customForma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4"/>
    </row>
    <row r="193" spans="1:17" s="5" customForma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4"/>
    </row>
    <row r="194" spans="1:17" s="5" customForma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4"/>
    </row>
    <row r="195" spans="1:17" s="5" customForma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4"/>
    </row>
    <row r="196" spans="1:17" s="5" customForma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4"/>
    </row>
    <row r="197" spans="1:17" s="5" customForma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/>
      <c r="Q197" s="4"/>
    </row>
    <row r="198" spans="1:17" s="5" customForma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4"/>
    </row>
    <row r="199" spans="1:17" s="5" customForma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4"/>
    </row>
    <row r="200" spans="1:17" s="5" customForma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4"/>
    </row>
    <row r="201" spans="1:17" s="5" customForma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4"/>
    </row>
    <row r="202" spans="1:17" s="5" customForma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/>
      <c r="Q202" s="4"/>
    </row>
    <row r="203" spans="1:17" s="5" customForma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/>
      <c r="Q203" s="4"/>
    </row>
    <row r="204" spans="1:17" s="5" customForma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/>
      <c r="Q204" s="4"/>
    </row>
    <row r="205" spans="1:17" s="5" customForma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/>
      <c r="Q205" s="4"/>
    </row>
    <row r="206" spans="1:17" s="5" customForma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/>
      <c r="Q206" s="4"/>
    </row>
    <row r="207" spans="1:17" s="5" customForma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/>
      <c r="Q207" s="4"/>
    </row>
    <row r="208" spans="1:17" s="5" customForma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4"/>
    </row>
    <row r="209" spans="1:17" s="5" customForma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4"/>
    </row>
    <row r="210" spans="1:17" s="5" customForma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/>
      <c r="Q210" s="4"/>
    </row>
    <row r="211" spans="1:17" s="5" customForma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/>
      <c r="Q211" s="4"/>
    </row>
    <row r="212" spans="1:17" s="5" customForma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/>
      <c r="Q212" s="4"/>
    </row>
    <row r="213" spans="1:17" s="5" customForma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/>
      <c r="Q213" s="4"/>
    </row>
    <row r="214" spans="1:17" s="5" customForma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/>
      <c r="Q214" s="4"/>
    </row>
    <row r="215" spans="1:17" s="5" customForma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4"/>
    </row>
    <row r="216" spans="1:17" s="5" customForma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/>
      <c r="Q216" s="4"/>
    </row>
    <row r="217" spans="1:17" s="5" customForma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4"/>
    </row>
    <row r="218" spans="1:17" s="5" customForma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/>
      <c r="Q218" s="4"/>
    </row>
    <row r="219" spans="1:17" s="5" customForma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/>
      <c r="Q219" s="4"/>
    </row>
    <row r="220" spans="1:17" s="5" customForma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4"/>
    </row>
    <row r="221" spans="1:17" s="5" customForma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/>
      <c r="Q221" s="4"/>
    </row>
    <row r="222" spans="1:17" s="5" customForma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4"/>
    </row>
    <row r="223" spans="1:17" s="5" customForma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/>
      <c r="Q223" s="4"/>
    </row>
    <row r="224" spans="1:17" s="5" customForma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4"/>
    </row>
    <row r="225" spans="1:17" s="5" customForma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4"/>
    </row>
    <row r="226" spans="1:17" s="5" customForma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4"/>
    </row>
    <row r="227" spans="1:17" s="5" customForma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/>
      <c r="Q227" s="4"/>
    </row>
    <row r="228" spans="1:17" s="5" customForma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/>
      <c r="Q228" s="4"/>
    </row>
    <row r="229" spans="1:17" s="5" customForma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/>
      <c r="Q229" s="4"/>
    </row>
    <row r="230" spans="1:17" s="5" customForma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/>
      <c r="Q230" s="4"/>
    </row>
    <row r="231" spans="1:17" s="5" customForma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/>
      <c r="Q231" s="4"/>
    </row>
    <row r="232" spans="1:17" s="5" customForma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4"/>
    </row>
    <row r="233" spans="1:17" s="5" customForma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/>
      <c r="Q233" s="4"/>
    </row>
    <row r="234" spans="1:17" s="5" customForma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/>
      <c r="Q234" s="4"/>
    </row>
    <row r="235" spans="1:17" s="5" customForma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/>
      <c r="Q235" s="4"/>
    </row>
    <row r="236" spans="1:17" s="5" customForma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4"/>
    </row>
    <row r="237" spans="1:17" s="5" customForma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4"/>
    </row>
    <row r="238" spans="1:17" s="5" customForma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4"/>
    </row>
    <row r="239" spans="1:17" s="5" customForma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4"/>
    </row>
    <row r="240" spans="1:17" s="5" customForma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4"/>
    </row>
    <row r="241" spans="1:17" s="5" customForma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4"/>
    </row>
    <row r="242" spans="1:17" s="5" customForma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4"/>
    </row>
    <row r="243" spans="1:17" s="5" customForma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4"/>
    </row>
    <row r="244" spans="1:17" s="5" customForma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4"/>
    </row>
    <row r="245" spans="1:17" s="5" customForma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4"/>
    </row>
    <row r="246" spans="1:17" s="5" customForma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4"/>
    </row>
    <row r="247" spans="1:17" s="5" customForma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4"/>
    </row>
    <row r="248" spans="1:17" s="5" customForma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4"/>
    </row>
    <row r="249" spans="1:17" s="5" customForma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4"/>
    </row>
    <row r="250" spans="1:17" s="5" customForma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4"/>
    </row>
    <row r="251" spans="1:17" s="5" customForma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4"/>
    </row>
    <row r="252" spans="1:17" s="5" customForma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4"/>
    </row>
    <row r="253" spans="1:17" s="5" customForma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4"/>
    </row>
    <row r="254" spans="1:17" s="5" customForma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4"/>
    </row>
    <row r="255" spans="1:17" s="5" customForma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4"/>
    </row>
    <row r="256" spans="1:17" s="5" customForma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4"/>
    </row>
    <row r="257" spans="1:17" s="5" customForma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4"/>
    </row>
    <row r="258" spans="1:17" s="5" customForma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4"/>
    </row>
    <row r="259" spans="1:17" s="5" customForma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4"/>
    </row>
    <row r="260" spans="1:17" s="5" customForma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4"/>
    </row>
    <row r="261" spans="1:17" s="5" customForma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4"/>
    </row>
    <row r="262" spans="1:17" s="5" customForma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4"/>
    </row>
    <row r="263" spans="1:17" s="5" customForma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4"/>
    </row>
    <row r="264" spans="1:17" s="5" customForma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4"/>
    </row>
    <row r="265" spans="1:17" s="5" customForma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4"/>
    </row>
    <row r="266" spans="1:17" s="5" customForma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4"/>
    </row>
    <row r="267" spans="1:17" s="5" customForma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4"/>
    </row>
    <row r="268" spans="1:17" s="5" customForma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4"/>
    </row>
    <row r="269" spans="1:17" s="5" customForma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4"/>
    </row>
    <row r="270" spans="1:17" s="5" customForma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4"/>
    </row>
    <row r="271" spans="1:17" s="5" customForma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4"/>
    </row>
    <row r="272" spans="1:17" s="5" customForma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4"/>
    </row>
    <row r="273" spans="1:17" s="5" customForma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4"/>
    </row>
    <row r="274" spans="1:17" s="5" customForma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4"/>
    </row>
    <row r="275" spans="1:17" s="5" customForma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4"/>
    </row>
    <row r="276" spans="1:17" s="5" customForma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4"/>
    </row>
    <row r="277" spans="1:17" s="5" customForma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4"/>
    </row>
    <row r="278" spans="1:17" s="5" customForma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4"/>
    </row>
    <row r="279" spans="1:17" s="5" customForma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4"/>
    </row>
    <row r="280" spans="1:17" s="5" customForma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4"/>
    </row>
    <row r="281" spans="1:17" s="5" customForma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4"/>
    </row>
    <row r="282" spans="1:17" s="5" customForma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4"/>
    </row>
    <row r="283" spans="1:17" s="5" customForma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4"/>
    </row>
    <row r="284" spans="1:17" s="5" customForma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4"/>
    </row>
    <row r="285" spans="1:17" s="5" customForma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4"/>
    </row>
    <row r="286" spans="1:17" s="5" customForma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4"/>
    </row>
    <row r="287" spans="1:17" s="5" customForma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4"/>
    </row>
    <row r="288" spans="1:17" s="5" customForma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4"/>
    </row>
    <row r="289" spans="1:17" s="5" customForma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4"/>
    </row>
    <row r="290" spans="1:17" s="5" customForma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4"/>
    </row>
    <row r="291" spans="1:17" s="5" customForma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4"/>
    </row>
    <row r="292" spans="1:17" s="5" customForma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4"/>
    </row>
  </sheetData>
  <mergeCells count="4">
    <mergeCell ref="C4:D4"/>
    <mergeCell ref="E4:G4"/>
    <mergeCell ref="S4:T4"/>
    <mergeCell ref="U4:W4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8" orientation="portrait" r:id="rId1"/>
  <headerFooter alignWithMargins="0">
    <oddHeader>&amp;CAzienda per l'Assistenza Sanitaria n. 1 "Triestina"
MODELLO LA - anno 2015</oddHeader>
  </headerFooter>
  <ignoredErrors>
    <ignoredError sqref="H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90" workbookViewId="0">
      <selection activeCell="G6" sqref="G6"/>
    </sheetView>
  </sheetViews>
  <sheetFormatPr defaultRowHeight="15"/>
  <cols>
    <col min="1" max="1" width="9.140625" style="62"/>
    <col min="2" max="2" width="19.42578125" style="62" customWidth="1"/>
    <col min="3" max="3" width="9.28515625" style="62" bestFit="1" customWidth="1"/>
    <col min="4" max="4" width="9.42578125" style="62" bestFit="1" customWidth="1"/>
    <col min="5" max="6" width="9.28515625" style="62" bestFit="1" customWidth="1"/>
    <col min="7" max="7" width="14.28515625" style="62" bestFit="1" customWidth="1"/>
    <col min="8" max="8" width="14.42578125" style="62" bestFit="1" customWidth="1"/>
    <col min="9" max="9" width="12.85546875" style="62" bestFit="1" customWidth="1"/>
    <col min="10" max="11" width="14.28515625" style="62" bestFit="1" customWidth="1"/>
    <col min="12" max="12" width="12.85546875" style="62" bestFit="1" customWidth="1"/>
    <col min="13" max="14" width="9.28515625" style="62" bestFit="1" customWidth="1"/>
    <col min="15" max="15" width="14.28515625" style="169" bestFit="1" customWidth="1"/>
    <col min="16" max="16384" width="9.140625" style="62"/>
  </cols>
  <sheetData>
    <row r="1" spans="1:15" ht="45.75" customHeight="1">
      <c r="A1" s="209" t="s">
        <v>12</v>
      </c>
      <c r="B1" s="209"/>
      <c r="C1" s="210" t="s">
        <v>75</v>
      </c>
      <c r="D1" s="211"/>
      <c r="E1" s="210" t="s">
        <v>14</v>
      </c>
      <c r="F1" s="212"/>
      <c r="G1" s="213"/>
      <c r="H1" s="214" t="s">
        <v>76</v>
      </c>
      <c r="I1" s="214" t="s">
        <v>77</v>
      </c>
      <c r="J1" s="214" t="s">
        <v>78</v>
      </c>
      <c r="K1" s="214" t="s">
        <v>79</v>
      </c>
      <c r="L1" s="214" t="s">
        <v>80</v>
      </c>
      <c r="M1" s="214" t="s">
        <v>81</v>
      </c>
      <c r="N1" s="214" t="s">
        <v>21</v>
      </c>
      <c r="O1" s="216" t="s">
        <v>22</v>
      </c>
    </row>
    <row r="2" spans="1:15" ht="120">
      <c r="A2" s="209"/>
      <c r="B2" s="209"/>
      <c r="C2" s="63" t="s">
        <v>23</v>
      </c>
      <c r="D2" s="63" t="s">
        <v>82</v>
      </c>
      <c r="E2" s="63" t="s">
        <v>83</v>
      </c>
      <c r="F2" s="63" t="s">
        <v>84</v>
      </c>
      <c r="G2" s="63" t="s">
        <v>85</v>
      </c>
      <c r="H2" s="215"/>
      <c r="I2" s="215"/>
      <c r="J2" s="215"/>
      <c r="K2" s="215"/>
      <c r="L2" s="215"/>
      <c r="M2" s="215"/>
      <c r="N2" s="215"/>
      <c r="O2" s="216"/>
    </row>
    <row r="3" spans="1:15" s="68" customFormat="1" ht="60">
      <c r="A3" s="64" t="s">
        <v>86</v>
      </c>
      <c r="B3" s="65" t="s">
        <v>87</v>
      </c>
      <c r="C3" s="66"/>
      <c r="D3" s="67"/>
      <c r="E3" s="66"/>
      <c r="F3" s="66"/>
      <c r="G3" s="67">
        <v>296</v>
      </c>
      <c r="H3" s="67">
        <v>245</v>
      </c>
      <c r="I3" s="67"/>
      <c r="J3" s="67">
        <v>27</v>
      </c>
      <c r="K3" s="67">
        <v>29</v>
      </c>
      <c r="L3" s="66"/>
      <c r="M3" s="66"/>
      <c r="N3" s="66"/>
      <c r="O3" s="166">
        <f>SUM(C3:N3)</f>
        <v>597</v>
      </c>
    </row>
    <row r="4" spans="1:15" s="68" customFormat="1" ht="60">
      <c r="A4" s="64" t="s">
        <v>88</v>
      </c>
      <c r="B4" s="65" t="s">
        <v>89</v>
      </c>
      <c r="C4" s="66"/>
      <c r="D4" s="67">
        <v>11</v>
      </c>
      <c r="E4" s="66">
        <v>0</v>
      </c>
      <c r="F4" s="66">
        <v>0</v>
      </c>
      <c r="G4" s="67">
        <v>448</v>
      </c>
      <c r="H4" s="67">
        <v>71</v>
      </c>
      <c r="I4" s="67">
        <v>100</v>
      </c>
      <c r="J4" s="67">
        <v>723</v>
      </c>
      <c r="K4" s="67">
        <v>196</v>
      </c>
      <c r="L4" s="66">
        <v>0</v>
      </c>
      <c r="M4" s="66">
        <v>0</v>
      </c>
      <c r="N4" s="66">
        <v>0</v>
      </c>
      <c r="O4" s="166">
        <f>SUM(C4:N4)</f>
        <v>1549</v>
      </c>
    </row>
    <row r="5" spans="1:15" s="68" customFormat="1" ht="45">
      <c r="A5" s="69" t="s">
        <v>90</v>
      </c>
      <c r="B5" s="70" t="s">
        <v>91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66">
        <f>SUM(C5:N5)</f>
        <v>0</v>
      </c>
    </row>
    <row r="6" spans="1:15" s="68" customFormat="1" ht="60">
      <c r="A6" s="72" t="s">
        <v>92</v>
      </c>
      <c r="B6" s="72" t="s">
        <v>93</v>
      </c>
      <c r="C6" s="73">
        <f t="shared" ref="C6:O6" si="0">SUM(C3:C5)</f>
        <v>0</v>
      </c>
      <c r="D6" s="73">
        <f t="shared" si="0"/>
        <v>11</v>
      </c>
      <c r="E6" s="73">
        <f t="shared" si="0"/>
        <v>0</v>
      </c>
      <c r="F6" s="73">
        <f t="shared" si="0"/>
        <v>0</v>
      </c>
      <c r="G6" s="73">
        <f t="shared" si="0"/>
        <v>744</v>
      </c>
      <c r="H6" s="73">
        <f t="shared" si="0"/>
        <v>316</v>
      </c>
      <c r="I6" s="73">
        <f t="shared" si="0"/>
        <v>100</v>
      </c>
      <c r="J6" s="73">
        <f t="shared" si="0"/>
        <v>750</v>
      </c>
      <c r="K6" s="73">
        <f t="shared" si="0"/>
        <v>225</v>
      </c>
      <c r="L6" s="73">
        <f t="shared" si="0"/>
        <v>0</v>
      </c>
      <c r="M6" s="73">
        <f t="shared" si="0"/>
        <v>0</v>
      </c>
      <c r="N6" s="73">
        <f t="shared" si="0"/>
        <v>0</v>
      </c>
      <c r="O6" s="167">
        <f t="shared" si="0"/>
        <v>2146</v>
      </c>
    </row>
    <row r="7" spans="1:15">
      <c r="O7" s="168"/>
    </row>
    <row r="9" spans="1:15">
      <c r="H9" s="74"/>
      <c r="I9" s="74"/>
      <c r="J9" s="74"/>
      <c r="K9" s="74"/>
    </row>
  </sheetData>
  <mergeCells count="11">
    <mergeCell ref="J1:J2"/>
    <mergeCell ref="O1:O2"/>
    <mergeCell ref="K1:K2"/>
    <mergeCell ref="L1:L2"/>
    <mergeCell ref="M1:M2"/>
    <mergeCell ref="N1:N2"/>
    <mergeCell ref="A1:B2"/>
    <mergeCell ref="C1:D1"/>
    <mergeCell ref="E1:G1"/>
    <mergeCell ref="H1:H2"/>
    <mergeCell ref="I1:I2"/>
  </mergeCells>
  <phoneticPr fontId="16" type="noConversion"/>
  <pageMargins left="0.75" right="0.75" top="1" bottom="1" header="0.5" footer="0.5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41" workbookViewId="0">
      <selection activeCell="C69" sqref="C69"/>
    </sheetView>
  </sheetViews>
  <sheetFormatPr defaultRowHeight="14.25"/>
  <cols>
    <col min="1" max="1" width="12.5703125" style="84" customWidth="1"/>
    <col min="2" max="2" width="60.85546875" style="78" customWidth="1"/>
    <col min="3" max="3" width="10" style="86" customWidth="1"/>
    <col min="4" max="16384" width="9.140625" style="78"/>
  </cols>
  <sheetData>
    <row r="1" spans="1:3" ht="15">
      <c r="A1" s="75" t="s">
        <v>94</v>
      </c>
      <c r="B1" s="76"/>
      <c r="C1" s="77" t="s">
        <v>95</v>
      </c>
    </row>
    <row r="2" spans="1:3" ht="22.5">
      <c r="A2" s="79" t="s">
        <v>96</v>
      </c>
      <c r="B2" s="80" t="s">
        <v>97</v>
      </c>
      <c r="C2" s="81"/>
    </row>
    <row r="3" spans="1:3" ht="22.5">
      <c r="A3" s="79" t="s">
        <v>98</v>
      </c>
      <c r="B3" s="80" t="s">
        <v>99</v>
      </c>
      <c r="C3" s="81"/>
    </row>
    <row r="4" spans="1:3" ht="15">
      <c r="A4" s="79" t="s">
        <v>100</v>
      </c>
      <c r="B4" s="80" t="s">
        <v>101</v>
      </c>
      <c r="C4" s="81">
        <f>+'ALL2'!D3</f>
        <v>0</v>
      </c>
    </row>
    <row r="5" spans="1:3" ht="15">
      <c r="A5" s="79" t="s">
        <v>102</v>
      </c>
      <c r="B5" s="80" t="s">
        <v>103</v>
      </c>
      <c r="C5" s="81">
        <f>+'ALL2'!D13</f>
        <v>0</v>
      </c>
    </row>
    <row r="6" spans="1:3" ht="15">
      <c r="A6" s="79" t="s">
        <v>104</v>
      </c>
      <c r="B6" s="80" t="s">
        <v>105</v>
      </c>
      <c r="C6" s="81">
        <f>'ALL2'!D4</f>
        <v>1209.7560000000001</v>
      </c>
    </row>
    <row r="7" spans="1:3" ht="15">
      <c r="A7" s="79" t="s">
        <v>106</v>
      </c>
      <c r="B7" s="80" t="s">
        <v>107</v>
      </c>
      <c r="C7" s="81">
        <f>'ALL2'!D14</f>
        <v>983.94216000000006</v>
      </c>
    </row>
    <row r="8" spans="1:3" ht="15">
      <c r="A8" s="79" t="s">
        <v>108</v>
      </c>
      <c r="B8" s="80" t="s">
        <v>109</v>
      </c>
      <c r="C8" s="81">
        <f>'ALL2'!D5</f>
        <v>4003.0265399999998</v>
      </c>
    </row>
    <row r="9" spans="1:3" ht="15">
      <c r="A9" s="79" t="s">
        <v>110</v>
      </c>
      <c r="B9" s="80" t="s">
        <v>111</v>
      </c>
      <c r="C9" s="81">
        <f>'ALL2'!D15</f>
        <v>7183.8331900000003</v>
      </c>
    </row>
    <row r="10" spans="1:3" ht="15">
      <c r="A10" s="79" t="s">
        <v>112</v>
      </c>
      <c r="B10" s="82" t="s">
        <v>113</v>
      </c>
      <c r="C10" s="81"/>
    </row>
    <row r="11" spans="1:3" ht="15">
      <c r="A11" s="79" t="s">
        <v>114</v>
      </c>
      <c r="B11" s="82" t="s">
        <v>115</v>
      </c>
      <c r="C11" s="81"/>
    </row>
    <row r="12" spans="1:3" ht="15">
      <c r="A12" s="79" t="s">
        <v>116</v>
      </c>
      <c r="B12" s="80" t="s">
        <v>117</v>
      </c>
      <c r="C12" s="81"/>
    </row>
    <row r="13" spans="1:3" ht="16.5" customHeight="1">
      <c r="A13" s="79" t="s">
        <v>118</v>
      </c>
      <c r="B13" s="80" t="s">
        <v>119</v>
      </c>
      <c r="C13" s="81"/>
    </row>
    <row r="14" spans="1:3" ht="15">
      <c r="A14" s="79" t="s">
        <v>120</v>
      </c>
      <c r="B14" s="80" t="s">
        <v>121</v>
      </c>
      <c r="C14" s="81"/>
    </row>
    <row r="15" spans="1:3" ht="15">
      <c r="A15" s="79" t="s">
        <v>122</v>
      </c>
      <c r="B15" s="80" t="s">
        <v>123</v>
      </c>
      <c r="C15" s="81"/>
    </row>
    <row r="16" spans="1:3" ht="22.5">
      <c r="A16" s="79" t="s">
        <v>124</v>
      </c>
      <c r="B16" s="80" t="s">
        <v>125</v>
      </c>
      <c r="C16" s="81"/>
    </row>
    <row r="17" spans="1:3" ht="22.5">
      <c r="A17" s="79" t="s">
        <v>126</v>
      </c>
      <c r="B17" s="80" t="s">
        <v>127</v>
      </c>
      <c r="C17" s="81"/>
    </row>
    <row r="18" spans="1:3" ht="22.5">
      <c r="A18" s="79" t="s">
        <v>128</v>
      </c>
      <c r="B18" s="80" t="s">
        <v>129</v>
      </c>
      <c r="C18" s="81"/>
    </row>
    <row r="19" spans="1:3" ht="22.5">
      <c r="A19" s="79" t="s">
        <v>130</v>
      </c>
      <c r="B19" s="80" t="s">
        <v>131</v>
      </c>
      <c r="C19" s="81"/>
    </row>
    <row r="20" spans="1:3" ht="15">
      <c r="A20" s="79" t="s">
        <v>132</v>
      </c>
      <c r="B20" s="80" t="s">
        <v>133</v>
      </c>
      <c r="C20" s="81"/>
    </row>
    <row r="21" spans="1:3" ht="15">
      <c r="A21" s="79" t="s">
        <v>134</v>
      </c>
      <c r="B21" s="80" t="s">
        <v>135</v>
      </c>
      <c r="C21" s="81"/>
    </row>
    <row r="22" spans="1:3" ht="15">
      <c r="A22" s="79" t="s">
        <v>136</v>
      </c>
      <c r="B22" s="80" t="s">
        <v>137</v>
      </c>
      <c r="C22" s="81">
        <f>'ALL2'!D6</f>
        <v>21366.308000000001</v>
      </c>
    </row>
    <row r="23" spans="1:3" s="83" customFormat="1" ht="15">
      <c r="A23" s="79" t="s">
        <v>138</v>
      </c>
      <c r="B23" s="80" t="s">
        <v>139</v>
      </c>
      <c r="C23" s="81">
        <f>'ALL2'!D16</f>
        <v>22182.342000000001</v>
      </c>
    </row>
    <row r="24" spans="1:3">
      <c r="C24" s="85"/>
    </row>
    <row r="25" spans="1:3" ht="15">
      <c r="A25" s="75" t="s">
        <v>140</v>
      </c>
      <c r="B25" s="76"/>
      <c r="C25" s="77" t="s">
        <v>95</v>
      </c>
    </row>
    <row r="26" spans="1:3" ht="22.5">
      <c r="A26" s="79" t="s">
        <v>141</v>
      </c>
      <c r="B26" s="80" t="s">
        <v>142</v>
      </c>
      <c r="C26" s="81"/>
    </row>
    <row r="27" spans="1:3" ht="22.5">
      <c r="A27" s="79" t="s">
        <v>143</v>
      </c>
      <c r="B27" s="80" t="s">
        <v>144</v>
      </c>
      <c r="C27" s="81"/>
    </row>
    <row r="28" spans="1:3" ht="15">
      <c r="A28" s="79" t="s">
        <v>145</v>
      </c>
      <c r="B28" s="80" t="s">
        <v>101</v>
      </c>
      <c r="C28" s="81">
        <f>'ALL3'!D3</f>
        <v>119.88</v>
      </c>
    </row>
    <row r="29" spans="1:3" ht="15">
      <c r="A29" s="79" t="s">
        <v>146</v>
      </c>
      <c r="B29" s="80" t="s">
        <v>103</v>
      </c>
      <c r="C29" s="81">
        <f>'ALL3'!D13</f>
        <v>93.790999999999997</v>
      </c>
    </row>
    <row r="30" spans="1:3" ht="15">
      <c r="A30" s="79" t="s">
        <v>147</v>
      </c>
      <c r="B30" s="80" t="s">
        <v>105</v>
      </c>
      <c r="C30" s="81">
        <f>'ALL3'!D4</f>
        <v>1047.4616000000001</v>
      </c>
    </row>
    <row r="31" spans="1:3" ht="15">
      <c r="A31" s="79" t="s">
        <v>148</v>
      </c>
      <c r="B31" s="80" t="s">
        <v>107</v>
      </c>
      <c r="C31" s="81">
        <f>'ALL3'!D14</f>
        <v>1096.7380000000001</v>
      </c>
    </row>
    <row r="32" spans="1:3" ht="15">
      <c r="A32" s="79" t="s">
        <v>149</v>
      </c>
      <c r="B32" s="80" t="s">
        <v>109</v>
      </c>
      <c r="C32" s="81">
        <f>'ALL3'!D5</f>
        <v>588.71978999999999</v>
      </c>
    </row>
    <row r="33" spans="1:3" ht="15">
      <c r="A33" s="79" t="s">
        <v>150</v>
      </c>
      <c r="B33" s="80" t="s">
        <v>111</v>
      </c>
      <c r="C33" s="81">
        <f>'ALL3'!D15</f>
        <v>1412.8903700000001</v>
      </c>
    </row>
    <row r="34" spans="1:3" ht="15">
      <c r="A34" s="79" t="s">
        <v>151</v>
      </c>
      <c r="B34" s="82" t="s">
        <v>113</v>
      </c>
      <c r="C34" s="81"/>
    </row>
    <row r="35" spans="1:3" ht="15">
      <c r="A35" s="79" t="s">
        <v>152</v>
      </c>
      <c r="B35" s="82" t="s">
        <v>115</v>
      </c>
      <c r="C35" s="81">
        <f>'ALL3'!D17</f>
        <v>206.66499999999999</v>
      </c>
    </row>
    <row r="36" spans="1:3" ht="15">
      <c r="A36" s="79" t="s">
        <v>153</v>
      </c>
      <c r="B36" s="80" t="s">
        <v>117</v>
      </c>
      <c r="C36" s="81"/>
    </row>
    <row r="37" spans="1:3" ht="15">
      <c r="A37" s="79" t="s">
        <v>154</v>
      </c>
      <c r="B37" s="80" t="s">
        <v>119</v>
      </c>
      <c r="C37" s="81">
        <f>'ALL3'!D18</f>
        <v>0.16400000000000001</v>
      </c>
    </row>
    <row r="38" spans="1:3" ht="15">
      <c r="A38" s="79" t="s">
        <v>155</v>
      </c>
      <c r="B38" s="80" t="s">
        <v>121</v>
      </c>
      <c r="C38" s="81"/>
    </row>
    <row r="39" spans="1:3" ht="15">
      <c r="A39" s="79" t="s">
        <v>156</v>
      </c>
      <c r="B39" s="80" t="s">
        <v>123</v>
      </c>
      <c r="C39" s="81"/>
    </row>
    <row r="40" spans="1:3" ht="22.5">
      <c r="A40" s="79" t="s">
        <v>157</v>
      </c>
      <c r="B40" s="80" t="s">
        <v>158</v>
      </c>
      <c r="C40" s="81"/>
    </row>
    <row r="41" spans="1:3" ht="22.5">
      <c r="A41" s="79" t="s">
        <v>159</v>
      </c>
      <c r="B41" s="80" t="s">
        <v>160</v>
      </c>
      <c r="C41" s="81"/>
    </row>
    <row r="42" spans="1:3" ht="22.5">
      <c r="A42" s="79" t="s">
        <v>161</v>
      </c>
      <c r="B42" s="80" t="s">
        <v>162</v>
      </c>
      <c r="C42" s="81"/>
    </row>
    <row r="43" spans="1:3" ht="22.5">
      <c r="A43" s="79" t="s">
        <v>163</v>
      </c>
      <c r="B43" s="80" t="s">
        <v>164</v>
      </c>
      <c r="C43" s="81"/>
    </row>
    <row r="44" spans="1:3" ht="15">
      <c r="A44" s="79" t="s">
        <v>165</v>
      </c>
      <c r="B44" s="80" t="s">
        <v>166</v>
      </c>
      <c r="C44" s="81"/>
    </row>
    <row r="45" spans="1:3" ht="15">
      <c r="A45" s="79" t="s">
        <v>167</v>
      </c>
      <c r="B45" s="80" t="s">
        <v>168</v>
      </c>
      <c r="C45" s="81"/>
    </row>
    <row r="46" spans="1:3" ht="15">
      <c r="A46" s="79" t="s">
        <v>169</v>
      </c>
      <c r="B46" s="80" t="s">
        <v>137</v>
      </c>
      <c r="C46" s="81">
        <f>'ALL3'!D6</f>
        <v>5483.4719999999998</v>
      </c>
    </row>
    <row r="47" spans="1:3" ht="15">
      <c r="A47" s="79" t="s">
        <v>170</v>
      </c>
      <c r="B47" s="80" t="s">
        <v>139</v>
      </c>
      <c r="C47" s="81">
        <f>'ALL3'!D16</f>
        <v>11367.004000000001</v>
      </c>
    </row>
    <row r="49" spans="1:3" ht="15">
      <c r="A49" s="75" t="s">
        <v>171</v>
      </c>
      <c r="B49" s="76"/>
      <c r="C49" s="77" t="s">
        <v>95</v>
      </c>
    </row>
    <row r="50" spans="1:3" ht="22.5">
      <c r="A50" s="79" t="s">
        <v>172</v>
      </c>
      <c r="B50" s="80" t="s">
        <v>173</v>
      </c>
      <c r="C50" s="81"/>
    </row>
    <row r="51" spans="1:3" ht="22.5">
      <c r="A51" s="79" t="s">
        <v>174</v>
      </c>
      <c r="B51" s="80" t="s">
        <v>175</v>
      </c>
      <c r="C51" s="81"/>
    </row>
    <row r="52" spans="1:3" ht="22.5">
      <c r="A52" s="79" t="s">
        <v>176</v>
      </c>
      <c r="B52" s="80" t="s">
        <v>177</v>
      </c>
      <c r="C52" s="81">
        <v>0</v>
      </c>
    </row>
    <row r="54" spans="1:3" ht="15">
      <c r="A54" s="75" t="s">
        <v>178</v>
      </c>
      <c r="B54" s="76"/>
      <c r="C54" s="77" t="s">
        <v>95</v>
      </c>
    </row>
    <row r="55" spans="1:3" ht="14.25" customHeight="1">
      <c r="A55" s="79" t="s">
        <v>179</v>
      </c>
      <c r="B55" s="80" t="s">
        <v>180</v>
      </c>
      <c r="C55" s="81"/>
    </row>
    <row r="56" spans="1:3" ht="14.25" customHeight="1">
      <c r="A56" s="79" t="s">
        <v>181</v>
      </c>
      <c r="B56" s="80" t="s">
        <v>182</v>
      </c>
      <c r="C56" s="81"/>
    </row>
    <row r="57" spans="1:3" ht="14.25" customHeight="1">
      <c r="A57" s="79" t="s">
        <v>183</v>
      </c>
      <c r="B57" s="80" t="s">
        <v>184</v>
      </c>
      <c r="C57" s="81"/>
    </row>
    <row r="58" spans="1:3" ht="14.25" customHeight="1">
      <c r="A58" s="79" t="s">
        <v>185</v>
      </c>
      <c r="B58" s="80" t="s">
        <v>186</v>
      </c>
      <c r="C58" s="81"/>
    </row>
    <row r="59" spans="1:3" ht="15">
      <c r="A59" s="79" t="s">
        <v>187</v>
      </c>
      <c r="B59" s="80" t="s">
        <v>188</v>
      </c>
      <c r="C59" s="81"/>
    </row>
    <row r="60" spans="1:3" ht="15">
      <c r="A60" s="79" t="s">
        <v>189</v>
      </c>
      <c r="B60" s="80" t="s">
        <v>190</v>
      </c>
      <c r="C60" s="81"/>
    </row>
    <row r="61" spans="1:3" ht="22.5">
      <c r="A61" s="79" t="s">
        <v>191</v>
      </c>
      <c r="B61" s="80" t="s">
        <v>192</v>
      </c>
      <c r="C61" s="81"/>
    </row>
    <row r="62" spans="1:3" ht="14.25" customHeight="1">
      <c r="A62" s="79" t="s">
        <v>193</v>
      </c>
      <c r="B62" s="80" t="s">
        <v>194</v>
      </c>
      <c r="C62" s="81"/>
    </row>
    <row r="63" spans="1:3" ht="14.25" customHeight="1">
      <c r="A63" s="79" t="s">
        <v>195</v>
      </c>
      <c r="B63" s="80" t="s">
        <v>196</v>
      </c>
      <c r="C63" s="81"/>
    </row>
    <row r="64" spans="1:3" ht="14.25" customHeight="1">
      <c r="A64" s="79" t="s">
        <v>197</v>
      </c>
      <c r="B64" s="80" t="s">
        <v>198</v>
      </c>
      <c r="C64" s="81"/>
    </row>
    <row r="65" spans="1:3" ht="14.25" customHeight="1">
      <c r="A65" s="79" t="s">
        <v>199</v>
      </c>
      <c r="B65" s="80" t="s">
        <v>200</v>
      </c>
      <c r="C65" s="81"/>
    </row>
    <row r="66" spans="1:3" ht="14.25" customHeight="1">
      <c r="A66" s="79" t="s">
        <v>201</v>
      </c>
      <c r="B66" s="80" t="s">
        <v>202</v>
      </c>
      <c r="C66" s="200">
        <f>26+115</f>
        <v>141</v>
      </c>
    </row>
    <row r="67" spans="1:3" ht="14.25" customHeight="1">
      <c r="A67" s="79" t="s">
        <v>203</v>
      </c>
      <c r="B67" s="80" t="s">
        <v>204</v>
      </c>
      <c r="C67" s="200">
        <v>103</v>
      </c>
    </row>
    <row r="68" spans="1:3" ht="14.25" customHeight="1">
      <c r="A68" s="79" t="s">
        <v>205</v>
      </c>
      <c r="B68" s="80" t="s">
        <v>206</v>
      </c>
      <c r="C68" s="81"/>
    </row>
    <row r="69" spans="1:3" ht="14.25" customHeight="1">
      <c r="A69" s="79" t="s">
        <v>207</v>
      </c>
      <c r="B69" s="80" t="s">
        <v>208</v>
      </c>
      <c r="C69" s="200">
        <v>54</v>
      </c>
    </row>
    <row r="70" spans="1:3" ht="14.25" customHeight="1">
      <c r="A70" s="79" t="s">
        <v>209</v>
      </c>
      <c r="B70" s="80" t="s">
        <v>210</v>
      </c>
      <c r="C70" s="81"/>
    </row>
    <row r="71" spans="1:3" ht="22.5">
      <c r="A71" s="79" t="s">
        <v>211</v>
      </c>
      <c r="B71" s="80" t="s">
        <v>212</v>
      </c>
      <c r="C71" s="81">
        <f>SUM(C55:C70)</f>
        <v>298</v>
      </c>
    </row>
    <row r="73" spans="1:3" ht="15">
      <c r="A73" s="75" t="s">
        <v>213</v>
      </c>
      <c r="B73" s="76"/>
      <c r="C73" s="77" t="s">
        <v>95</v>
      </c>
    </row>
    <row r="74" spans="1:3" ht="14.25" customHeight="1">
      <c r="A74" s="79" t="s">
        <v>214</v>
      </c>
      <c r="B74" s="80" t="s">
        <v>215</v>
      </c>
      <c r="C74" s="81"/>
    </row>
    <row r="75" spans="1:3" ht="14.25" customHeight="1">
      <c r="A75" s="79" t="s">
        <v>216</v>
      </c>
      <c r="B75" s="80" t="s">
        <v>217</v>
      </c>
      <c r="C75" s="81"/>
    </row>
    <row r="76" spans="1:3" ht="14.25" customHeight="1">
      <c r="A76" s="79" t="s">
        <v>218</v>
      </c>
      <c r="B76" s="80" t="s">
        <v>219</v>
      </c>
      <c r="C76" s="8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8" workbookViewId="0">
      <selection activeCell="C19" sqref="C19"/>
    </sheetView>
  </sheetViews>
  <sheetFormatPr defaultRowHeight="12.75"/>
  <cols>
    <col min="1" max="1" width="30" style="87" customWidth="1"/>
    <col min="2" max="2" width="1.7109375" style="88" customWidth="1"/>
    <col min="3" max="3" width="19.28515625" style="89" customWidth="1"/>
    <col min="4" max="4" width="15" style="87" customWidth="1"/>
    <col min="5" max="5" width="1" style="90" customWidth="1"/>
    <col min="6" max="6" width="16.85546875" style="89" customWidth="1"/>
    <col min="7" max="7" width="18.42578125" style="91" customWidth="1"/>
    <col min="8" max="8" width="3" style="88" customWidth="1"/>
    <col min="9" max="9" width="11.28515625" style="89" bestFit="1" customWidth="1"/>
    <col min="10" max="10" width="9.140625" style="89"/>
    <col min="11" max="11" width="11.28515625" style="89" bestFit="1" customWidth="1"/>
    <col min="12" max="14" width="9.140625" style="89"/>
    <col min="15" max="15" width="11.28515625" style="89" bestFit="1" customWidth="1"/>
    <col min="16" max="16384" width="9.140625" style="89"/>
  </cols>
  <sheetData>
    <row r="1" spans="1:12" ht="13.5" thickBot="1"/>
    <row r="2" spans="1:12" ht="29.25" customHeight="1" thickBot="1">
      <c r="A2" s="92" t="s">
        <v>220</v>
      </c>
      <c r="C2" s="93" t="s">
        <v>221</v>
      </c>
      <c r="D2" s="94" t="s">
        <v>222</v>
      </c>
      <c r="E2" s="95"/>
      <c r="F2" s="96" t="s">
        <v>223</v>
      </c>
      <c r="G2" s="97" t="s">
        <v>224</v>
      </c>
    </row>
    <row r="3" spans="1:12" ht="29.25" customHeight="1">
      <c r="A3" s="98" t="s">
        <v>225</v>
      </c>
      <c r="C3" s="99" t="s">
        <v>100</v>
      </c>
      <c r="D3" s="100"/>
      <c r="F3" s="101" t="s">
        <v>226</v>
      </c>
      <c r="G3" s="102">
        <v>0</v>
      </c>
    </row>
    <row r="4" spans="1:12" ht="29.25" customHeight="1">
      <c r="A4" s="103" t="s">
        <v>227</v>
      </c>
      <c r="C4" s="104" t="s">
        <v>104</v>
      </c>
      <c r="D4" s="105">
        <f t="shared" ref="D4:D9" si="0">+G4</f>
        <v>1209.7560000000001</v>
      </c>
      <c r="F4" s="106" t="s">
        <v>228</v>
      </c>
      <c r="G4" s="107">
        <f>1209756/1000</f>
        <v>1209.7560000000001</v>
      </c>
    </row>
    <row r="5" spans="1:12" ht="29.25" customHeight="1">
      <c r="A5" s="103" t="s">
        <v>229</v>
      </c>
      <c r="C5" s="104" t="s">
        <v>108</v>
      </c>
      <c r="D5" s="105">
        <f t="shared" si="0"/>
        <v>4003.0265399999998</v>
      </c>
      <c r="F5" s="106" t="s">
        <v>230</v>
      </c>
      <c r="G5" s="107">
        <f>4003026.54/1000</f>
        <v>4003.0265399999998</v>
      </c>
    </row>
    <row r="6" spans="1:12" ht="29.25" customHeight="1">
      <c r="A6" s="103" t="s">
        <v>231</v>
      </c>
      <c r="C6" s="104" t="s">
        <v>136</v>
      </c>
      <c r="D6" s="105">
        <f t="shared" si="0"/>
        <v>21366.308000000001</v>
      </c>
      <c r="F6" s="106" t="s">
        <v>232</v>
      </c>
      <c r="G6" s="107">
        <f>21366308/1000</f>
        <v>21366.308000000001</v>
      </c>
    </row>
    <row r="7" spans="1:12" ht="29.25" customHeight="1">
      <c r="A7" s="103" t="s">
        <v>233</v>
      </c>
      <c r="C7" s="104" t="s">
        <v>112</v>
      </c>
      <c r="D7" s="105">
        <f t="shared" si="0"/>
        <v>0</v>
      </c>
      <c r="F7" s="106" t="s">
        <v>234</v>
      </c>
      <c r="G7" s="107"/>
    </row>
    <row r="8" spans="1:12" ht="29.25" customHeight="1">
      <c r="A8" s="103" t="s">
        <v>235</v>
      </c>
      <c r="C8" s="104" t="s">
        <v>116</v>
      </c>
      <c r="D8" s="105">
        <f t="shared" si="0"/>
        <v>0</v>
      </c>
      <c r="F8" s="106" t="s">
        <v>236</v>
      </c>
      <c r="G8" s="107"/>
      <c r="I8" s="89" t="s">
        <v>269</v>
      </c>
      <c r="J8" s="89" t="s">
        <v>270</v>
      </c>
      <c r="K8" s="89" t="s">
        <v>271</v>
      </c>
      <c r="L8" s="89" t="s">
        <v>272</v>
      </c>
    </row>
    <row r="9" spans="1:12" ht="38.25" customHeight="1" thickBot="1">
      <c r="A9" s="108" t="s">
        <v>237</v>
      </c>
      <c r="C9" s="109" t="s">
        <v>238</v>
      </c>
      <c r="D9" s="110">
        <f t="shared" si="0"/>
        <v>436.42611999999997</v>
      </c>
      <c r="F9" s="111" t="s">
        <v>239</v>
      </c>
      <c r="G9" s="107">
        <f>(I9+J9+K9+L9)/1000</f>
        <v>436.42611999999997</v>
      </c>
      <c r="I9" s="194">
        <v>171953.2</v>
      </c>
      <c r="J9" s="195">
        <v>0</v>
      </c>
      <c r="K9" s="195">
        <v>264472.92</v>
      </c>
      <c r="L9" s="195">
        <v>0</v>
      </c>
    </row>
    <row r="10" spans="1:12" ht="29.25" customHeight="1" thickBot="1">
      <c r="C10" s="112" t="s">
        <v>74</v>
      </c>
      <c r="D10" s="113">
        <f>SUM(D3:D9)</f>
        <v>27015.516660000001</v>
      </c>
      <c r="F10" s="114"/>
      <c r="G10" s="113">
        <f>SUM(G3:G9)</f>
        <v>27015.516660000001</v>
      </c>
    </row>
    <row r="11" spans="1:12" ht="13.5" thickBot="1">
      <c r="C11" s="115"/>
      <c r="F11" s="116"/>
      <c r="G11" s="115"/>
    </row>
    <row r="12" spans="1:12" ht="31.5" customHeight="1" thickBot="1">
      <c r="A12" s="92" t="s">
        <v>240</v>
      </c>
      <c r="C12" s="117" t="s">
        <v>221</v>
      </c>
      <c r="D12" s="117" t="s">
        <v>222</v>
      </c>
      <c r="E12" s="118"/>
      <c r="F12" s="96" t="s">
        <v>223</v>
      </c>
      <c r="G12" s="97" t="s">
        <v>224</v>
      </c>
    </row>
    <row r="13" spans="1:12" ht="31.5" customHeight="1">
      <c r="A13" s="119" t="s">
        <v>225</v>
      </c>
      <c r="C13" s="120" t="s">
        <v>102</v>
      </c>
      <c r="D13" s="121">
        <f t="shared" ref="D13:D19" si="1">G13</f>
        <v>0</v>
      </c>
      <c r="F13" s="101" t="s">
        <v>241</v>
      </c>
      <c r="G13" s="122">
        <v>0</v>
      </c>
    </row>
    <row r="14" spans="1:12" ht="31.5" customHeight="1">
      <c r="A14" s="103" t="s">
        <v>227</v>
      </c>
      <c r="C14" s="123" t="s">
        <v>106</v>
      </c>
      <c r="D14" s="124">
        <f t="shared" si="1"/>
        <v>983.94216000000006</v>
      </c>
      <c r="F14" s="106" t="s">
        <v>242</v>
      </c>
      <c r="G14" s="125">
        <f>983942.16/1000</f>
        <v>983.94216000000006</v>
      </c>
    </row>
    <row r="15" spans="1:12" ht="31.5" customHeight="1">
      <c r="A15" s="103" t="s">
        <v>229</v>
      </c>
      <c r="C15" s="123" t="s">
        <v>110</v>
      </c>
      <c r="D15" s="124">
        <f t="shared" si="1"/>
        <v>7183.8331900000003</v>
      </c>
      <c r="F15" s="106" t="s">
        <v>243</v>
      </c>
      <c r="G15" s="125">
        <f>7183833.19/1000</f>
        <v>7183.8331900000003</v>
      </c>
    </row>
    <row r="16" spans="1:12" ht="31.5" customHeight="1">
      <c r="A16" s="103" t="s">
        <v>231</v>
      </c>
      <c r="C16" s="123" t="s">
        <v>138</v>
      </c>
      <c r="D16" s="124">
        <f t="shared" si="1"/>
        <v>22182.342000000001</v>
      </c>
      <c r="F16" s="106" t="s">
        <v>244</v>
      </c>
      <c r="G16" s="125">
        <f>22182342/1000</f>
        <v>22182.342000000001</v>
      </c>
    </row>
    <row r="17" spans="1:16" ht="31.5" customHeight="1">
      <c r="A17" s="103" t="s">
        <v>233</v>
      </c>
      <c r="C17" s="123" t="s">
        <v>114</v>
      </c>
      <c r="D17" s="124">
        <f t="shared" si="1"/>
        <v>0</v>
      </c>
      <c r="F17" s="106" t="s">
        <v>245</v>
      </c>
      <c r="G17" s="125"/>
    </row>
    <row r="18" spans="1:16" ht="31.5" customHeight="1">
      <c r="A18" s="103" t="s">
        <v>235</v>
      </c>
      <c r="C18" s="123" t="s">
        <v>118</v>
      </c>
      <c r="D18" s="124">
        <f t="shared" si="1"/>
        <v>0.22822999999999999</v>
      </c>
      <c r="F18" s="106" t="s">
        <v>246</v>
      </c>
      <c r="G18" s="125">
        <f>228.23/1000</f>
        <v>0.22822999999999999</v>
      </c>
      <c r="I18" s="89" t="s">
        <v>273</v>
      </c>
      <c r="J18" s="89" t="s">
        <v>274</v>
      </c>
      <c r="K18" s="89" t="s">
        <v>275</v>
      </c>
      <c r="L18" s="89" t="s">
        <v>276</v>
      </c>
      <c r="M18" s="89" t="s">
        <v>277</v>
      </c>
      <c r="N18" s="89" t="s">
        <v>278</v>
      </c>
      <c r="O18" s="89" t="s">
        <v>279</v>
      </c>
      <c r="P18" s="89" t="s">
        <v>280</v>
      </c>
    </row>
    <row r="19" spans="1:16" ht="51.75" thickBot="1">
      <c r="A19" s="108" t="s">
        <v>237</v>
      </c>
      <c r="C19" s="126" t="s">
        <v>247</v>
      </c>
      <c r="D19" s="127">
        <f t="shared" si="1"/>
        <v>164.78402</v>
      </c>
      <c r="F19" s="128" t="s">
        <v>248</v>
      </c>
      <c r="G19" s="129">
        <f>(I19+J19+K19+L19+M19+N19+O19+P19)/1000</f>
        <v>164.78402</v>
      </c>
      <c r="I19" s="195">
        <v>16373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148411.01999999999</v>
      </c>
      <c r="P19" s="195">
        <v>0</v>
      </c>
    </row>
    <row r="20" spans="1:16" ht="31.5" customHeight="1" thickBot="1">
      <c r="C20" s="130" t="s">
        <v>74</v>
      </c>
      <c r="D20" s="131">
        <f>SUM(D13:D19)</f>
        <v>30515.1296</v>
      </c>
      <c r="F20" s="114"/>
      <c r="G20" s="131">
        <f>SUM(G13:G19)</f>
        <v>30515.1296</v>
      </c>
    </row>
    <row r="21" spans="1:16">
      <c r="C21" s="115"/>
      <c r="F21" s="115"/>
      <c r="G21" s="115"/>
    </row>
    <row r="22" spans="1:16">
      <c r="C22" s="115"/>
      <c r="F22" s="115"/>
      <c r="G22" s="115"/>
    </row>
    <row r="23" spans="1:16">
      <c r="C23" s="115"/>
      <c r="F23" s="115"/>
      <c r="G23" s="115"/>
    </row>
    <row r="24" spans="1:16">
      <c r="C24" s="115"/>
      <c r="F24" s="115"/>
      <c r="G24" s="115"/>
    </row>
    <row r="25" spans="1:16">
      <c r="C25" s="115"/>
      <c r="F25" s="115"/>
      <c r="G25" s="115"/>
    </row>
    <row r="26" spans="1:16">
      <c r="C26" s="115"/>
      <c r="F26" s="115"/>
      <c r="G26" s="115"/>
    </row>
    <row r="27" spans="1:16">
      <c r="C27" s="115"/>
      <c r="F27" s="115"/>
      <c r="G27" s="115"/>
    </row>
    <row r="28" spans="1:16">
      <c r="C28" s="115"/>
      <c r="F28" s="115"/>
      <c r="G28" s="115"/>
    </row>
    <row r="29" spans="1:16">
      <c r="C29" s="115"/>
      <c r="F29" s="115"/>
      <c r="G29" s="115"/>
    </row>
    <row r="30" spans="1:16">
      <c r="C30" s="115"/>
      <c r="F30" s="115"/>
      <c r="G30" s="115"/>
    </row>
    <row r="31" spans="1:16">
      <c r="C31" s="115"/>
      <c r="F31" s="115"/>
      <c r="G31" s="115"/>
    </row>
    <row r="32" spans="1:16">
      <c r="C32" s="115"/>
      <c r="F32" s="115"/>
      <c r="G32" s="115"/>
    </row>
    <row r="33" spans="1:7">
      <c r="A33" s="89"/>
      <c r="C33" s="115"/>
      <c r="D33" s="89"/>
      <c r="E33" s="132"/>
      <c r="F33" s="115"/>
      <c r="G33" s="115"/>
    </row>
  </sheetData>
  <phoneticPr fontId="16" type="noConversion"/>
  <pageMargins left="0.17" right="0.16" top="0.37" bottom="0.51" header="0.17" footer="0.21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H4" sqref="H4"/>
    </sheetView>
  </sheetViews>
  <sheetFormatPr defaultRowHeight="12.75"/>
  <cols>
    <col min="1" max="1" width="37.140625" style="133" customWidth="1"/>
    <col min="2" max="2" width="1.140625" style="134" customWidth="1"/>
    <col min="3" max="3" width="19" style="135" customWidth="1"/>
    <col min="4" max="4" width="15" style="87" customWidth="1"/>
    <col min="5" max="5" width="1" style="136" customWidth="1"/>
    <col min="6" max="6" width="24.28515625" style="137" customWidth="1"/>
    <col min="7" max="7" width="15.7109375" style="135" customWidth="1"/>
    <col min="8" max="9" width="13" style="135" bestFit="1" customWidth="1"/>
    <col min="10" max="10" width="11.42578125" style="135" bestFit="1" customWidth="1"/>
    <col min="11" max="11" width="9.28515625" style="135" bestFit="1" customWidth="1"/>
    <col min="12" max="12" width="10.42578125" style="135" bestFit="1" customWidth="1"/>
    <col min="13" max="13" width="10.28515625" style="135" bestFit="1" customWidth="1"/>
    <col min="14" max="16384" width="9.140625" style="135"/>
  </cols>
  <sheetData>
    <row r="1" spans="1:14" ht="13.5" thickBot="1"/>
    <row r="2" spans="1:14" ht="16.5" customHeight="1" thickBot="1">
      <c r="A2" s="138" t="s">
        <v>249</v>
      </c>
      <c r="B2" s="139"/>
      <c r="C2" s="140" t="s">
        <v>221</v>
      </c>
      <c r="D2" s="94" t="s">
        <v>222</v>
      </c>
      <c r="E2" s="141"/>
      <c r="F2" s="96" t="s">
        <v>223</v>
      </c>
      <c r="G2" s="97" t="s">
        <v>224</v>
      </c>
    </row>
    <row r="3" spans="1:14" ht="35.25" customHeight="1">
      <c r="A3" s="142" t="s">
        <v>225</v>
      </c>
      <c r="C3" s="143" t="s">
        <v>145</v>
      </c>
      <c r="D3" s="100">
        <f t="shared" ref="D3:D9" si="0">G3</f>
        <v>119.88</v>
      </c>
      <c r="E3" s="139"/>
      <c r="F3" s="144" t="s">
        <v>250</v>
      </c>
      <c r="G3" s="196">
        <f>119880/1000</f>
        <v>119.88</v>
      </c>
    </row>
    <row r="4" spans="1:14" ht="35.25" customHeight="1">
      <c r="A4" s="145" t="s">
        <v>227</v>
      </c>
      <c r="C4" s="146" t="s">
        <v>147</v>
      </c>
      <c r="D4" s="147">
        <f t="shared" si="0"/>
        <v>1047.4616000000001</v>
      </c>
      <c r="E4" s="139"/>
      <c r="F4" s="148" t="s">
        <v>251</v>
      </c>
      <c r="G4" s="149">
        <f>(H4+I4+J4)/1000</f>
        <v>1047.4616000000001</v>
      </c>
      <c r="H4" s="197">
        <v>339963</v>
      </c>
      <c r="I4" s="197">
        <v>0</v>
      </c>
      <c r="J4" s="197">
        <v>707498.6</v>
      </c>
    </row>
    <row r="5" spans="1:14" ht="35.25" customHeight="1">
      <c r="A5" s="145" t="s">
        <v>229</v>
      </c>
      <c r="C5" s="146" t="s">
        <v>149</v>
      </c>
      <c r="D5" s="147">
        <f t="shared" si="0"/>
        <v>588.71978999999999</v>
      </c>
      <c r="E5" s="139"/>
      <c r="F5" s="150" t="s">
        <v>252</v>
      </c>
      <c r="G5" s="149">
        <f>(H5+I5)/1000</f>
        <v>588.71978999999999</v>
      </c>
      <c r="H5" s="197">
        <v>475402.79</v>
      </c>
      <c r="I5" s="197">
        <v>113317</v>
      </c>
    </row>
    <row r="6" spans="1:14" ht="35.25" customHeight="1">
      <c r="A6" s="145" t="s">
        <v>231</v>
      </c>
      <c r="C6" s="146" t="s">
        <v>169</v>
      </c>
      <c r="D6" s="147">
        <f t="shared" si="0"/>
        <v>5483.4719999999998</v>
      </c>
      <c r="E6" s="139"/>
      <c r="F6" s="150" t="s">
        <v>253</v>
      </c>
      <c r="G6" s="149">
        <f>(H6+I6)/1000</f>
        <v>5483.4719999999998</v>
      </c>
      <c r="H6" s="197">
        <v>3980857</v>
      </c>
      <c r="I6" s="197">
        <v>1502615</v>
      </c>
    </row>
    <row r="7" spans="1:14" ht="35.25" customHeight="1">
      <c r="A7" s="145" t="s">
        <v>233</v>
      </c>
      <c r="C7" s="146" t="s">
        <v>151</v>
      </c>
      <c r="D7" s="147">
        <f t="shared" si="0"/>
        <v>0</v>
      </c>
      <c r="E7" s="139"/>
      <c r="F7" s="150" t="s">
        <v>254</v>
      </c>
      <c r="G7" s="151">
        <v>0</v>
      </c>
    </row>
    <row r="8" spans="1:14" ht="35.25" customHeight="1">
      <c r="A8" s="145" t="s">
        <v>235</v>
      </c>
      <c r="C8" s="146" t="s">
        <v>153</v>
      </c>
      <c r="D8" s="147">
        <f t="shared" si="0"/>
        <v>0</v>
      </c>
      <c r="E8" s="139"/>
      <c r="F8" s="150" t="s">
        <v>255</v>
      </c>
      <c r="G8" s="151">
        <v>0</v>
      </c>
    </row>
    <row r="9" spans="1:14" ht="26.25" thickBot="1">
      <c r="A9" s="152" t="s">
        <v>237</v>
      </c>
      <c r="C9" s="153" t="s">
        <v>256</v>
      </c>
      <c r="D9" s="154">
        <f t="shared" si="0"/>
        <v>352.20369999999997</v>
      </c>
      <c r="E9" s="139"/>
      <c r="F9" s="155" t="s">
        <v>257</v>
      </c>
      <c r="G9" s="154">
        <f>(H9+I9+J9+K9+L9+M9)/1000</f>
        <v>352.20369999999997</v>
      </c>
      <c r="H9" s="197">
        <v>8954.6</v>
      </c>
      <c r="I9" s="197">
        <v>278784</v>
      </c>
      <c r="J9" s="197">
        <v>0</v>
      </c>
      <c r="K9" s="197">
        <v>0</v>
      </c>
      <c r="L9" s="197">
        <v>64465.1</v>
      </c>
      <c r="M9" s="197">
        <v>0</v>
      </c>
      <c r="N9" s="197"/>
    </row>
    <row r="10" spans="1:14" ht="13.5" thickBot="1">
      <c r="C10" s="112" t="s">
        <v>74</v>
      </c>
      <c r="D10" s="156">
        <f>SUM(D3:D9)</f>
        <v>7591.7370900000005</v>
      </c>
      <c r="E10" s="139"/>
      <c r="F10" s="157"/>
      <c r="G10" s="156">
        <f>SUM(G3:G9)</f>
        <v>7591.7370900000005</v>
      </c>
    </row>
    <row r="11" spans="1:14" ht="13.5" thickBot="1">
      <c r="C11" s="158"/>
      <c r="E11" s="139"/>
      <c r="F11" s="159"/>
    </row>
    <row r="12" spans="1:14" ht="18.75" customHeight="1" thickBot="1">
      <c r="A12" s="138" t="s">
        <v>258</v>
      </c>
      <c r="B12" s="139"/>
      <c r="C12" s="160" t="s">
        <v>221</v>
      </c>
      <c r="D12" s="117" t="s">
        <v>222</v>
      </c>
      <c r="E12" s="141"/>
      <c r="F12" s="96" t="s">
        <v>223</v>
      </c>
      <c r="G12" s="97" t="s">
        <v>224</v>
      </c>
    </row>
    <row r="13" spans="1:14" ht="32.25" customHeight="1">
      <c r="A13" s="161" t="s">
        <v>225</v>
      </c>
      <c r="C13" s="162" t="s">
        <v>146</v>
      </c>
      <c r="D13" s="121">
        <f t="shared" ref="D13:D19" si="1">G13</f>
        <v>93.790999999999997</v>
      </c>
      <c r="E13" s="139"/>
      <c r="F13" s="144" t="s">
        <v>259</v>
      </c>
      <c r="G13" s="198">
        <f>93791/1000</f>
        <v>93.790999999999997</v>
      </c>
    </row>
    <row r="14" spans="1:14" ht="32.25" customHeight="1">
      <c r="A14" s="145" t="s">
        <v>227</v>
      </c>
      <c r="C14" s="163" t="s">
        <v>148</v>
      </c>
      <c r="D14" s="124">
        <f t="shared" si="1"/>
        <v>1096.7380000000001</v>
      </c>
      <c r="E14" s="139"/>
      <c r="F14" s="148" t="s">
        <v>260</v>
      </c>
      <c r="G14" s="151">
        <f>(H14+I14)/1000</f>
        <v>1096.7380000000001</v>
      </c>
      <c r="H14" s="197">
        <v>157176</v>
      </c>
      <c r="I14" s="197">
        <v>939562</v>
      </c>
    </row>
    <row r="15" spans="1:14" ht="32.25" customHeight="1">
      <c r="A15" s="145" t="s">
        <v>229</v>
      </c>
      <c r="C15" s="163" t="s">
        <v>150</v>
      </c>
      <c r="D15" s="124">
        <f t="shared" si="1"/>
        <v>1412.8903700000001</v>
      </c>
      <c r="E15" s="139"/>
      <c r="F15" s="150" t="s">
        <v>261</v>
      </c>
      <c r="G15" s="199">
        <f>1412890.37/1000</f>
        <v>1412.8903700000001</v>
      </c>
    </row>
    <row r="16" spans="1:14" ht="32.25" customHeight="1">
      <c r="A16" s="145" t="s">
        <v>231</v>
      </c>
      <c r="C16" s="163" t="s">
        <v>170</v>
      </c>
      <c r="D16" s="124">
        <f t="shared" si="1"/>
        <v>11367.004000000001</v>
      </c>
      <c r="E16" s="139"/>
      <c r="F16" s="150" t="s">
        <v>262</v>
      </c>
      <c r="G16" s="199">
        <f>11367004/1000</f>
        <v>11367.004000000001</v>
      </c>
    </row>
    <row r="17" spans="1:13" ht="32.25" customHeight="1">
      <c r="A17" s="145" t="s">
        <v>233</v>
      </c>
      <c r="C17" s="163" t="s">
        <v>152</v>
      </c>
      <c r="D17" s="124">
        <f t="shared" si="1"/>
        <v>206.66499999999999</v>
      </c>
      <c r="E17" s="139"/>
      <c r="F17" s="150" t="s">
        <v>263</v>
      </c>
      <c r="G17" s="199">
        <f>206665/1000</f>
        <v>206.66499999999999</v>
      </c>
    </row>
    <row r="18" spans="1:13" ht="32.25" customHeight="1">
      <c r="A18" s="145" t="s">
        <v>235</v>
      </c>
      <c r="C18" s="163" t="s">
        <v>154</v>
      </c>
      <c r="D18" s="124">
        <f t="shared" si="1"/>
        <v>0.16400000000000001</v>
      </c>
      <c r="E18" s="139"/>
      <c r="F18" s="150" t="s">
        <v>264</v>
      </c>
      <c r="G18" s="199">
        <f>164/1000</f>
        <v>0.16400000000000001</v>
      </c>
    </row>
    <row r="19" spans="1:13" ht="32.25" customHeight="1" thickBot="1">
      <c r="A19" s="152" t="s">
        <v>237</v>
      </c>
      <c r="C19" s="164" t="s">
        <v>265</v>
      </c>
      <c r="D19" s="127">
        <f t="shared" si="1"/>
        <v>40.419069999999998</v>
      </c>
      <c r="E19" s="139"/>
      <c r="F19" s="165" t="s">
        <v>266</v>
      </c>
      <c r="G19" s="199">
        <f>(H19+I19+J19+K19+L19+M19)/1000</f>
        <v>40.419069999999998</v>
      </c>
      <c r="H19" s="197">
        <v>2361.2800000000002</v>
      </c>
      <c r="I19" s="197">
        <v>0</v>
      </c>
      <c r="J19" s="197">
        <v>490</v>
      </c>
      <c r="K19" s="197">
        <v>0</v>
      </c>
      <c r="L19" s="197">
        <v>2791.59</v>
      </c>
      <c r="M19" s="197">
        <v>34776.199999999997</v>
      </c>
    </row>
    <row r="20" spans="1:13" ht="13.5" thickBot="1">
      <c r="C20" s="130" t="s">
        <v>74</v>
      </c>
      <c r="D20" s="156">
        <f>SUM(D13:D19)</f>
        <v>14217.671440000002</v>
      </c>
      <c r="E20" s="139"/>
      <c r="F20" s="157"/>
      <c r="G20" s="156">
        <f>SUM(G13:G19)</f>
        <v>14217.671440000002</v>
      </c>
    </row>
    <row r="21" spans="1:13">
      <c r="C21" s="158"/>
      <c r="E21" s="139"/>
      <c r="F21" s="158"/>
    </row>
    <row r="22" spans="1:13">
      <c r="C22" s="158"/>
      <c r="E22" s="139"/>
      <c r="F22" s="158"/>
    </row>
    <row r="23" spans="1:13">
      <c r="C23" s="158"/>
      <c r="E23" s="139"/>
      <c r="F23" s="158"/>
    </row>
    <row r="24" spans="1:13">
      <c r="C24" s="158"/>
      <c r="E24" s="139"/>
      <c r="F24" s="158"/>
    </row>
    <row r="25" spans="1:13">
      <c r="C25" s="158"/>
      <c r="E25" s="139"/>
      <c r="F25" s="158"/>
    </row>
    <row r="26" spans="1:13">
      <c r="C26" s="158"/>
      <c r="E26" s="139"/>
      <c r="F26" s="158"/>
    </row>
    <row r="27" spans="1:13">
      <c r="C27" s="158"/>
      <c r="E27" s="139"/>
      <c r="F27" s="158"/>
    </row>
    <row r="28" spans="1:13">
      <c r="C28" s="158"/>
      <c r="E28" s="139"/>
      <c r="F28" s="158"/>
    </row>
    <row r="29" spans="1:13">
      <c r="C29" s="158"/>
      <c r="E29" s="139"/>
      <c r="F29" s="158"/>
    </row>
    <row r="30" spans="1:13">
      <c r="C30" s="158"/>
      <c r="E30" s="139"/>
      <c r="F30" s="158"/>
    </row>
    <row r="31" spans="1:13">
      <c r="C31" s="158"/>
      <c r="E31" s="139"/>
      <c r="F31" s="158"/>
    </row>
    <row r="32" spans="1:13">
      <c r="C32" s="158"/>
      <c r="E32" s="139"/>
      <c r="F32" s="158"/>
    </row>
    <row r="33" spans="1:6">
      <c r="A33" s="135"/>
      <c r="B33" s="136"/>
      <c r="C33" s="158"/>
      <c r="D33" s="89"/>
      <c r="E33" s="139"/>
      <c r="F33" s="158"/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2"/>
  <sheetViews>
    <sheetView tabSelected="1" workbookViewId="0"/>
  </sheetViews>
  <sheetFormatPr defaultRowHeight="14.25"/>
  <cols>
    <col min="1" max="1" width="8.140625" style="1" customWidth="1"/>
    <col min="2" max="2" width="18.28515625" style="55" customWidth="1"/>
    <col min="3" max="3" width="13.5703125" style="56" customWidth="1"/>
    <col min="4" max="4" width="11.5703125" style="56" customWidth="1"/>
    <col min="5" max="5" width="13.140625" style="56" bestFit="1" customWidth="1"/>
    <col min="6" max="6" width="13.5703125" style="56" customWidth="1"/>
    <col min="7" max="7" width="13.42578125" style="56" customWidth="1"/>
    <col min="8" max="8" width="13.85546875" style="56" customWidth="1"/>
    <col min="9" max="9" width="11" style="56" customWidth="1"/>
    <col min="10" max="10" width="11.7109375" style="56" customWidth="1"/>
    <col min="11" max="11" width="12.7109375" style="56" customWidth="1"/>
    <col min="12" max="12" width="11.7109375" style="56" customWidth="1"/>
    <col min="13" max="13" width="10.5703125" style="56" customWidth="1"/>
    <col min="14" max="14" width="11.140625" style="56" customWidth="1"/>
    <col min="15" max="15" width="12.7109375" style="56" bestFit="1" customWidth="1"/>
    <col min="16" max="16" width="11.140625" style="57" bestFit="1" customWidth="1"/>
    <col min="17" max="17" width="9.28515625" style="58" bestFit="1" customWidth="1"/>
    <col min="18" max="16384" width="9.140625" style="59"/>
  </cols>
  <sheetData>
    <row r="1" spans="1:26" s="4" customFormat="1" ht="57">
      <c r="A1" s="7"/>
      <c r="B1" s="8" t="s">
        <v>12</v>
      </c>
      <c r="C1" s="205" t="s">
        <v>13</v>
      </c>
      <c r="D1" s="206"/>
      <c r="E1" s="207" t="s">
        <v>14</v>
      </c>
      <c r="F1" s="206"/>
      <c r="G1" s="208"/>
      <c r="H1" s="9" t="s">
        <v>15</v>
      </c>
      <c r="I1" s="9" t="s">
        <v>16</v>
      </c>
      <c r="J1" s="9" t="s">
        <v>17</v>
      </c>
      <c r="K1" s="10" t="s">
        <v>18</v>
      </c>
      <c r="L1" s="10" t="s">
        <v>19</v>
      </c>
      <c r="M1" s="10" t="s">
        <v>20</v>
      </c>
      <c r="N1" s="10" t="s">
        <v>21</v>
      </c>
      <c r="O1" s="11" t="s">
        <v>22</v>
      </c>
      <c r="P1" s="3"/>
      <c r="R1" s="5"/>
      <c r="S1" s="5"/>
      <c r="T1" s="5"/>
      <c r="U1" s="5"/>
      <c r="V1" s="5"/>
      <c r="W1" s="5"/>
      <c r="X1" s="5"/>
      <c r="Y1" s="5"/>
      <c r="Z1" s="5"/>
    </row>
    <row r="2" spans="1:26" s="4" customFormat="1" ht="57">
      <c r="A2" s="12"/>
      <c r="B2" s="13"/>
      <c r="C2" s="14" t="s">
        <v>23</v>
      </c>
      <c r="D2" s="15" t="s">
        <v>24</v>
      </c>
      <c r="E2" s="16" t="s">
        <v>25</v>
      </c>
      <c r="F2" s="16" t="s">
        <v>26</v>
      </c>
      <c r="G2" s="16" t="s">
        <v>27</v>
      </c>
      <c r="H2" s="17"/>
      <c r="I2" s="17"/>
      <c r="J2" s="17"/>
      <c r="K2" s="16"/>
      <c r="L2" s="18"/>
      <c r="M2" s="18"/>
      <c r="N2" s="18"/>
      <c r="O2" s="19"/>
      <c r="P2" s="3"/>
      <c r="R2" s="5"/>
      <c r="S2" s="5"/>
      <c r="T2" s="5"/>
      <c r="U2" s="5"/>
      <c r="V2" s="5"/>
      <c r="W2" s="5"/>
      <c r="X2" s="5"/>
      <c r="Y2" s="5"/>
      <c r="Z2" s="5"/>
    </row>
    <row r="3" spans="1:26" s="4" customFormat="1" ht="15" thickBot="1">
      <c r="A3" s="12"/>
      <c r="B3" s="20"/>
      <c r="C3" s="21"/>
      <c r="D3" s="22"/>
      <c r="E3" s="23"/>
      <c r="F3" s="23"/>
      <c r="G3" s="23"/>
      <c r="H3" s="22"/>
      <c r="I3" s="22"/>
      <c r="J3" s="22"/>
      <c r="K3" s="23"/>
      <c r="L3" s="24"/>
      <c r="M3" s="24"/>
      <c r="N3" s="24"/>
      <c r="O3" s="25"/>
      <c r="P3" s="3"/>
      <c r="R3" s="5"/>
      <c r="S3" s="5"/>
      <c r="T3" s="5"/>
      <c r="U3" s="5"/>
      <c r="V3" s="5"/>
      <c r="W3" s="5"/>
      <c r="X3" s="5"/>
      <c r="Y3" s="5"/>
      <c r="Z3" s="5"/>
    </row>
    <row r="4" spans="1:26" s="4" customFormat="1" ht="36.75" thickBot="1">
      <c r="A4" s="12"/>
      <c r="B4" s="201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3"/>
      <c r="R4" s="5"/>
      <c r="S4" s="5"/>
      <c r="T4" s="5"/>
      <c r="U4" s="5"/>
      <c r="V4" s="5"/>
      <c r="W4" s="5"/>
      <c r="X4" s="5"/>
      <c r="Y4" s="5"/>
      <c r="Z4" s="5"/>
    </row>
    <row r="5" spans="1:26" s="33" customFormat="1">
      <c r="A5" s="28">
        <v>10100</v>
      </c>
      <c r="B5" s="29" t="s">
        <v>29</v>
      </c>
      <c r="C5" s="30">
        <v>21.242639022002496</v>
      </c>
      <c r="D5" s="30">
        <v>23.093169963898916</v>
      </c>
      <c r="E5" s="30">
        <v>0</v>
      </c>
      <c r="F5" s="30">
        <v>1.9245480583947445</v>
      </c>
      <c r="G5" s="30">
        <v>505.19848509634545</v>
      </c>
      <c r="H5" s="30">
        <v>2172.5446625333866</v>
      </c>
      <c r="I5" s="30">
        <v>0</v>
      </c>
      <c r="J5" s="30">
        <v>273.80671171620207</v>
      </c>
      <c r="K5" s="30">
        <v>404.8416695308282</v>
      </c>
      <c r="L5" s="30">
        <v>89.89331490409279</v>
      </c>
      <c r="M5" s="30">
        <v>4.957650834719769</v>
      </c>
      <c r="N5" s="30">
        <v>44.913260909606116</v>
      </c>
      <c r="O5" s="31">
        <f t="shared" ref="O5:O10" si="0">SUM(C5:N5)</f>
        <v>3542.4161125694773</v>
      </c>
      <c r="P5" s="32"/>
    </row>
    <row r="6" spans="1:26" s="33" customFormat="1" ht="24">
      <c r="A6" s="28">
        <v>10200</v>
      </c>
      <c r="B6" s="29" t="s">
        <v>30</v>
      </c>
      <c r="C6" s="30">
        <v>0</v>
      </c>
      <c r="D6" s="30">
        <v>1.5395446642599278</v>
      </c>
      <c r="E6" s="30">
        <v>0</v>
      </c>
      <c r="F6" s="30">
        <v>0</v>
      </c>
      <c r="G6" s="30">
        <v>4.9048396611295688</v>
      </c>
      <c r="H6" s="30">
        <v>1050.7595819752821</v>
      </c>
      <c r="I6" s="30">
        <v>0</v>
      </c>
      <c r="J6" s="30">
        <v>0</v>
      </c>
      <c r="K6" s="30">
        <v>620.24436305791971</v>
      </c>
      <c r="L6" s="30">
        <v>51.89717149102264</v>
      </c>
      <c r="M6" s="30">
        <v>3.3051005564798457</v>
      </c>
      <c r="N6" s="30">
        <v>26.002414210824586</v>
      </c>
      <c r="O6" s="31">
        <f t="shared" si="0"/>
        <v>1758.6530156169183</v>
      </c>
      <c r="P6" s="32"/>
    </row>
    <row r="7" spans="1:26" s="33" customFormat="1" ht="24">
      <c r="A7" s="28">
        <v>10300</v>
      </c>
      <c r="B7" s="29" t="s">
        <v>31</v>
      </c>
      <c r="C7" s="30">
        <v>1.0621319511001248</v>
      </c>
      <c r="D7" s="30">
        <v>15.395446642599278</v>
      </c>
      <c r="E7" s="30">
        <v>0</v>
      </c>
      <c r="F7" s="30">
        <v>0</v>
      </c>
      <c r="G7" s="30">
        <v>127.52583118936877</v>
      </c>
      <c r="H7" s="30">
        <v>1652.3873346768355</v>
      </c>
      <c r="I7" s="30">
        <v>1365.58503</v>
      </c>
      <c r="J7" s="30">
        <v>190.61159546397144</v>
      </c>
      <c r="K7" s="30">
        <v>425.03567204899298</v>
      </c>
      <c r="L7" s="30">
        <v>101.0141373664548</v>
      </c>
      <c r="M7" s="30">
        <v>5.4878487206679134</v>
      </c>
      <c r="N7" s="30">
        <v>51.21687647586662</v>
      </c>
      <c r="O7" s="31">
        <f t="shared" si="0"/>
        <v>3935.3219045358569</v>
      </c>
      <c r="P7" s="32"/>
    </row>
    <row r="8" spans="1:26" s="33" customFormat="1" ht="24">
      <c r="A8" s="28">
        <v>10400</v>
      </c>
      <c r="B8" s="29" t="s">
        <v>32</v>
      </c>
      <c r="C8" s="30">
        <v>10.621319511001248</v>
      </c>
      <c r="D8" s="30">
        <v>55.423607913357408</v>
      </c>
      <c r="E8" s="30">
        <v>0</v>
      </c>
      <c r="F8" s="30">
        <v>39.166955619214242</v>
      </c>
      <c r="G8" s="30">
        <v>564.05656102990042</v>
      </c>
      <c r="H8" s="30">
        <v>1769.3705088132488</v>
      </c>
      <c r="I8" s="30">
        <v>0</v>
      </c>
      <c r="J8" s="30">
        <v>325.40874584733245</v>
      </c>
      <c r="K8" s="30">
        <v>384.64766701266336</v>
      </c>
      <c r="L8" s="30">
        <v>84.332903672911812</v>
      </c>
      <c r="M8" s="30">
        <v>4.957650834719769</v>
      </c>
      <c r="N8" s="30">
        <v>41.761453126475857</v>
      </c>
      <c r="O8" s="31">
        <f t="shared" si="0"/>
        <v>3279.7473733808256</v>
      </c>
      <c r="P8" s="32"/>
    </row>
    <row r="9" spans="1:26" s="33" customFormat="1" ht="24">
      <c r="A9" s="28">
        <v>10500</v>
      </c>
      <c r="B9" s="29" t="s">
        <v>33</v>
      </c>
      <c r="C9" s="30">
        <v>1872.5386297895202</v>
      </c>
      <c r="D9" s="30">
        <v>69.279509891696748</v>
      </c>
      <c r="E9" s="30">
        <v>3.0116369189949523</v>
      </c>
      <c r="F9" s="30">
        <v>111.62378738689517</v>
      </c>
      <c r="G9" s="30">
        <v>2727.0908515880401</v>
      </c>
      <c r="H9" s="30">
        <v>512.84587947302532</v>
      </c>
      <c r="I9" s="30">
        <v>0</v>
      </c>
      <c r="J9" s="30">
        <v>0</v>
      </c>
      <c r="K9" s="30">
        <v>0</v>
      </c>
      <c r="L9" s="30">
        <v>88.966579698895956</v>
      </c>
      <c r="M9" s="30">
        <v>4.957650834719769</v>
      </c>
      <c r="N9" s="30">
        <v>44.913260909606116</v>
      </c>
      <c r="O9" s="31">
        <f t="shared" si="0"/>
        <v>5435.227786491394</v>
      </c>
      <c r="P9" s="32"/>
    </row>
    <row r="10" spans="1:26" s="33" customFormat="1">
      <c r="A10" s="28">
        <v>10600</v>
      </c>
      <c r="B10" s="29" t="s">
        <v>34</v>
      </c>
      <c r="C10" s="30">
        <v>50.982333652805984</v>
      </c>
      <c r="D10" s="30">
        <v>9.2372679855595674</v>
      </c>
      <c r="E10" s="30">
        <v>0</v>
      </c>
      <c r="F10" s="30">
        <v>3.849096116789489</v>
      </c>
      <c r="G10" s="30">
        <v>1343.9260671495019</v>
      </c>
      <c r="H10" s="30">
        <v>1080.0053755093854</v>
      </c>
      <c r="I10" s="30">
        <v>0</v>
      </c>
      <c r="J10" s="30">
        <v>0</v>
      </c>
      <c r="K10" s="30">
        <v>640.43836557608449</v>
      </c>
      <c r="L10" s="30">
        <v>77.84575723653397</v>
      </c>
      <c r="M10" s="30">
        <v>4.957650834719769</v>
      </c>
      <c r="N10" s="30">
        <v>38.609645343345605</v>
      </c>
      <c r="O10" s="31">
        <f t="shared" si="0"/>
        <v>3249.8515594047262</v>
      </c>
      <c r="P10" s="32"/>
    </row>
    <row r="11" spans="1:26" s="33" customFormat="1" ht="15.75" thickBot="1">
      <c r="A11" s="34">
        <v>19999</v>
      </c>
      <c r="B11" s="35" t="s">
        <v>22</v>
      </c>
      <c r="C11" s="36">
        <f t="shared" ref="C11:O11" si="1">SUM(C5:C10)</f>
        <v>1956.44705392643</v>
      </c>
      <c r="D11" s="37">
        <f t="shared" si="1"/>
        <v>173.96854706137182</v>
      </c>
      <c r="E11" s="38">
        <f t="shared" si="1"/>
        <v>3.0116369189949523</v>
      </c>
      <c r="F11" s="38">
        <f t="shared" si="1"/>
        <v>156.56438718129365</v>
      </c>
      <c r="G11" s="38">
        <f t="shared" si="1"/>
        <v>5272.7026357142868</v>
      </c>
      <c r="H11" s="37">
        <f t="shared" si="1"/>
        <v>8237.9133429811627</v>
      </c>
      <c r="I11" s="37">
        <f t="shared" si="1"/>
        <v>1365.58503</v>
      </c>
      <c r="J11" s="37">
        <f t="shared" si="1"/>
        <v>789.82705302750605</v>
      </c>
      <c r="K11" s="38">
        <f t="shared" si="1"/>
        <v>2475.2077372264889</v>
      </c>
      <c r="L11" s="38">
        <f t="shared" si="1"/>
        <v>493.94986436991201</v>
      </c>
      <c r="M11" s="38">
        <f t="shared" si="1"/>
        <v>28.623552616026831</v>
      </c>
      <c r="N11" s="38">
        <f t="shared" si="1"/>
        <v>247.41691097572493</v>
      </c>
      <c r="O11" s="39">
        <f t="shared" si="1"/>
        <v>21201.2177519992</v>
      </c>
      <c r="P11" s="32"/>
    </row>
    <row r="12" spans="1:26" s="33" customFormat="1" ht="24.75" thickBot="1">
      <c r="A12" s="34"/>
      <c r="B12" s="40" t="s">
        <v>35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2"/>
    </row>
    <row r="13" spans="1:26" s="33" customFormat="1">
      <c r="A13" s="28">
        <v>20100</v>
      </c>
      <c r="B13" s="29" t="s">
        <v>36</v>
      </c>
      <c r="C13" s="30">
        <v>1.0621319511001248</v>
      </c>
      <c r="D13" s="30">
        <v>0</v>
      </c>
      <c r="E13" s="30">
        <v>1287.4659999999999</v>
      </c>
      <c r="F13" s="30">
        <v>0</v>
      </c>
      <c r="G13" s="30">
        <v>83.382274239202658</v>
      </c>
      <c r="H13" s="30">
        <v>0</v>
      </c>
      <c r="I13" s="30">
        <v>0</v>
      </c>
      <c r="J13" s="30">
        <v>0</v>
      </c>
      <c r="K13" s="30">
        <v>0</v>
      </c>
      <c r="L13" s="30">
        <v>44.483289849447978</v>
      </c>
      <c r="M13" s="30">
        <v>1.6525502782399228</v>
      </c>
      <c r="N13" s="30">
        <v>22.850606427694334</v>
      </c>
      <c r="O13" s="31">
        <f>SUM(C13:N13)</f>
        <v>1440.896852745685</v>
      </c>
      <c r="P13" s="32"/>
    </row>
    <row r="14" spans="1:26" s="33" customFormat="1">
      <c r="A14" s="43">
        <v>20200</v>
      </c>
      <c r="B14" s="29" t="s">
        <v>37</v>
      </c>
      <c r="C14" s="202">
        <v>0</v>
      </c>
      <c r="D14" s="202">
        <v>0</v>
      </c>
      <c r="E14" s="44">
        <v>0</v>
      </c>
      <c r="F14" s="44">
        <v>0</v>
      </c>
      <c r="G14" s="44">
        <v>0</v>
      </c>
      <c r="H14" s="203">
        <v>0</v>
      </c>
      <c r="I14" s="203">
        <v>0</v>
      </c>
      <c r="J14" s="203">
        <v>0</v>
      </c>
      <c r="K14" s="44">
        <v>0</v>
      </c>
      <c r="L14" s="44">
        <v>0</v>
      </c>
      <c r="M14" s="44">
        <v>0</v>
      </c>
      <c r="N14" s="44">
        <v>0</v>
      </c>
      <c r="O14" s="45"/>
      <c r="P14" s="32"/>
    </row>
    <row r="15" spans="1:26" s="33" customFormat="1">
      <c r="A15" s="28">
        <v>20201</v>
      </c>
      <c r="B15" s="29" t="s">
        <v>38</v>
      </c>
      <c r="C15" s="30">
        <v>0</v>
      </c>
      <c r="D15" s="30">
        <v>0</v>
      </c>
      <c r="E15" s="30">
        <v>17807.032999999999</v>
      </c>
      <c r="F15" s="30">
        <v>0</v>
      </c>
      <c r="G15" s="30">
        <v>14.714518983388704</v>
      </c>
      <c r="H15" s="30">
        <v>0</v>
      </c>
      <c r="I15" s="30">
        <v>0</v>
      </c>
      <c r="J15" s="30">
        <v>0</v>
      </c>
      <c r="K15" s="30">
        <v>0</v>
      </c>
      <c r="L15" s="30">
        <v>556.9678583232967</v>
      </c>
      <c r="M15" s="30">
        <v>29.745905008318612</v>
      </c>
      <c r="N15" s="30">
        <v>279.72294075281002</v>
      </c>
      <c r="O15" s="31">
        <f>SUM(C15:N15)</f>
        <v>18688.184223067816</v>
      </c>
      <c r="P15" s="32"/>
    </row>
    <row r="16" spans="1:26" s="33" customFormat="1" ht="24">
      <c r="A16" s="28">
        <v>20202</v>
      </c>
      <c r="B16" s="29" t="s">
        <v>39</v>
      </c>
      <c r="C16" s="30">
        <v>0</v>
      </c>
      <c r="D16" s="30">
        <v>0</v>
      </c>
      <c r="E16" s="30">
        <v>3054.2612300000001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98.233931750864286</v>
      </c>
      <c r="M16" s="30">
        <v>4.957650834719769</v>
      </c>
      <c r="N16" s="30">
        <v>49.640972584301487</v>
      </c>
      <c r="O16" s="31">
        <f>SUM(C16:N16)</f>
        <v>3207.0937851698859</v>
      </c>
      <c r="P16" s="32"/>
    </row>
    <row r="17" spans="1:16" s="33" customFormat="1" ht="24">
      <c r="A17" s="28">
        <v>20300</v>
      </c>
      <c r="B17" s="29" t="s">
        <v>40</v>
      </c>
      <c r="C17" s="30">
        <v>108.33745901221273</v>
      </c>
      <c r="D17" s="30">
        <v>197.06171702527075</v>
      </c>
      <c r="E17" s="30">
        <v>1993.7036403746588</v>
      </c>
      <c r="F17" s="30">
        <v>0</v>
      </c>
      <c r="G17" s="30">
        <v>6077.0963401395356</v>
      </c>
      <c r="H17" s="44">
        <v>3379.9781384413654</v>
      </c>
      <c r="I17" s="44">
        <v>0</v>
      </c>
      <c r="J17" s="44">
        <v>3651.1071904618179</v>
      </c>
      <c r="K17" s="44">
        <v>223.09564686734475</v>
      </c>
      <c r="L17" s="44">
        <v>296.55526566298653</v>
      </c>
      <c r="M17" s="44">
        <v>14.872952504159306</v>
      </c>
      <c r="N17" s="44">
        <v>148.92291775290445</v>
      </c>
      <c r="O17" s="31">
        <f>SUM(C17:N17)</f>
        <v>16090.731268242258</v>
      </c>
      <c r="P17" s="32"/>
    </row>
    <row r="18" spans="1:16" s="33" customFormat="1">
      <c r="A18" s="28">
        <v>20400</v>
      </c>
      <c r="B18" s="29" t="s">
        <v>41</v>
      </c>
      <c r="C18" s="202">
        <v>0</v>
      </c>
      <c r="D18" s="202">
        <v>0</v>
      </c>
      <c r="E18" s="44">
        <v>0</v>
      </c>
      <c r="F18" s="44">
        <v>0</v>
      </c>
      <c r="G18" s="44">
        <v>0</v>
      </c>
      <c r="H18" s="203">
        <v>0</v>
      </c>
      <c r="I18" s="203">
        <v>0</v>
      </c>
      <c r="J18" s="203">
        <v>0</v>
      </c>
      <c r="K18" s="44">
        <v>0</v>
      </c>
      <c r="L18" s="44">
        <v>0</v>
      </c>
      <c r="M18" s="44">
        <v>0</v>
      </c>
      <c r="N18" s="44">
        <v>0</v>
      </c>
      <c r="O18" s="45"/>
      <c r="P18" s="32"/>
    </row>
    <row r="19" spans="1:16" s="33" customFormat="1" ht="36">
      <c r="A19" s="43">
        <v>20401</v>
      </c>
      <c r="B19" s="29" t="s">
        <v>42</v>
      </c>
      <c r="C19" s="30">
        <v>6967.5855992168181</v>
      </c>
      <c r="D19" s="30">
        <v>27.711803956678704</v>
      </c>
      <c r="E19" s="30">
        <v>34278.51223</v>
      </c>
      <c r="F19" s="30">
        <v>0</v>
      </c>
      <c r="G19" s="30">
        <v>907.39533730897017</v>
      </c>
      <c r="H19" s="30">
        <v>483.60008593892212</v>
      </c>
      <c r="I19" s="30">
        <v>0</v>
      </c>
      <c r="J19" s="30">
        <v>188.50538998923145</v>
      </c>
      <c r="K19" s="30">
        <v>676.9798939422875</v>
      </c>
      <c r="L19" s="30">
        <v>1220.510265244229</v>
      </c>
      <c r="M19" s="30">
        <v>66.102011129596917</v>
      </c>
      <c r="N19" s="30">
        <v>613.02661381883433</v>
      </c>
      <c r="O19" s="31">
        <f>SUM(C19:N19)</f>
        <v>45429.929230545567</v>
      </c>
      <c r="P19" s="32"/>
    </row>
    <row r="20" spans="1:16" s="33" customFormat="1" ht="48">
      <c r="A20" s="43">
        <v>20402</v>
      </c>
      <c r="B20" s="29" t="s">
        <v>43</v>
      </c>
      <c r="C20" s="30">
        <v>0</v>
      </c>
      <c r="D20" s="30">
        <v>4.6186339927797837</v>
      </c>
      <c r="E20" s="30">
        <v>3188.5514500000004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556.04112311809979</v>
      </c>
      <c r="M20" s="30">
        <v>31.398455286558537</v>
      </c>
      <c r="N20" s="30">
        <v>279.72294075281002</v>
      </c>
      <c r="O20" s="31">
        <f>SUM(C20:N20)</f>
        <v>4060.3326031502484</v>
      </c>
      <c r="P20" s="32"/>
    </row>
    <row r="21" spans="1:16" s="33" customFormat="1">
      <c r="A21" s="28">
        <v>20500</v>
      </c>
      <c r="B21" s="29" t="s">
        <v>44</v>
      </c>
      <c r="C21" s="30">
        <v>0</v>
      </c>
      <c r="D21" s="30">
        <v>0</v>
      </c>
      <c r="E21" s="30">
        <v>6449.7169599999997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199.24806911731906</v>
      </c>
      <c r="M21" s="30">
        <v>9.9153016694395379</v>
      </c>
      <c r="N21" s="30">
        <v>100.06989711438553</v>
      </c>
      <c r="O21" s="31">
        <f>SUM(C21:N21)</f>
        <v>6758.950227901144</v>
      </c>
      <c r="P21" s="32"/>
    </row>
    <row r="22" spans="1:16" s="33" customFormat="1">
      <c r="A22" s="43">
        <v>20600</v>
      </c>
      <c r="B22" s="29" t="s">
        <v>45</v>
      </c>
      <c r="C22" s="202">
        <v>0</v>
      </c>
      <c r="D22" s="202">
        <v>0</v>
      </c>
      <c r="E22" s="44">
        <v>0</v>
      </c>
      <c r="F22" s="44">
        <v>0</v>
      </c>
      <c r="G22" s="44">
        <v>0</v>
      </c>
      <c r="H22" s="203">
        <v>0</v>
      </c>
      <c r="I22" s="203">
        <v>0</v>
      </c>
      <c r="J22" s="203">
        <v>0</v>
      </c>
      <c r="K22" s="44">
        <v>0</v>
      </c>
      <c r="L22" s="44">
        <v>0</v>
      </c>
      <c r="M22" s="44">
        <v>0</v>
      </c>
      <c r="N22" s="44">
        <v>0</v>
      </c>
      <c r="O22" s="45"/>
      <c r="P22" s="32"/>
    </row>
    <row r="23" spans="1:16" s="33" customFormat="1">
      <c r="A23" s="28">
        <v>20601</v>
      </c>
      <c r="B23" s="29" t="s">
        <v>46</v>
      </c>
      <c r="C23" s="30">
        <v>16683.809091284173</v>
      </c>
      <c r="D23" s="30">
        <v>341.77891546570402</v>
      </c>
      <c r="E23" s="44">
        <v>24428.674872808668</v>
      </c>
      <c r="F23" s="30">
        <v>1300.3152840860121</v>
      </c>
      <c r="G23" s="30">
        <v>11364.513494837211</v>
      </c>
      <c r="H23" s="44">
        <v>17954.828244686982</v>
      </c>
      <c r="I23" s="44">
        <v>0</v>
      </c>
      <c r="J23" s="44">
        <v>2247.3212415475969</v>
      </c>
      <c r="K23" s="44">
        <v>1171.25214605356</v>
      </c>
      <c r="L23" s="44">
        <v>2100.9087101812202</v>
      </c>
      <c r="M23" s="44">
        <v>112.37341892031476</v>
      </c>
      <c r="N23" s="44">
        <v>1054.2797034570699</v>
      </c>
      <c r="O23" s="31">
        <f>SUM(C23:N23)</f>
        <v>78760.055123328522</v>
      </c>
      <c r="P23" s="32"/>
    </row>
    <row r="24" spans="1:16" s="33" customFormat="1" ht="24">
      <c r="A24" s="28">
        <v>20602</v>
      </c>
      <c r="B24" s="29" t="s">
        <v>47</v>
      </c>
      <c r="C24" s="30">
        <v>5166.3694067475953</v>
      </c>
      <c r="D24" s="30">
        <v>40.028161270758126</v>
      </c>
      <c r="E24" s="44">
        <v>489.11714422351548</v>
      </c>
      <c r="F24" s="30">
        <v>1064.2750762922935</v>
      </c>
      <c r="G24" s="30">
        <v>4335.8782604385387</v>
      </c>
      <c r="H24" s="44">
        <v>3713.1712862048989</v>
      </c>
      <c r="I24" s="44">
        <v>0</v>
      </c>
      <c r="J24" s="44">
        <v>559.19755354347421</v>
      </c>
      <c r="K24" s="44">
        <v>356.76071115424526</v>
      </c>
      <c r="L24" s="44">
        <v>341.96529071763132</v>
      </c>
      <c r="M24" s="44">
        <v>18.178053060639151</v>
      </c>
      <c r="N24" s="44">
        <v>171.77352418059883</v>
      </c>
      <c r="O24" s="31">
        <f>SUM(C24:N24)</f>
        <v>16256.714467834188</v>
      </c>
      <c r="P24" s="32"/>
    </row>
    <row r="25" spans="1:16" s="33" customFormat="1" ht="36">
      <c r="A25" s="28">
        <v>20603</v>
      </c>
      <c r="B25" s="29" t="s">
        <v>48</v>
      </c>
      <c r="C25" s="30">
        <v>1820.494164185614</v>
      </c>
      <c r="D25" s="30">
        <v>100.07040317689531</v>
      </c>
      <c r="E25" s="44">
        <v>1311.4871967254876</v>
      </c>
      <c r="F25" s="30">
        <v>107.77469127010568</v>
      </c>
      <c r="G25" s="30">
        <v>3874.8233322923588</v>
      </c>
      <c r="H25" s="44">
        <v>7871.2964311786545</v>
      </c>
      <c r="I25" s="44">
        <v>0</v>
      </c>
      <c r="J25" s="44">
        <v>499.1706975133838</v>
      </c>
      <c r="K25" s="44">
        <v>558.70073633589368</v>
      </c>
      <c r="L25" s="44">
        <v>501.36374601148663</v>
      </c>
      <c r="M25" s="44">
        <v>26.440804451838765</v>
      </c>
      <c r="N25" s="44">
        <v>251.35667070463768</v>
      </c>
      <c r="O25" s="31">
        <f>SUM(C25:N25)</f>
        <v>16922.978873846358</v>
      </c>
      <c r="P25" s="32"/>
    </row>
    <row r="26" spans="1:16" s="33" customFormat="1">
      <c r="A26" s="28">
        <v>20700</v>
      </c>
      <c r="B26" s="29" t="s">
        <v>49</v>
      </c>
      <c r="C26" s="30">
        <v>0</v>
      </c>
      <c r="D26" s="30">
        <v>7.6977233212996392</v>
      </c>
      <c r="E26" s="30">
        <v>3592.67092</v>
      </c>
      <c r="F26" s="30">
        <v>0</v>
      </c>
      <c r="G26" s="30">
        <v>0</v>
      </c>
      <c r="H26" s="44">
        <v>0</v>
      </c>
      <c r="I26" s="44">
        <v>0</v>
      </c>
      <c r="J26" s="44">
        <v>0</v>
      </c>
      <c r="K26" s="44">
        <v>0</v>
      </c>
      <c r="L26" s="44">
        <v>104.72107818724211</v>
      </c>
      <c r="M26" s="44">
        <v>4.957650834719769</v>
      </c>
      <c r="N26" s="44">
        <v>52.004828421649172</v>
      </c>
      <c r="O26" s="31">
        <f>SUM(C26:N26)</f>
        <v>3762.052200764911</v>
      </c>
      <c r="P26" s="32"/>
    </row>
    <row r="27" spans="1:16" s="33" customFormat="1" ht="36">
      <c r="A27" s="60">
        <v>20800</v>
      </c>
      <c r="B27" s="172" t="s">
        <v>50</v>
      </c>
      <c r="C27" s="202">
        <v>0</v>
      </c>
      <c r="D27" s="202">
        <v>0</v>
      </c>
      <c r="E27" s="44">
        <v>0</v>
      </c>
      <c r="F27" s="44">
        <v>0</v>
      </c>
      <c r="G27" s="44">
        <v>0</v>
      </c>
      <c r="H27" s="203">
        <v>0</v>
      </c>
      <c r="I27" s="203">
        <v>0</v>
      </c>
      <c r="J27" s="203">
        <v>0</v>
      </c>
      <c r="K27" s="44">
        <v>0</v>
      </c>
      <c r="L27" s="44">
        <v>0</v>
      </c>
      <c r="M27" s="44">
        <v>0</v>
      </c>
      <c r="N27" s="44">
        <v>0</v>
      </c>
      <c r="O27" s="31"/>
      <c r="P27" s="32"/>
    </row>
    <row r="28" spans="1:16" s="33" customFormat="1" ht="36">
      <c r="A28" s="28">
        <v>20801</v>
      </c>
      <c r="B28" s="29" t="s">
        <v>51</v>
      </c>
      <c r="C28" s="30">
        <v>1655.8637117650946</v>
      </c>
      <c r="D28" s="30">
        <v>50.804973920577623</v>
      </c>
      <c r="E28" s="44">
        <v>1926.4437491837714</v>
      </c>
      <c r="F28" s="30">
        <v>1443.4110437960583</v>
      </c>
      <c r="G28" s="30">
        <v>1304.6873498604652</v>
      </c>
      <c r="H28" s="44">
        <v>5248.5754467453207</v>
      </c>
      <c r="I28" s="44">
        <v>0</v>
      </c>
      <c r="J28" s="44">
        <v>408.60386209956312</v>
      </c>
      <c r="K28" s="44">
        <v>4314.7852047145516</v>
      </c>
      <c r="L28" s="44">
        <v>531.01927257778527</v>
      </c>
      <c r="M28" s="44">
        <v>28.093354730078691</v>
      </c>
      <c r="N28" s="44">
        <v>266.32775767450636</v>
      </c>
      <c r="O28" s="31">
        <f t="shared" ref="O28:O33" si="2">SUM(C28:N28)</f>
        <v>17178.615727067772</v>
      </c>
      <c r="P28" s="32"/>
    </row>
    <row r="29" spans="1:16" s="33" customFormat="1" ht="36">
      <c r="A29" s="28">
        <v>20802</v>
      </c>
      <c r="B29" s="29" t="s">
        <v>52</v>
      </c>
      <c r="C29" s="30">
        <v>353.68993971634148</v>
      </c>
      <c r="D29" s="30">
        <v>41.567705935018054</v>
      </c>
      <c r="E29" s="30">
        <v>9.3330000000000002</v>
      </c>
      <c r="F29" s="30">
        <v>21.170028642342189</v>
      </c>
      <c r="G29" s="30">
        <v>367.86297458471762</v>
      </c>
      <c r="H29" s="44">
        <v>7039.8803007091483</v>
      </c>
      <c r="I29" s="44">
        <v>0</v>
      </c>
      <c r="J29" s="44">
        <v>982.54485396621749</v>
      </c>
      <c r="K29" s="44">
        <v>129.81858761677387</v>
      </c>
      <c r="L29" s="44">
        <v>273.38688553306577</v>
      </c>
      <c r="M29" s="44">
        <v>14.872952504159306</v>
      </c>
      <c r="N29" s="44">
        <v>137.10363856616601</v>
      </c>
      <c r="O29" s="31">
        <f t="shared" si="2"/>
        <v>9371.2308677739511</v>
      </c>
      <c r="P29" s="32"/>
    </row>
    <row r="30" spans="1:16" s="33" customFormat="1" ht="24">
      <c r="A30" s="28">
        <v>20803</v>
      </c>
      <c r="B30" s="29" t="s">
        <v>53</v>
      </c>
      <c r="C30" s="30">
        <v>0</v>
      </c>
      <c r="D30" s="30">
        <v>46.186339927797832</v>
      </c>
      <c r="E30" s="44">
        <v>298.74754267977238</v>
      </c>
      <c r="F30" s="30">
        <v>1087.3696529930305</v>
      </c>
      <c r="G30" s="30">
        <v>853.44210103654484</v>
      </c>
      <c r="H30" s="44">
        <v>894.08568804258607</v>
      </c>
      <c r="I30" s="44">
        <v>0</v>
      </c>
      <c r="J30" s="44">
        <v>493.90518382653374</v>
      </c>
      <c r="K30" s="44">
        <v>769.29533402532672</v>
      </c>
      <c r="L30" s="44">
        <v>107.50128380283263</v>
      </c>
      <c r="M30" s="44">
        <v>4.957650834719769</v>
      </c>
      <c r="N30" s="44">
        <v>53.580732313214298</v>
      </c>
      <c r="O30" s="31">
        <f t="shared" si="2"/>
        <v>4609.0715094823581</v>
      </c>
      <c r="P30" s="32"/>
    </row>
    <row r="31" spans="1:16" s="33" customFormat="1" ht="24">
      <c r="A31" s="28">
        <v>20804</v>
      </c>
      <c r="B31" s="29" t="s">
        <v>54</v>
      </c>
      <c r="C31" s="30">
        <v>2.1242639022002496</v>
      </c>
      <c r="D31" s="30">
        <v>9.2372679855595674</v>
      </c>
      <c r="E31" s="30">
        <v>266.02792784455414</v>
      </c>
      <c r="F31" s="30">
        <v>0</v>
      </c>
      <c r="G31" s="30">
        <v>112.81131220598007</v>
      </c>
      <c r="H31" s="44">
        <v>148.31795292295237</v>
      </c>
      <c r="I31" s="44">
        <v>0</v>
      </c>
      <c r="J31" s="44">
        <v>0</v>
      </c>
      <c r="K31" s="44">
        <v>0</v>
      </c>
      <c r="L31" s="44">
        <v>65.798199568975136</v>
      </c>
      <c r="M31" s="44">
        <v>3.3051005564798457</v>
      </c>
      <c r="N31" s="44">
        <v>33.09398172286766</v>
      </c>
      <c r="O31" s="31">
        <f t="shared" si="2"/>
        <v>640.71600670956911</v>
      </c>
      <c r="P31" s="32"/>
    </row>
    <row r="32" spans="1:16" s="33" customFormat="1" ht="24">
      <c r="A32" s="28">
        <v>20805</v>
      </c>
      <c r="B32" s="29" t="s">
        <v>55</v>
      </c>
      <c r="C32" s="30">
        <v>284.65136289483348</v>
      </c>
      <c r="D32" s="30">
        <v>60.042241906137193</v>
      </c>
      <c r="E32" s="44">
        <v>1350.7110047846891</v>
      </c>
      <c r="F32" s="30">
        <v>359.89048691981719</v>
      </c>
      <c r="G32" s="30">
        <v>1549.9293329169436</v>
      </c>
      <c r="H32" s="44">
        <v>3586.787678432524</v>
      </c>
      <c r="I32" s="44">
        <v>0</v>
      </c>
      <c r="J32" s="44">
        <v>653.97679990677489</v>
      </c>
      <c r="K32" s="44">
        <v>433.690244556778</v>
      </c>
      <c r="L32" s="44">
        <v>197.39459870692539</v>
      </c>
      <c r="M32" s="44">
        <v>9.9153016694395379</v>
      </c>
      <c r="N32" s="44">
        <v>99.281945168602974</v>
      </c>
      <c r="O32" s="31">
        <f t="shared" si="2"/>
        <v>8586.2709978634648</v>
      </c>
      <c r="P32" s="32"/>
    </row>
    <row r="33" spans="1:16" s="33" customFormat="1" ht="24">
      <c r="A33" s="28">
        <v>20806</v>
      </c>
      <c r="B33" s="29" t="s">
        <v>56</v>
      </c>
      <c r="C33" s="30">
        <v>4.2485278044004993</v>
      </c>
      <c r="D33" s="30">
        <v>10.776812649819496</v>
      </c>
      <c r="E33" s="44">
        <v>904.49495467148415</v>
      </c>
      <c r="F33" s="30">
        <v>0</v>
      </c>
      <c r="G33" s="30">
        <v>4.9048396611295688</v>
      </c>
      <c r="H33" s="44">
        <v>16648.167969288294</v>
      </c>
      <c r="I33" s="44">
        <v>0</v>
      </c>
      <c r="J33" s="44">
        <v>3329.910855563965</v>
      </c>
      <c r="K33" s="44">
        <v>0</v>
      </c>
      <c r="L33" s="44">
        <v>637.59382117542111</v>
      </c>
      <c r="M33" s="44">
        <v>34.70355584303838</v>
      </c>
      <c r="N33" s="44">
        <v>319.90848998772071</v>
      </c>
      <c r="O33" s="31">
        <f t="shared" si="2"/>
        <v>21894.709826645274</v>
      </c>
      <c r="P33" s="32"/>
    </row>
    <row r="34" spans="1:16" s="33" customFormat="1" ht="24">
      <c r="A34" s="28">
        <v>20807</v>
      </c>
      <c r="B34" s="29" t="s">
        <v>57</v>
      </c>
      <c r="C34" s="30">
        <v>0</v>
      </c>
      <c r="D34" s="30">
        <v>0</v>
      </c>
      <c r="E34" s="44">
        <v>0</v>
      </c>
      <c r="F34" s="30">
        <v>0</v>
      </c>
      <c r="G34" s="30">
        <v>0</v>
      </c>
      <c r="H34" s="202">
        <v>0</v>
      </c>
      <c r="I34" s="203">
        <v>0</v>
      </c>
      <c r="J34" s="202">
        <v>0</v>
      </c>
      <c r="K34" s="44">
        <v>0</v>
      </c>
      <c r="L34" s="44">
        <v>0</v>
      </c>
      <c r="M34" s="44">
        <v>0</v>
      </c>
      <c r="N34" s="44">
        <v>0</v>
      </c>
      <c r="O34" s="31"/>
      <c r="P34" s="32"/>
    </row>
    <row r="35" spans="1:16" s="33" customFormat="1" ht="24">
      <c r="A35" s="28">
        <v>20808</v>
      </c>
      <c r="B35" s="29" t="s">
        <v>58</v>
      </c>
      <c r="C35" s="30">
        <v>0</v>
      </c>
      <c r="D35" s="30">
        <v>0</v>
      </c>
      <c r="E35" s="44">
        <v>0</v>
      </c>
      <c r="F35" s="30">
        <v>0</v>
      </c>
      <c r="G35" s="30">
        <v>0</v>
      </c>
      <c r="H35" s="202">
        <v>0</v>
      </c>
      <c r="I35" s="203">
        <v>0</v>
      </c>
      <c r="J35" s="202">
        <v>0</v>
      </c>
      <c r="K35" s="44">
        <v>0</v>
      </c>
      <c r="L35" s="44">
        <v>0</v>
      </c>
      <c r="M35" s="44">
        <v>0</v>
      </c>
      <c r="N35" s="44">
        <v>0</v>
      </c>
      <c r="O35" s="31"/>
      <c r="P35" s="32"/>
    </row>
    <row r="36" spans="1:16" s="33" customFormat="1" ht="24">
      <c r="A36" s="61">
        <v>20900</v>
      </c>
      <c r="B36" s="173" t="s">
        <v>59</v>
      </c>
      <c r="C36" s="202">
        <v>0</v>
      </c>
      <c r="D36" s="202">
        <v>0</v>
      </c>
      <c r="E36" s="44">
        <v>0</v>
      </c>
      <c r="F36" s="44">
        <v>0</v>
      </c>
      <c r="G36" s="44">
        <v>0</v>
      </c>
      <c r="H36" s="203">
        <v>0</v>
      </c>
      <c r="I36" s="203">
        <v>0</v>
      </c>
      <c r="J36" s="203">
        <v>0</v>
      </c>
      <c r="K36" s="44">
        <v>0</v>
      </c>
      <c r="L36" s="44">
        <v>0</v>
      </c>
      <c r="M36" s="44">
        <v>0</v>
      </c>
      <c r="N36" s="44">
        <v>0</v>
      </c>
      <c r="O36" s="31"/>
      <c r="P36" s="32"/>
    </row>
    <row r="37" spans="1:16" s="33" customFormat="1" ht="24">
      <c r="A37" s="28">
        <v>20901</v>
      </c>
      <c r="B37" s="29" t="s">
        <v>53</v>
      </c>
      <c r="C37" s="30">
        <v>431.22557214665068</v>
      </c>
      <c r="D37" s="30">
        <v>20.014080635379063</v>
      </c>
      <c r="E37" s="44">
        <v>3299.2524573202277</v>
      </c>
      <c r="F37" s="30">
        <v>0</v>
      </c>
      <c r="G37" s="30">
        <v>5503.2300997873754</v>
      </c>
      <c r="H37" s="44">
        <v>9355.5204530343963</v>
      </c>
      <c r="I37" s="44">
        <v>0</v>
      </c>
      <c r="J37" s="44">
        <v>1956.6648860334749</v>
      </c>
      <c r="K37" s="44">
        <v>425.03567204899298</v>
      </c>
      <c r="L37" s="44">
        <v>526.38559655180109</v>
      </c>
      <c r="M37" s="44">
        <v>28.093354730078691</v>
      </c>
      <c r="N37" s="44">
        <v>263.96390183715874</v>
      </c>
      <c r="O37" s="31">
        <f t="shared" ref="O37:O42" si="3">SUM(C37:N37)</f>
        <v>21809.386074125538</v>
      </c>
      <c r="P37" s="32"/>
    </row>
    <row r="38" spans="1:16" s="33" customFormat="1" ht="24">
      <c r="A38" s="28">
        <v>20902</v>
      </c>
      <c r="B38" s="29" t="s">
        <v>54</v>
      </c>
      <c r="C38" s="30">
        <v>0</v>
      </c>
      <c r="D38" s="30">
        <v>0</v>
      </c>
      <c r="E38" s="44">
        <v>0</v>
      </c>
      <c r="F38" s="30">
        <v>0</v>
      </c>
      <c r="G38" s="30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31">
        <f t="shared" si="3"/>
        <v>0</v>
      </c>
      <c r="P38" s="32"/>
    </row>
    <row r="39" spans="1:16" s="33" customFormat="1" ht="24">
      <c r="A39" s="28">
        <v>20903</v>
      </c>
      <c r="B39" s="29" t="s">
        <v>55</v>
      </c>
      <c r="C39" s="30">
        <v>0</v>
      </c>
      <c r="D39" s="30">
        <v>0</v>
      </c>
      <c r="E39" s="44">
        <v>302.72822966507175</v>
      </c>
      <c r="F39" s="30">
        <v>0</v>
      </c>
      <c r="G39" s="30">
        <v>210.90810542857145</v>
      </c>
      <c r="H39" s="44">
        <v>1843.5294852747249</v>
      </c>
      <c r="I39" s="44">
        <v>0</v>
      </c>
      <c r="J39" s="44">
        <v>29.486876646360223</v>
      </c>
      <c r="K39" s="44">
        <v>0</v>
      </c>
      <c r="L39" s="44">
        <v>75.065551620943467</v>
      </c>
      <c r="M39" s="44">
        <v>3.3051005564798457</v>
      </c>
      <c r="N39" s="44">
        <v>37.821693397563045</v>
      </c>
      <c r="O39" s="31">
        <f t="shared" si="3"/>
        <v>2502.8450425897149</v>
      </c>
      <c r="P39" s="32"/>
    </row>
    <row r="40" spans="1:16" s="33" customFormat="1" ht="24">
      <c r="A40" s="28">
        <v>20904</v>
      </c>
      <c r="B40" s="29" t="s">
        <v>56</v>
      </c>
      <c r="C40" s="30">
        <v>0</v>
      </c>
      <c r="D40" s="30">
        <v>0</v>
      </c>
      <c r="E40" s="44">
        <v>128.6405</v>
      </c>
      <c r="F40" s="30">
        <v>0</v>
      </c>
      <c r="G40" s="30">
        <v>0</v>
      </c>
      <c r="H40" s="44">
        <v>0</v>
      </c>
      <c r="I40" s="44">
        <v>0</v>
      </c>
      <c r="J40" s="44">
        <v>0</v>
      </c>
      <c r="K40" s="44">
        <v>0</v>
      </c>
      <c r="L40" s="44">
        <v>1.8534704103936661</v>
      </c>
      <c r="M40" s="44">
        <v>0</v>
      </c>
      <c r="N40" s="44">
        <v>0.78795194578256322</v>
      </c>
      <c r="O40" s="31">
        <f t="shared" si="3"/>
        <v>131.28192235617624</v>
      </c>
      <c r="P40" s="32"/>
    </row>
    <row r="41" spans="1:16" s="33" customFormat="1" ht="24">
      <c r="A41" s="43">
        <v>20905</v>
      </c>
      <c r="B41" s="29" t="s">
        <v>58</v>
      </c>
      <c r="C41" s="30">
        <v>0</v>
      </c>
      <c r="D41" s="30">
        <v>0</v>
      </c>
      <c r="E41" s="44">
        <v>0</v>
      </c>
      <c r="F41" s="30">
        <v>0</v>
      </c>
      <c r="G41" s="30">
        <v>0</v>
      </c>
      <c r="H41" s="202">
        <v>0</v>
      </c>
      <c r="I41" s="203">
        <v>0</v>
      </c>
      <c r="J41" s="202">
        <v>0</v>
      </c>
      <c r="K41" s="44">
        <v>0</v>
      </c>
      <c r="L41" s="44">
        <v>0</v>
      </c>
      <c r="M41" s="44">
        <v>0</v>
      </c>
      <c r="N41" s="44">
        <v>0</v>
      </c>
      <c r="O41" s="31">
        <f t="shared" si="3"/>
        <v>0</v>
      </c>
      <c r="P41" s="32"/>
    </row>
    <row r="42" spans="1:16" s="33" customFormat="1" ht="24">
      <c r="A42" s="28">
        <v>20906</v>
      </c>
      <c r="B42" s="29" t="s">
        <v>57</v>
      </c>
      <c r="C42" s="30">
        <v>0</v>
      </c>
      <c r="D42" s="30">
        <v>0</v>
      </c>
      <c r="E42" s="44">
        <v>0</v>
      </c>
      <c r="F42" s="30">
        <v>0</v>
      </c>
      <c r="G42" s="30">
        <v>0</v>
      </c>
      <c r="H42" s="202">
        <v>0</v>
      </c>
      <c r="I42" s="203">
        <v>0</v>
      </c>
      <c r="J42" s="202">
        <v>0</v>
      </c>
      <c r="K42" s="44">
        <v>0</v>
      </c>
      <c r="L42" s="44">
        <v>0</v>
      </c>
      <c r="M42" s="44">
        <v>0</v>
      </c>
      <c r="N42" s="44">
        <v>0</v>
      </c>
      <c r="O42" s="31">
        <f t="shared" si="3"/>
        <v>0</v>
      </c>
      <c r="P42" s="32"/>
    </row>
    <row r="43" spans="1:16" s="33" customFormat="1" ht="24">
      <c r="A43" s="61">
        <v>21000</v>
      </c>
      <c r="B43" s="173" t="s">
        <v>60</v>
      </c>
      <c r="C43" s="202">
        <v>0</v>
      </c>
      <c r="D43" s="202">
        <v>0</v>
      </c>
      <c r="E43" s="44">
        <v>0</v>
      </c>
      <c r="F43" s="44">
        <v>0</v>
      </c>
      <c r="G43" s="44">
        <v>0</v>
      </c>
      <c r="H43" s="203">
        <v>0</v>
      </c>
      <c r="I43" s="203">
        <v>0</v>
      </c>
      <c r="J43" s="203">
        <v>0</v>
      </c>
      <c r="K43" s="44">
        <v>0</v>
      </c>
      <c r="L43" s="44">
        <v>0</v>
      </c>
      <c r="M43" s="44">
        <v>0</v>
      </c>
      <c r="N43" s="44">
        <v>0</v>
      </c>
      <c r="O43" s="31"/>
      <c r="P43" s="32"/>
    </row>
    <row r="44" spans="1:16" s="33" customFormat="1" ht="24">
      <c r="A44" s="28">
        <v>21001</v>
      </c>
      <c r="B44" s="29" t="s">
        <v>61</v>
      </c>
      <c r="C44" s="30">
        <v>1.0621319511001248</v>
      </c>
      <c r="D44" s="30">
        <v>0</v>
      </c>
      <c r="E44" s="44">
        <v>70.401240000000001</v>
      </c>
      <c r="F44" s="30">
        <v>0</v>
      </c>
      <c r="G44" s="30">
        <v>201.09842610631227</v>
      </c>
      <c r="H44" s="44">
        <v>2177.7671256644767</v>
      </c>
      <c r="I44" s="44">
        <v>0</v>
      </c>
      <c r="J44" s="44">
        <v>386.48870461479288</v>
      </c>
      <c r="K44" s="44">
        <v>243.28964938550962</v>
      </c>
      <c r="L44" s="44">
        <v>96.380461340470632</v>
      </c>
      <c r="M44" s="44">
        <v>4.957650834719769</v>
      </c>
      <c r="N44" s="44">
        <v>48.065068692736361</v>
      </c>
      <c r="O44" s="31">
        <f t="shared" ref="O44:O50" si="4">SUM(C44:N44)</f>
        <v>3229.5104585901186</v>
      </c>
      <c r="P44" s="32"/>
    </row>
    <row r="45" spans="1:16" s="33" customFormat="1" ht="24">
      <c r="A45" s="28">
        <v>21002</v>
      </c>
      <c r="B45" s="29" t="s">
        <v>54</v>
      </c>
      <c r="C45" s="30">
        <v>10.621319511001248</v>
      </c>
      <c r="D45" s="30">
        <v>1.5395446642599278</v>
      </c>
      <c r="E45" s="44">
        <v>0</v>
      </c>
      <c r="F45" s="30">
        <v>0</v>
      </c>
      <c r="G45" s="30">
        <v>127.52583118936877</v>
      </c>
      <c r="H45" s="44">
        <v>0</v>
      </c>
      <c r="I45" s="44">
        <v>0</v>
      </c>
      <c r="J45" s="44">
        <v>0</v>
      </c>
      <c r="K45" s="44">
        <v>0</v>
      </c>
      <c r="L45" s="44">
        <v>62.091258748187798</v>
      </c>
      <c r="M45" s="44">
        <v>3.3051005564798457</v>
      </c>
      <c r="N45" s="44">
        <v>31.518077831302538</v>
      </c>
      <c r="O45" s="31">
        <f t="shared" si="4"/>
        <v>236.60113250060013</v>
      </c>
      <c r="P45" s="32"/>
    </row>
    <row r="46" spans="1:16" s="33" customFormat="1" ht="24">
      <c r="A46" s="28">
        <v>21003</v>
      </c>
      <c r="B46" s="29" t="s">
        <v>55</v>
      </c>
      <c r="C46" s="30">
        <v>0</v>
      </c>
      <c r="D46" s="30">
        <v>0</v>
      </c>
      <c r="E46" s="44">
        <v>448.56076555023924</v>
      </c>
      <c r="F46" s="30">
        <v>346.41865051105395</v>
      </c>
      <c r="G46" s="30">
        <v>0</v>
      </c>
      <c r="H46" s="44">
        <v>0</v>
      </c>
      <c r="I46" s="44">
        <v>0</v>
      </c>
      <c r="J46" s="44">
        <v>0</v>
      </c>
      <c r="K46" s="44">
        <v>0</v>
      </c>
      <c r="L46" s="44">
        <v>19.461439309133493</v>
      </c>
      <c r="M46" s="44">
        <v>1.6525502782399228</v>
      </c>
      <c r="N46" s="44">
        <v>9.4554233493907613</v>
      </c>
      <c r="O46" s="31">
        <f t="shared" si="4"/>
        <v>825.5488289980575</v>
      </c>
      <c r="P46" s="32"/>
    </row>
    <row r="47" spans="1:16" s="33" customFormat="1" ht="24">
      <c r="A47" s="28">
        <v>21004</v>
      </c>
      <c r="B47" s="29" t="s">
        <v>56</v>
      </c>
      <c r="C47" s="30">
        <v>1010.0874854962187</v>
      </c>
      <c r="D47" s="30">
        <v>10.776812649819496</v>
      </c>
      <c r="E47" s="44">
        <v>21316.241030000001</v>
      </c>
      <c r="F47" s="30">
        <v>0</v>
      </c>
      <c r="G47" s="30">
        <v>112.81131220598007</v>
      </c>
      <c r="H47" s="44">
        <v>0</v>
      </c>
      <c r="I47" s="44">
        <v>0</v>
      </c>
      <c r="J47" s="44">
        <v>0</v>
      </c>
      <c r="K47" s="44">
        <v>0</v>
      </c>
      <c r="L47" s="44">
        <v>660.76220130534193</v>
      </c>
      <c r="M47" s="44">
        <v>36.356106121278302</v>
      </c>
      <c r="N47" s="44">
        <v>331.72776917445918</v>
      </c>
      <c r="O47" s="31">
        <f t="shared" si="4"/>
        <v>23478.762716953101</v>
      </c>
      <c r="P47" s="32"/>
    </row>
    <row r="48" spans="1:16" s="33" customFormat="1" ht="24">
      <c r="A48" s="28">
        <v>21005</v>
      </c>
      <c r="B48" s="29" t="s">
        <v>58</v>
      </c>
      <c r="C48" s="30">
        <v>8.4970556088009985</v>
      </c>
      <c r="D48" s="30">
        <v>1.5395446642599278</v>
      </c>
      <c r="E48" s="44">
        <v>0</v>
      </c>
      <c r="F48" s="30">
        <v>0</v>
      </c>
      <c r="G48" s="30">
        <v>44.143556950166115</v>
      </c>
      <c r="H48" s="202">
        <v>0</v>
      </c>
      <c r="I48" s="203">
        <v>0</v>
      </c>
      <c r="J48" s="202">
        <v>0</v>
      </c>
      <c r="K48" s="44">
        <v>0</v>
      </c>
      <c r="L48" s="44">
        <v>0</v>
      </c>
      <c r="M48" s="44">
        <v>0</v>
      </c>
      <c r="N48" s="44">
        <v>0</v>
      </c>
      <c r="O48" s="31">
        <f t="shared" si="4"/>
        <v>54.180157223227042</v>
      </c>
      <c r="P48" s="32"/>
    </row>
    <row r="49" spans="1:16" s="33" customFormat="1" ht="24">
      <c r="A49" s="43">
        <v>21006</v>
      </c>
      <c r="B49" s="29" t="s">
        <v>57</v>
      </c>
      <c r="C49" s="30">
        <v>8.4970556088009985</v>
      </c>
      <c r="D49" s="30">
        <v>0</v>
      </c>
      <c r="E49" s="44">
        <v>0</v>
      </c>
      <c r="F49" s="30">
        <v>0</v>
      </c>
      <c r="G49" s="30">
        <v>0</v>
      </c>
      <c r="H49" s="44">
        <v>0</v>
      </c>
      <c r="I49" s="44">
        <v>0</v>
      </c>
      <c r="J49" s="44">
        <v>0</v>
      </c>
      <c r="K49" s="44">
        <v>0</v>
      </c>
      <c r="L49" s="44">
        <v>45.410025054644812</v>
      </c>
      <c r="M49" s="44">
        <v>3.3051005564798457</v>
      </c>
      <c r="N49" s="44">
        <v>22.850606427694334</v>
      </c>
      <c r="O49" s="31">
        <f t="shared" si="4"/>
        <v>80.062787647619984</v>
      </c>
      <c r="P49" s="32"/>
    </row>
    <row r="50" spans="1:16" s="33" customFormat="1">
      <c r="A50" s="28">
        <v>21100</v>
      </c>
      <c r="B50" s="29" t="s">
        <v>62</v>
      </c>
      <c r="C50" s="30">
        <v>0</v>
      </c>
      <c r="D50" s="30">
        <v>0</v>
      </c>
      <c r="E50" s="30">
        <v>289.24025</v>
      </c>
      <c r="F50" s="30">
        <v>0</v>
      </c>
      <c r="G50" s="30">
        <v>0</v>
      </c>
      <c r="H50" s="44">
        <v>0</v>
      </c>
      <c r="I50" s="44">
        <v>0</v>
      </c>
      <c r="J50" s="44">
        <v>0</v>
      </c>
      <c r="K50" s="44">
        <v>0</v>
      </c>
      <c r="L50" s="44">
        <v>7.4138816415746644</v>
      </c>
      <c r="M50" s="44">
        <v>0</v>
      </c>
      <c r="N50" s="44">
        <v>3.9397597289128172</v>
      </c>
      <c r="O50" s="31">
        <f t="shared" si="4"/>
        <v>300.59389137048748</v>
      </c>
      <c r="P50" s="32"/>
    </row>
    <row r="51" spans="1:16" s="33" customFormat="1" ht="15.75" thickBot="1">
      <c r="A51" s="34">
        <v>29999</v>
      </c>
      <c r="B51" s="35" t="s">
        <v>63</v>
      </c>
      <c r="C51" s="36">
        <f t="shared" ref="C51:D51" si="5">SUM(C13:C50)</f>
        <v>34518.22627880294</v>
      </c>
      <c r="D51" s="36">
        <f t="shared" si="5"/>
        <v>971.45268314801433</v>
      </c>
      <c r="E51" s="38">
        <f>SUM(E13:E50)</f>
        <v>128492.01729583215</v>
      </c>
      <c r="F51" s="38">
        <f t="shared" ref="F51:O51" si="6">SUM(F13:F50)</f>
        <v>5730.6249145107122</v>
      </c>
      <c r="G51" s="38">
        <f t="shared" si="6"/>
        <v>37051.158800172758</v>
      </c>
      <c r="H51" s="37">
        <f t="shared" si="6"/>
        <v>80345.506286565258</v>
      </c>
      <c r="I51" s="37">
        <f t="shared" si="6"/>
        <v>0</v>
      </c>
      <c r="J51" s="37">
        <f t="shared" si="6"/>
        <v>15386.884095713187</v>
      </c>
      <c r="K51" s="38">
        <f t="shared" si="6"/>
        <v>9302.7038267012631</v>
      </c>
      <c r="L51" s="38">
        <f t="shared" si="6"/>
        <v>9328.5165755113194</v>
      </c>
      <c r="M51" s="38">
        <f t="shared" si="6"/>
        <v>497.41763375021668</v>
      </c>
      <c r="N51" s="38">
        <f t="shared" si="6"/>
        <v>4682.7984137857738</v>
      </c>
      <c r="O51" s="39">
        <f t="shared" si="6"/>
        <v>326307.30680449365</v>
      </c>
      <c r="P51" s="32"/>
    </row>
    <row r="52" spans="1:16" s="33" customFormat="1" ht="24.75" thickBot="1">
      <c r="A52" s="34"/>
      <c r="B52" s="40" t="s">
        <v>64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32"/>
    </row>
    <row r="53" spans="1:16" s="33" customFormat="1" ht="24">
      <c r="A53" s="28">
        <v>30100</v>
      </c>
      <c r="B53" s="29" t="s">
        <v>65</v>
      </c>
      <c r="C53" s="30">
        <v>371.74618288504365</v>
      </c>
      <c r="D53" s="30">
        <v>106.22858183393502</v>
      </c>
      <c r="E53" s="44">
        <v>0</v>
      </c>
      <c r="F53" s="30">
        <v>88.529210686158237</v>
      </c>
      <c r="G53" s="30">
        <v>500.29364543521592</v>
      </c>
      <c r="H53" s="44">
        <v>5663.2390193538567</v>
      </c>
      <c r="I53" s="44">
        <v>0</v>
      </c>
      <c r="J53" s="44">
        <v>2581.1548092938897</v>
      </c>
      <c r="K53" s="44">
        <v>0</v>
      </c>
      <c r="L53" s="44">
        <v>306.74935292015169</v>
      </c>
      <c r="M53" s="44">
        <v>16.525502782399229</v>
      </c>
      <c r="N53" s="44">
        <v>154.43858137338242</v>
      </c>
      <c r="O53" s="31">
        <f>SUM(C53:N53)</f>
        <v>9788.9048865640325</v>
      </c>
      <c r="P53" s="32"/>
    </row>
    <row r="54" spans="1:16" s="33" customFormat="1" ht="24">
      <c r="A54" s="28">
        <v>30200</v>
      </c>
      <c r="B54" s="29" t="s">
        <v>66</v>
      </c>
      <c r="C54" s="204">
        <v>0</v>
      </c>
      <c r="D54" s="203">
        <v>0</v>
      </c>
      <c r="E54" s="45">
        <v>0</v>
      </c>
      <c r="F54" s="45">
        <v>0</v>
      </c>
      <c r="G54" s="45">
        <v>0</v>
      </c>
      <c r="H54" s="203">
        <v>0</v>
      </c>
      <c r="I54" s="203">
        <v>0</v>
      </c>
      <c r="J54" s="203">
        <v>0</v>
      </c>
      <c r="K54" s="45">
        <v>0</v>
      </c>
      <c r="L54" s="44">
        <v>0</v>
      </c>
      <c r="M54" s="44">
        <v>0</v>
      </c>
      <c r="N54" s="44">
        <v>0</v>
      </c>
      <c r="O54" s="31"/>
      <c r="P54" s="32"/>
    </row>
    <row r="55" spans="1:16" s="33" customFormat="1" ht="24">
      <c r="A55" s="28">
        <v>30201</v>
      </c>
      <c r="B55" s="29" t="s">
        <v>67</v>
      </c>
      <c r="C55" s="30">
        <v>2528.9361755693972</v>
      </c>
      <c r="D55" s="30">
        <v>30.790893285198557</v>
      </c>
      <c r="E55" s="30">
        <v>873.37470650853629</v>
      </c>
      <c r="F55" s="30">
        <v>230.94576700736934</v>
      </c>
      <c r="G55" s="30">
        <v>156.9548691561462</v>
      </c>
      <c r="H55" s="44">
        <v>13889.662943446625</v>
      </c>
      <c r="I55" s="44">
        <v>0</v>
      </c>
      <c r="J55" s="44">
        <v>2633.8099461623901</v>
      </c>
      <c r="K55" s="44">
        <v>684.67284728254083</v>
      </c>
      <c r="L55" s="44">
        <v>807.18636372644141</v>
      </c>
      <c r="M55" s="44">
        <v>44.618857512477916</v>
      </c>
      <c r="N55" s="44">
        <v>405.00730013223756</v>
      </c>
      <c r="O55" s="31">
        <f t="shared" ref="O55:O61" si="7">SUM(C55:N55)</f>
        <v>22285.960669789361</v>
      </c>
      <c r="P55" s="32"/>
    </row>
    <row r="56" spans="1:16" s="33" customFormat="1" ht="24">
      <c r="A56" s="28">
        <v>30202</v>
      </c>
      <c r="B56" s="29" t="s">
        <v>68</v>
      </c>
      <c r="C56" s="30">
        <v>45162.912692728409</v>
      </c>
      <c r="D56" s="30">
        <v>775.93051078700364</v>
      </c>
      <c r="E56" s="30">
        <v>52579.914560000005</v>
      </c>
      <c r="F56" s="30">
        <v>4322.534939154596</v>
      </c>
      <c r="G56" s="30">
        <v>14140.652743036546</v>
      </c>
      <c r="H56" s="44">
        <v>52367.72680069058</v>
      </c>
      <c r="I56" s="44">
        <v>0</v>
      </c>
      <c r="J56" s="44">
        <v>12257.062760249522</v>
      </c>
      <c r="K56" s="44">
        <v>1312.6101636807139</v>
      </c>
      <c r="L56" s="44">
        <v>5324.0937538558055</v>
      </c>
      <c r="M56" s="44">
        <v>0</v>
      </c>
      <c r="N56" s="44">
        <v>2671.9450481486724</v>
      </c>
      <c r="O56" s="31">
        <f t="shared" si="7"/>
        <v>190915.38397233185</v>
      </c>
      <c r="P56" s="32"/>
    </row>
    <row r="57" spans="1:16" s="33" customFormat="1" ht="24">
      <c r="A57" s="43">
        <v>30300</v>
      </c>
      <c r="B57" s="29" t="s">
        <v>69</v>
      </c>
      <c r="C57" s="30">
        <v>0</v>
      </c>
      <c r="D57" s="30">
        <v>0</v>
      </c>
      <c r="E57" s="44">
        <v>0</v>
      </c>
      <c r="F57" s="30">
        <v>0</v>
      </c>
      <c r="G57" s="30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31">
        <f t="shared" si="7"/>
        <v>0</v>
      </c>
      <c r="P57" s="32"/>
    </row>
    <row r="58" spans="1:16" s="33" customFormat="1" ht="24">
      <c r="A58" s="28">
        <v>30400</v>
      </c>
      <c r="B58" s="29" t="s">
        <v>70</v>
      </c>
      <c r="C58" s="30">
        <v>0</v>
      </c>
      <c r="D58" s="30">
        <v>0</v>
      </c>
      <c r="E58" s="44">
        <v>0</v>
      </c>
      <c r="F58" s="30">
        <v>0</v>
      </c>
      <c r="G58" s="30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31">
        <f t="shared" si="7"/>
        <v>0</v>
      </c>
      <c r="P58" s="32"/>
    </row>
    <row r="59" spans="1:16" s="33" customFormat="1" ht="24">
      <c r="A59" s="28">
        <v>30500</v>
      </c>
      <c r="B59" s="29" t="s">
        <v>71</v>
      </c>
      <c r="C59" s="30">
        <v>128.51796608311511</v>
      </c>
      <c r="D59" s="30">
        <v>20.014080635379063</v>
      </c>
      <c r="E59" s="30">
        <v>40.155158919932703</v>
      </c>
      <c r="F59" s="30">
        <v>11.547288350368465</v>
      </c>
      <c r="G59" s="30">
        <v>19.619358644518275</v>
      </c>
      <c r="H59" s="44">
        <v>3573.2092742916902</v>
      </c>
      <c r="I59" s="44">
        <v>0</v>
      </c>
      <c r="J59" s="44">
        <v>350.68321154421267</v>
      </c>
      <c r="K59" s="44">
        <v>121.16401510898896</v>
      </c>
      <c r="L59" s="44">
        <v>139.9370159847218</v>
      </c>
      <c r="M59" s="44">
        <v>8.2627513911996147</v>
      </c>
      <c r="N59" s="44">
        <v>70.127723174648139</v>
      </c>
      <c r="O59" s="31">
        <f t="shared" si="7"/>
        <v>4483.2378441287747</v>
      </c>
      <c r="P59" s="32"/>
    </row>
    <row r="60" spans="1:16" s="33" customFormat="1" ht="24">
      <c r="A60" s="43">
        <v>30600</v>
      </c>
      <c r="B60" s="29" t="s">
        <v>72</v>
      </c>
      <c r="C60" s="30">
        <v>2128.5124300046505</v>
      </c>
      <c r="D60" s="30">
        <v>53.884063249097473</v>
      </c>
      <c r="E60" s="44">
        <v>0</v>
      </c>
      <c r="F60" s="30">
        <v>36.566413109500147</v>
      </c>
      <c r="G60" s="30">
        <v>1912.8874678405314</v>
      </c>
      <c r="H60" s="44">
        <v>3683.9254926707958</v>
      </c>
      <c r="I60" s="44">
        <v>0</v>
      </c>
      <c r="J60" s="44">
        <v>228.52329400929173</v>
      </c>
      <c r="K60" s="44">
        <v>0</v>
      </c>
      <c r="L60" s="44">
        <v>219.63624363164945</v>
      </c>
      <c r="M60" s="44">
        <v>11.567851947679459</v>
      </c>
      <c r="N60" s="44">
        <v>110.31327240955888</v>
      </c>
      <c r="O60" s="31">
        <f t="shared" si="7"/>
        <v>8385.8165288727541</v>
      </c>
      <c r="P60" s="32"/>
    </row>
    <row r="61" spans="1:16" s="33" customFormat="1" ht="24">
      <c r="A61" s="43">
        <v>30700</v>
      </c>
      <c r="B61" s="29" t="s">
        <v>73</v>
      </c>
      <c r="C61" s="204">
        <v>0</v>
      </c>
      <c r="D61" s="203">
        <v>0</v>
      </c>
      <c r="E61" s="45">
        <v>0</v>
      </c>
      <c r="F61" s="45">
        <v>0</v>
      </c>
      <c r="G61" s="45">
        <v>0</v>
      </c>
      <c r="H61" s="203">
        <v>0</v>
      </c>
      <c r="I61" s="203">
        <v>0</v>
      </c>
      <c r="J61" s="203">
        <v>0</v>
      </c>
      <c r="K61" s="45">
        <v>0</v>
      </c>
      <c r="L61" s="44">
        <v>0</v>
      </c>
      <c r="M61" s="44">
        <v>0</v>
      </c>
      <c r="N61" s="44">
        <v>0</v>
      </c>
      <c r="O61" s="31">
        <f t="shared" si="7"/>
        <v>0</v>
      </c>
      <c r="P61" s="32"/>
    </row>
    <row r="62" spans="1:16" s="33" customFormat="1" ht="15.75" thickBot="1">
      <c r="A62" s="34">
        <v>39999</v>
      </c>
      <c r="B62" s="46" t="s">
        <v>22</v>
      </c>
      <c r="C62" s="36">
        <f t="shared" ref="C62:D62" si="8">SUM(C53:C61)</f>
        <v>50320.625447270613</v>
      </c>
      <c r="D62" s="36">
        <f t="shared" si="8"/>
        <v>986.84812979061383</v>
      </c>
      <c r="E62" s="38">
        <f>SUM(E53:E61)</f>
        <v>53493.444425428468</v>
      </c>
      <c r="F62" s="38">
        <f t="shared" ref="F62:O62" si="9">SUM(F53:F61)</f>
        <v>4690.1236183079918</v>
      </c>
      <c r="G62" s="38">
        <f t="shared" si="9"/>
        <v>16730.408084112958</v>
      </c>
      <c r="H62" s="37">
        <f t="shared" si="9"/>
        <v>79177.763530453536</v>
      </c>
      <c r="I62" s="37">
        <f t="shared" si="9"/>
        <v>0</v>
      </c>
      <c r="J62" s="37">
        <f t="shared" si="9"/>
        <v>18051.234021259304</v>
      </c>
      <c r="K62" s="38">
        <f t="shared" si="9"/>
        <v>2118.4470260722437</v>
      </c>
      <c r="L62" s="38">
        <f t="shared" si="9"/>
        <v>6797.6027301187705</v>
      </c>
      <c r="M62" s="38">
        <f t="shared" si="9"/>
        <v>80.974963633756218</v>
      </c>
      <c r="N62" s="38">
        <f t="shared" si="9"/>
        <v>3411.8319252384995</v>
      </c>
      <c r="O62" s="188">
        <f t="shared" si="9"/>
        <v>235859.30390168677</v>
      </c>
      <c r="P62" s="32"/>
    </row>
    <row r="63" spans="1:16" s="33" customFormat="1" ht="15.75" thickBot="1">
      <c r="A63" s="47">
        <v>49999</v>
      </c>
      <c r="B63" s="48" t="s">
        <v>74</v>
      </c>
      <c r="C63" s="49">
        <f>C62+C51+C11</f>
        <v>86795.298779999983</v>
      </c>
      <c r="D63" s="49">
        <f>D62+D51+D11</f>
        <v>2132.2693599999998</v>
      </c>
      <c r="E63" s="50">
        <f>E62+E51+E11</f>
        <v>181988.47335817962</v>
      </c>
      <c r="F63" s="50">
        <f>F62+F51+F11</f>
        <v>10577.312919999997</v>
      </c>
      <c r="G63" s="50">
        <f>G62+G51+G11</f>
        <v>59054.269520000002</v>
      </c>
      <c r="H63" s="51">
        <f>+H11+H51+H62</f>
        <v>167761.18315999996</v>
      </c>
      <c r="I63" s="50">
        <f t="shared" ref="I63:O63" si="10">I62+I51+I11</f>
        <v>1365.58503</v>
      </c>
      <c r="J63" s="50">
        <f t="shared" si="10"/>
        <v>34227.945169999992</v>
      </c>
      <c r="K63" s="50">
        <f t="shared" si="10"/>
        <v>13896.358589999994</v>
      </c>
      <c r="L63" s="50">
        <f t="shared" si="10"/>
        <v>16620.069170000002</v>
      </c>
      <c r="M63" s="50">
        <f t="shared" si="10"/>
        <v>607.0161499999997</v>
      </c>
      <c r="N63" s="50">
        <f t="shared" si="10"/>
        <v>8342.0472499999996</v>
      </c>
      <c r="O63" s="52">
        <f t="shared" si="10"/>
        <v>583367.8284581796</v>
      </c>
      <c r="P63" s="32"/>
    </row>
    <row r="64" spans="1:16" s="33" customFormat="1">
      <c r="A64" s="53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32"/>
    </row>
    <row r="65" spans="1:26" s="4" customForma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R65" s="5"/>
      <c r="S65" s="5"/>
      <c r="T65" s="5"/>
      <c r="U65" s="5"/>
      <c r="V65" s="5"/>
      <c r="W65" s="5"/>
      <c r="X65" s="5"/>
      <c r="Y65" s="5"/>
      <c r="Z65" s="5"/>
    </row>
    <row r="66" spans="1:26" s="4" customForma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R66" s="5"/>
      <c r="S66" s="5"/>
      <c r="T66" s="5"/>
      <c r="U66" s="5"/>
      <c r="V66" s="5"/>
      <c r="W66" s="5"/>
      <c r="X66" s="5"/>
      <c r="Y66" s="5"/>
      <c r="Z66" s="5"/>
    </row>
    <row r="67" spans="1:26" s="4" customForma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R67" s="5"/>
      <c r="S67" s="5"/>
      <c r="T67" s="5"/>
      <c r="U67" s="5"/>
      <c r="V67" s="5"/>
      <c r="W67" s="5"/>
      <c r="X67" s="5"/>
      <c r="Y67" s="5"/>
      <c r="Z67" s="5"/>
    </row>
    <row r="68" spans="1:26" s="4" customForma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R68" s="5"/>
      <c r="S68" s="5"/>
      <c r="T68" s="5"/>
      <c r="U68" s="5"/>
      <c r="V68" s="5"/>
      <c r="W68" s="5"/>
      <c r="X68" s="5"/>
      <c r="Y68" s="5"/>
      <c r="Z68" s="5"/>
    </row>
    <row r="69" spans="1:26" s="5" customForma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4"/>
    </row>
    <row r="70" spans="1:26" s="5" customForma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4"/>
    </row>
    <row r="71" spans="1:26" s="5" customForma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4"/>
    </row>
    <row r="72" spans="1:26" s="5" customForma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4"/>
    </row>
    <row r="73" spans="1:26" s="5" customForma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4"/>
    </row>
    <row r="74" spans="1:26" s="5" customForma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4"/>
    </row>
    <row r="75" spans="1:26" s="5" customForma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4"/>
    </row>
    <row r="76" spans="1:26" s="5" customForma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4"/>
    </row>
    <row r="77" spans="1:26" s="5" customForma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4"/>
    </row>
    <row r="78" spans="1:26" s="5" customForma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4"/>
    </row>
    <row r="79" spans="1:26" s="5" customForma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4"/>
    </row>
    <row r="80" spans="1:26" s="5" customForma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4"/>
    </row>
    <row r="81" spans="1:17" s="5" customForma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4"/>
    </row>
    <row r="82" spans="1:17" s="5" customForma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4"/>
    </row>
    <row r="83" spans="1:17" s="5" customForma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4"/>
    </row>
    <row r="84" spans="1:17" s="5" customForma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4"/>
    </row>
    <row r="85" spans="1:17" s="5" customForma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4"/>
    </row>
    <row r="86" spans="1:17" s="5" customForma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4"/>
    </row>
    <row r="87" spans="1:17" s="5" customForma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4"/>
    </row>
    <row r="88" spans="1:17" s="5" customForma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4"/>
    </row>
    <row r="89" spans="1:17" s="5" customForma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4"/>
    </row>
    <row r="90" spans="1:17" s="5" customForma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4"/>
    </row>
    <row r="91" spans="1:17" s="5" customForma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4"/>
    </row>
    <row r="92" spans="1:17" s="5" customForma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4"/>
    </row>
    <row r="93" spans="1:17" s="5" customForma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4"/>
    </row>
    <row r="94" spans="1:17" s="5" customForma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4"/>
    </row>
    <row r="95" spans="1:17" s="5" customForma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4"/>
    </row>
    <row r="96" spans="1:17" s="5" customForma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4"/>
    </row>
    <row r="97" spans="1:17" s="5" customForma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4"/>
    </row>
    <row r="98" spans="1:17" s="5" customForma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4"/>
    </row>
    <row r="99" spans="1:17" s="5" customForma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4"/>
    </row>
    <row r="100" spans="1:17" s="5" customForma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4"/>
    </row>
    <row r="101" spans="1:17" s="5" customForma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4"/>
    </row>
    <row r="102" spans="1:17" s="5" customForma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4"/>
    </row>
    <row r="103" spans="1:17" s="5" customForma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4"/>
    </row>
    <row r="104" spans="1:17" s="5" customForma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4"/>
    </row>
    <row r="105" spans="1:17" s="5" customForma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4"/>
    </row>
    <row r="106" spans="1:17" s="5" customForma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4"/>
    </row>
    <row r="107" spans="1:17" s="5" customForma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4"/>
    </row>
    <row r="108" spans="1:17" s="5" customForma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4"/>
    </row>
    <row r="109" spans="1:17" s="5" customForma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4"/>
    </row>
    <row r="110" spans="1:17" s="5" customForma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4"/>
    </row>
    <row r="111" spans="1:17" s="5" customForma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4"/>
    </row>
    <row r="112" spans="1:17" s="5" customForma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4"/>
    </row>
    <row r="113" spans="1:17" s="5" customForma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4"/>
    </row>
    <row r="114" spans="1:17" s="5" customForma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4"/>
    </row>
    <row r="115" spans="1:17" s="5" customForma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4"/>
    </row>
    <row r="116" spans="1:17" s="5" customForma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4"/>
    </row>
    <row r="117" spans="1:17" s="5" customForma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4"/>
    </row>
    <row r="118" spans="1:17" s="5" customForma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4"/>
    </row>
    <row r="119" spans="1:17" s="5" customForma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4"/>
    </row>
    <row r="120" spans="1:17" s="5" customForma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4"/>
    </row>
    <row r="121" spans="1:17" s="5" customForma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4"/>
    </row>
    <row r="122" spans="1:17" s="5" customForma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4"/>
    </row>
    <row r="123" spans="1:17" s="5" customForma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4"/>
    </row>
    <row r="124" spans="1:17" s="5" customForma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4"/>
    </row>
    <row r="125" spans="1:17" s="5" customForma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4"/>
    </row>
    <row r="126" spans="1:17" s="5" customForma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4"/>
    </row>
    <row r="127" spans="1:17" s="5" customForma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4"/>
    </row>
    <row r="128" spans="1:17" s="5" customForma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4"/>
    </row>
    <row r="129" spans="1:17" s="5" customForma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4"/>
    </row>
    <row r="130" spans="1:17" s="5" customForma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4"/>
    </row>
    <row r="131" spans="1:17" s="5" customForma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4"/>
    </row>
    <row r="132" spans="1:17" s="5" customForma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4"/>
    </row>
    <row r="133" spans="1:17" s="5" customForma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4"/>
    </row>
    <row r="134" spans="1:17" s="5" customForma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4"/>
    </row>
    <row r="135" spans="1:17" s="5" customForma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4"/>
    </row>
    <row r="136" spans="1:17" s="5" customForma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4"/>
    </row>
    <row r="137" spans="1:17" s="5" customForma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4"/>
    </row>
    <row r="138" spans="1:17" s="5" customForma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4"/>
    </row>
    <row r="139" spans="1:17" s="5" customForma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4"/>
    </row>
    <row r="140" spans="1:17" s="5" customForma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4"/>
    </row>
    <row r="141" spans="1:17" s="5" customForma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4"/>
    </row>
    <row r="142" spans="1:17" s="5" customForma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4"/>
    </row>
    <row r="143" spans="1:17" s="5" customForma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4"/>
    </row>
    <row r="144" spans="1:17" s="5" customForma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4"/>
    </row>
    <row r="145" spans="1:17" s="5" customForma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4"/>
    </row>
    <row r="146" spans="1:17" s="5" customForma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4"/>
    </row>
    <row r="147" spans="1:17" s="5" customForma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4"/>
    </row>
    <row r="148" spans="1:17" s="5" customForma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4"/>
    </row>
    <row r="149" spans="1:17" s="5" customForma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4"/>
    </row>
    <row r="150" spans="1:17" s="5" customForma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4"/>
    </row>
    <row r="151" spans="1:17" s="5" customForma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4"/>
    </row>
    <row r="152" spans="1:17" s="5" customForma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4"/>
    </row>
    <row r="153" spans="1:17" s="5" customForma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4"/>
    </row>
    <row r="154" spans="1:17" s="5" customForma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4"/>
    </row>
    <row r="155" spans="1:17" s="5" customForma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4"/>
    </row>
    <row r="156" spans="1:17" s="5" customForma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4"/>
    </row>
    <row r="157" spans="1:17" s="5" customForma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4"/>
    </row>
    <row r="158" spans="1:17" s="5" customForma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4"/>
    </row>
    <row r="159" spans="1:17" s="5" customForma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4"/>
    </row>
    <row r="160" spans="1:17" s="5" customForma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4"/>
    </row>
    <row r="161" spans="1:17" s="5" customForma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4"/>
    </row>
    <row r="162" spans="1:17" s="5" customForma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4"/>
    </row>
    <row r="163" spans="1:17" s="5" customForma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4"/>
    </row>
    <row r="164" spans="1:17" s="5" customForma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4"/>
    </row>
    <row r="165" spans="1:17" s="5" customForma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4"/>
    </row>
    <row r="166" spans="1:17" s="5" customForma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4"/>
    </row>
    <row r="167" spans="1:17" s="5" customForma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4"/>
    </row>
    <row r="168" spans="1:17" s="5" customForma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4"/>
    </row>
    <row r="169" spans="1:17" s="5" customForma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4"/>
    </row>
    <row r="170" spans="1:17" s="5" customForma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4"/>
    </row>
    <row r="171" spans="1:17" s="5" customForma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4"/>
    </row>
    <row r="172" spans="1:17" s="5" customForma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4"/>
    </row>
    <row r="173" spans="1:17" s="5" customForma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4"/>
    </row>
    <row r="174" spans="1:17" s="5" customForma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4"/>
    </row>
    <row r="175" spans="1:17" s="5" customForma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4"/>
    </row>
    <row r="176" spans="1:17" s="5" customForma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4"/>
    </row>
    <row r="177" spans="1:17" s="5" customForma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4"/>
    </row>
    <row r="178" spans="1:17" s="5" customForma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4"/>
    </row>
    <row r="179" spans="1:17" s="5" customForma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4"/>
    </row>
    <row r="180" spans="1:17" s="5" customForma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4"/>
    </row>
    <row r="181" spans="1:17" s="5" customForma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4"/>
    </row>
    <row r="182" spans="1:17" s="5" customForma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4"/>
    </row>
    <row r="183" spans="1:17" s="5" customForma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4"/>
    </row>
    <row r="184" spans="1:17" s="5" customForma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4"/>
    </row>
    <row r="185" spans="1:17" s="5" customForma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4"/>
    </row>
    <row r="186" spans="1:17" s="5" customForma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4"/>
    </row>
    <row r="187" spans="1:17" s="5" customForma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4"/>
    </row>
    <row r="188" spans="1:17" s="5" customForma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4"/>
    </row>
    <row r="189" spans="1:17" s="5" customForma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4"/>
    </row>
    <row r="190" spans="1:17" s="5" customForma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/>
      <c r="Q190" s="4"/>
    </row>
    <row r="191" spans="1:17" s="5" customForma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4"/>
    </row>
    <row r="192" spans="1:17" s="5" customForma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4"/>
    </row>
    <row r="193" spans="1:17" s="5" customForma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"/>
      <c r="Q193" s="4"/>
    </row>
    <row r="194" spans="1:17" s="5" customForma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4"/>
    </row>
    <row r="195" spans="1:17" s="5" customForma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"/>
      <c r="Q195" s="4"/>
    </row>
    <row r="196" spans="1:17" s="5" customForma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4"/>
    </row>
    <row r="197" spans="1:17" s="5" customForma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/>
      <c r="Q197" s="4"/>
    </row>
    <row r="198" spans="1:17" s="5" customForma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4"/>
    </row>
    <row r="199" spans="1:17" s="5" customForma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"/>
      <c r="Q199" s="4"/>
    </row>
    <row r="200" spans="1:17" s="5" customForma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/>
      <c r="Q200" s="4"/>
    </row>
    <row r="201" spans="1:17" s="5" customForma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"/>
      <c r="Q201" s="4"/>
    </row>
    <row r="202" spans="1:17" s="5" customForma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"/>
      <c r="Q202" s="4"/>
    </row>
    <row r="203" spans="1:17" s="5" customForma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/>
      <c r="Q203" s="4"/>
    </row>
    <row r="204" spans="1:17" s="5" customForma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/>
      <c r="Q204" s="4"/>
    </row>
    <row r="205" spans="1:17" s="5" customForma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/>
      <c r="Q205" s="4"/>
    </row>
    <row r="206" spans="1:17" s="5" customForma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"/>
      <c r="Q206" s="4"/>
    </row>
    <row r="207" spans="1:17" s="5" customForma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"/>
      <c r="Q207" s="4"/>
    </row>
    <row r="208" spans="1:17" s="5" customForma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/>
      <c r="Q208" s="4"/>
    </row>
    <row r="209" spans="1:17" s="5" customForma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/>
      <c r="Q209" s="4"/>
    </row>
    <row r="210" spans="1:17" s="5" customForma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"/>
      <c r="Q210" s="4"/>
    </row>
    <row r="211" spans="1:17" s="5" customForma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"/>
      <c r="Q211" s="4"/>
    </row>
    <row r="212" spans="1:17" s="5" customForma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/>
      <c r="Q212" s="4"/>
    </row>
    <row r="213" spans="1:17" s="5" customForma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/>
      <c r="Q213" s="4"/>
    </row>
    <row r="214" spans="1:17" s="5" customForma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/>
      <c r="Q214" s="4"/>
    </row>
    <row r="215" spans="1:17" s="5" customForma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4"/>
    </row>
    <row r="216" spans="1:17" s="5" customForma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"/>
      <c r="Q216" s="4"/>
    </row>
    <row r="217" spans="1:17" s="5" customForma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4"/>
    </row>
    <row r="218" spans="1:17" s="5" customForma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"/>
      <c r="Q218" s="4"/>
    </row>
    <row r="219" spans="1:17" s="5" customForma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"/>
      <c r="Q219" s="4"/>
    </row>
    <row r="220" spans="1:17" s="5" customForma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4"/>
    </row>
    <row r="221" spans="1:17" s="5" customForma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"/>
      <c r="Q221" s="4"/>
    </row>
    <row r="222" spans="1:17" s="5" customForma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4"/>
    </row>
    <row r="223" spans="1:17" s="5" customForma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"/>
      <c r="Q223" s="4"/>
    </row>
    <row r="224" spans="1:17" s="5" customForma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"/>
      <c r="Q224" s="4"/>
    </row>
    <row r="225" spans="1:17" s="5" customForma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4"/>
    </row>
    <row r="226" spans="1:17" s="5" customForma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/>
      <c r="Q226" s="4"/>
    </row>
    <row r="227" spans="1:17" s="5" customForma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"/>
      <c r="Q227" s="4"/>
    </row>
    <row r="228" spans="1:17" s="5" customForma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/>
      <c r="Q228" s="4"/>
    </row>
    <row r="229" spans="1:17" s="5" customForma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/>
      <c r="Q229" s="4"/>
    </row>
    <row r="230" spans="1:17" s="5" customForma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/>
      <c r="Q230" s="4"/>
    </row>
    <row r="231" spans="1:17" s="5" customForma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/>
      <c r="Q231" s="4"/>
    </row>
    <row r="232" spans="1:17" s="5" customForma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/>
      <c r="Q232" s="4"/>
    </row>
    <row r="233" spans="1:17" s="5" customForma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/>
      <c r="Q233" s="4"/>
    </row>
    <row r="234" spans="1:17" s="5" customForma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/>
      <c r="Q234" s="4"/>
    </row>
    <row r="235" spans="1:17" s="5" customForma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/>
      <c r="Q235" s="4"/>
    </row>
    <row r="236" spans="1:17" s="5" customForma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/>
      <c r="Q236" s="4"/>
    </row>
    <row r="237" spans="1:17" s="5" customForma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4"/>
    </row>
    <row r="238" spans="1:17" s="5" customForma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4"/>
    </row>
    <row r="239" spans="1:17" s="5" customForma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4"/>
    </row>
    <row r="240" spans="1:17" s="5" customForma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4"/>
    </row>
    <row r="241" spans="1:17" s="5" customForma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4"/>
    </row>
    <row r="242" spans="1:17" s="5" customForma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4"/>
    </row>
    <row r="243" spans="1:17" s="5" customForma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4"/>
    </row>
    <row r="244" spans="1:17" s="5" customForma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4"/>
    </row>
    <row r="245" spans="1:17" s="5" customForma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4"/>
    </row>
    <row r="246" spans="1:17" s="5" customForma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4"/>
    </row>
    <row r="247" spans="1:17" s="5" customForma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4"/>
    </row>
    <row r="248" spans="1:17" s="5" customForma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4"/>
    </row>
    <row r="249" spans="1:17" s="5" customForma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4"/>
    </row>
    <row r="250" spans="1:17" s="5" customForma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4"/>
    </row>
    <row r="251" spans="1:17" s="5" customForma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4"/>
    </row>
    <row r="252" spans="1:17" s="5" customForma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4"/>
    </row>
    <row r="253" spans="1:17" s="5" customForma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4"/>
    </row>
    <row r="254" spans="1:17" s="5" customForma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4"/>
    </row>
    <row r="255" spans="1:17" s="5" customForma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4"/>
    </row>
    <row r="256" spans="1:17" s="5" customForma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4"/>
    </row>
    <row r="257" spans="1:17" s="5" customForma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4"/>
    </row>
    <row r="258" spans="1:17" s="5" customForma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4"/>
    </row>
    <row r="259" spans="1:17" s="5" customForma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4"/>
    </row>
    <row r="260" spans="1:17" s="5" customForma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4"/>
    </row>
    <row r="261" spans="1:17" s="5" customForma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4"/>
    </row>
    <row r="262" spans="1:17" s="5" customForma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4"/>
    </row>
    <row r="263" spans="1:17" s="5" customForma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4"/>
    </row>
    <row r="264" spans="1:17" s="5" customForma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4"/>
    </row>
    <row r="265" spans="1:17" s="5" customForma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4"/>
    </row>
    <row r="266" spans="1:17" s="5" customForma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4"/>
    </row>
    <row r="267" spans="1:17" s="5" customForma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4"/>
    </row>
    <row r="268" spans="1:17" s="5" customForma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4"/>
    </row>
    <row r="269" spans="1:17" s="5" customForma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4"/>
    </row>
    <row r="270" spans="1:17" s="5" customForma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4"/>
    </row>
    <row r="271" spans="1:17" s="5" customForma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4"/>
    </row>
    <row r="272" spans="1:17" s="5" customForma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4"/>
    </row>
    <row r="273" spans="1:17" s="5" customForma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4"/>
    </row>
    <row r="274" spans="1:17" s="5" customForma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4"/>
    </row>
    <row r="275" spans="1:17" s="5" customForma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4"/>
    </row>
    <row r="276" spans="1:17" s="5" customForma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4"/>
    </row>
    <row r="277" spans="1:17" s="5" customForma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4"/>
    </row>
    <row r="278" spans="1:17" s="5" customForma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4"/>
    </row>
    <row r="279" spans="1:17" s="5" customForma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4"/>
    </row>
    <row r="280" spans="1:17" s="5" customForma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4"/>
    </row>
    <row r="281" spans="1:17" s="5" customForma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4"/>
    </row>
    <row r="282" spans="1:17" s="5" customForma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4"/>
    </row>
    <row r="283" spans="1:17" s="5" customForma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4"/>
    </row>
    <row r="284" spans="1:17" s="5" customForma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4"/>
    </row>
    <row r="285" spans="1:17" s="5" customForma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4"/>
    </row>
    <row r="286" spans="1:17" s="5" customForma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4"/>
    </row>
    <row r="287" spans="1:17" s="5" customForma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4"/>
    </row>
    <row r="288" spans="1:17" s="5" customForma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4"/>
    </row>
    <row r="289" spans="1:17" s="5" customForma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4"/>
    </row>
    <row r="290" spans="1:17" s="5" customForma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4"/>
    </row>
    <row r="291" spans="1:17" s="5" customForma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4"/>
    </row>
    <row r="292" spans="1:17" s="5" customForma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4"/>
    </row>
  </sheetData>
  <mergeCells count="2">
    <mergeCell ref="C1:D1"/>
    <mergeCell ref="E1:G1"/>
  </mergeCells>
  <printOptions horizontalCentered="1"/>
  <pageMargins left="0" right="0" top="0.39370078740157483" bottom="0" header="0.19685039370078741" footer="0"/>
  <pageSetup paperSize="9" scale="54" orientation="portrait" r:id="rId1"/>
  <headerFooter>
    <oddHeader>&amp;CModello LA - anno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LA 2017-2018</vt:lpstr>
      <vt:lpstr>all 1</vt:lpstr>
      <vt:lpstr>all2 all3 all4 all5 all6</vt:lpstr>
      <vt:lpstr>ALL2</vt:lpstr>
      <vt:lpstr>ALL3</vt:lpstr>
      <vt:lpstr>LA2018</vt:lpstr>
      <vt:lpstr>'LA 2017-2018'!Area_stampa</vt:lpstr>
      <vt:lpstr>'LA2018'!Titoli_stampa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Irmi Lorenzo</cp:lastModifiedBy>
  <cp:lastPrinted>2019-04-30T10:44:53Z</cp:lastPrinted>
  <dcterms:created xsi:type="dcterms:W3CDTF">2018-05-03T13:03:34Z</dcterms:created>
  <dcterms:modified xsi:type="dcterms:W3CDTF">2019-04-30T10:45:30Z</dcterms:modified>
</cp:coreProperties>
</file>